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55" yWindow="-165" windowWidth="14580" windowHeight="12120" tabRatio="741"/>
  </bookViews>
  <sheets>
    <sheet name="Titelblad" sheetId="9" r:id="rId1"/>
    <sheet name="Toelichting" sheetId="10" r:id="rId2"/>
    <sheet name="Bronnen en toepassingen" sheetId="11" r:id="rId3"/>
    <sheet name="TI-berekening 2021" sheetId="21" r:id="rId4"/>
    <sheet name="Input --&gt;" sheetId="13" r:id="rId5"/>
    <sheet name="Input parameters" sheetId="26" r:id="rId6"/>
    <sheet name="Input x-factor, begininkomsten" sheetId="28" r:id="rId7"/>
    <sheet name="Input lokale heffingen 2019" sheetId="25" r:id="rId8"/>
    <sheet name="Input invoeding groen gas 2020" sheetId="18" r:id="rId9"/>
    <sheet name="Input faillissement Robin 2019" sheetId="35" r:id="rId10"/>
    <sheet name="Input nieuwe taken 2021" sheetId="37" r:id="rId11"/>
    <sheet name="Input gewijzigde x-factoren" sheetId="39" r:id="rId12"/>
    <sheet name="Input richtbedragen" sheetId="32" r:id="rId13"/>
    <sheet name="Berekeningen --&gt;" sheetId="15" r:id="rId14"/>
    <sheet name="Parameters" sheetId="27" r:id="rId15"/>
    <sheet name="Lokale heffingen 2019" sheetId="24" r:id="rId16"/>
    <sheet name="Invoeding groen gas 2020" sheetId="22" r:id="rId17"/>
    <sheet name="Faillissement Robin 2019" sheetId="36" r:id="rId18"/>
    <sheet name="Gewijzigde x-factoren" sheetId="40" r:id="rId19"/>
    <sheet name="Lagere tarieven RENDO" sheetId="38" r:id="rId20"/>
    <sheet name="Correctie nieuwe taken 2020" sheetId="41" r:id="rId21"/>
    <sheet name="Overdracht Weert" sheetId="30" r:id="rId22"/>
    <sheet name="Richtbedragen" sheetId="31" r:id="rId23"/>
  </sheets>
  <calcPr calcId="145621"/>
</workbook>
</file>

<file path=xl/calcChain.xml><?xml version="1.0" encoding="utf-8"?>
<calcChain xmlns="http://schemas.openxmlformats.org/spreadsheetml/2006/main">
  <c r="M43" i="21" l="1"/>
  <c r="M47" i="21"/>
  <c r="M23" i="21"/>
  <c r="M22" i="21"/>
  <c r="H15" i="41" l="1"/>
  <c r="R38" i="41" s="1"/>
  <c r="L82" i="40"/>
  <c r="L81" i="40"/>
  <c r="L80" i="40"/>
  <c r="R82" i="40"/>
  <c r="Q82" i="40"/>
  <c r="P82" i="40"/>
  <c r="O82" i="40"/>
  <c r="N82" i="40"/>
  <c r="M82" i="40"/>
  <c r="R81" i="40"/>
  <c r="Q81" i="40"/>
  <c r="P81" i="40"/>
  <c r="O81" i="40"/>
  <c r="N81" i="40"/>
  <c r="M81" i="40"/>
  <c r="R80" i="40"/>
  <c r="Q80" i="40"/>
  <c r="P80" i="40"/>
  <c r="O80" i="40"/>
  <c r="N80" i="40"/>
  <c r="M80" i="40"/>
  <c r="H43" i="40"/>
  <c r="H42" i="40"/>
  <c r="H41" i="40"/>
  <c r="H40" i="40"/>
  <c r="R36" i="41" l="1"/>
  <c r="M36" i="41"/>
  <c r="Q36" i="41"/>
  <c r="N37" i="41"/>
  <c r="R37" i="41"/>
  <c r="O38" i="41"/>
  <c r="P38" i="41"/>
  <c r="N36" i="41"/>
  <c r="O37" i="41"/>
  <c r="L38" i="41"/>
  <c r="O36" i="41"/>
  <c r="L37" i="41"/>
  <c r="P37" i="41"/>
  <c r="M38" i="41"/>
  <c r="Q38" i="41"/>
  <c r="L36" i="41"/>
  <c r="P36" i="41"/>
  <c r="M37" i="41"/>
  <c r="Q37" i="41"/>
  <c r="N38" i="41"/>
  <c r="J14" i="28"/>
  <c r="R36" i="21" l="1"/>
  <c r="R66" i="31" s="1"/>
  <c r="J33" i="41"/>
  <c r="J30" i="41"/>
  <c r="R26" i="41"/>
  <c r="Q26" i="41"/>
  <c r="P26" i="41"/>
  <c r="O26" i="41"/>
  <c r="N26" i="41"/>
  <c r="M26" i="41"/>
  <c r="L26" i="41"/>
  <c r="J25" i="41"/>
  <c r="J24" i="41"/>
  <c r="R21" i="41"/>
  <c r="Q21" i="41"/>
  <c r="P21" i="41"/>
  <c r="O21" i="41"/>
  <c r="N21" i="41"/>
  <c r="M21" i="41"/>
  <c r="L21" i="41"/>
  <c r="J20" i="41"/>
  <c r="J19" i="41"/>
  <c r="M35" i="21" l="1"/>
  <c r="M68" i="31" s="1"/>
  <c r="J21" i="41"/>
  <c r="J26" i="41"/>
  <c r="M34" i="21"/>
  <c r="M67" i="31" s="1"/>
  <c r="Q34" i="21"/>
  <c r="Q67" i="31" s="1"/>
  <c r="N35" i="21"/>
  <c r="N68" i="31" s="1"/>
  <c r="R35" i="21"/>
  <c r="R68" i="31" s="1"/>
  <c r="O36" i="21"/>
  <c r="O66" i="31" s="1"/>
  <c r="N34" i="21"/>
  <c r="N67" i="31" s="1"/>
  <c r="R34" i="21"/>
  <c r="R67" i="31" s="1"/>
  <c r="O35" i="21"/>
  <c r="O68" i="31" s="1"/>
  <c r="L36" i="21"/>
  <c r="L66" i="31" s="1"/>
  <c r="P36" i="21"/>
  <c r="P66" i="31" s="1"/>
  <c r="O34" i="21"/>
  <c r="O67" i="31" s="1"/>
  <c r="L35" i="21"/>
  <c r="L68" i="31" s="1"/>
  <c r="P35" i="21"/>
  <c r="P68" i="31" s="1"/>
  <c r="M36" i="21"/>
  <c r="M66" i="31" s="1"/>
  <c r="Q36" i="21"/>
  <c r="Q66" i="31" s="1"/>
  <c r="P34" i="21"/>
  <c r="P67" i="31" s="1"/>
  <c r="Q35" i="21"/>
  <c r="Q68" i="31" s="1"/>
  <c r="N36" i="21"/>
  <c r="N66" i="31" s="1"/>
  <c r="J36" i="21" l="1"/>
  <c r="J36" i="41"/>
  <c r="L34" i="21"/>
  <c r="J35" i="21"/>
  <c r="J38" i="41"/>
  <c r="J37" i="41"/>
  <c r="J34" i="21" l="1"/>
  <c r="L67" i="31"/>
  <c r="J17" i="37"/>
  <c r="M22" i="40" l="1"/>
  <c r="N22" i="40"/>
  <c r="O22" i="40"/>
  <c r="P22" i="40"/>
  <c r="Q22" i="40"/>
  <c r="R22" i="40"/>
  <c r="M23" i="40"/>
  <c r="N23" i="40"/>
  <c r="O23" i="40"/>
  <c r="P23" i="40"/>
  <c r="Q23" i="40"/>
  <c r="R23" i="40"/>
  <c r="M24" i="40"/>
  <c r="N24" i="40"/>
  <c r="O24" i="40"/>
  <c r="P24" i="40"/>
  <c r="Q24" i="40"/>
  <c r="R24" i="40"/>
  <c r="L22" i="40"/>
  <c r="L23" i="40"/>
  <c r="L24" i="40"/>
  <c r="M25" i="40"/>
  <c r="N25" i="40"/>
  <c r="O25" i="40"/>
  <c r="P25" i="40"/>
  <c r="Q25" i="40"/>
  <c r="R25" i="40"/>
  <c r="L25" i="40"/>
  <c r="J22" i="40" l="1"/>
  <c r="J23" i="40"/>
  <c r="J24" i="40"/>
  <c r="M13" i="21"/>
  <c r="N13" i="21"/>
  <c r="O13" i="21"/>
  <c r="P13" i="21"/>
  <c r="Q13" i="21"/>
  <c r="R13" i="21"/>
  <c r="L13" i="21"/>
  <c r="M29" i="40"/>
  <c r="N29" i="40"/>
  <c r="O29" i="40"/>
  <c r="P29" i="40"/>
  <c r="Q29" i="40"/>
  <c r="R29" i="40"/>
  <c r="L29" i="40"/>
  <c r="J13" i="21" l="1"/>
  <c r="J29" i="40"/>
  <c r="H37" i="40" l="1"/>
  <c r="H46" i="40" l="1"/>
  <c r="H36" i="40" l="1"/>
  <c r="H35" i="40"/>
  <c r="H34" i="40"/>
  <c r="H33" i="40"/>
  <c r="M30" i="40"/>
  <c r="N30" i="40"/>
  <c r="O30" i="40"/>
  <c r="P30" i="40"/>
  <c r="Q30" i="40"/>
  <c r="R30" i="40"/>
  <c r="L30" i="40"/>
  <c r="M28" i="40"/>
  <c r="N28" i="40"/>
  <c r="O28" i="40"/>
  <c r="P28" i="40"/>
  <c r="Q28" i="40"/>
  <c r="R28" i="40"/>
  <c r="L28" i="40"/>
  <c r="M16" i="40"/>
  <c r="M51" i="40" s="1"/>
  <c r="N16" i="40"/>
  <c r="N51" i="40" s="1"/>
  <c r="O16" i="40"/>
  <c r="O51" i="40" s="1"/>
  <c r="P16" i="40"/>
  <c r="P51" i="40" s="1"/>
  <c r="Q16" i="40"/>
  <c r="Q51" i="40" s="1"/>
  <c r="R16" i="40"/>
  <c r="R51" i="40" s="1"/>
  <c r="M17" i="40"/>
  <c r="M52" i="40" s="1"/>
  <c r="N17" i="40"/>
  <c r="N52" i="40" s="1"/>
  <c r="O17" i="40"/>
  <c r="O52" i="40" s="1"/>
  <c r="P17" i="40"/>
  <c r="P52" i="40" s="1"/>
  <c r="Q17" i="40"/>
  <c r="Q52" i="40" s="1"/>
  <c r="R17" i="40"/>
  <c r="R52" i="40" s="1"/>
  <c r="M18" i="40"/>
  <c r="M53" i="40" s="1"/>
  <c r="N18" i="40"/>
  <c r="N53" i="40" s="1"/>
  <c r="O18" i="40"/>
  <c r="O53" i="40" s="1"/>
  <c r="P18" i="40"/>
  <c r="P53" i="40" s="1"/>
  <c r="Q18" i="40"/>
  <c r="Q53" i="40" s="1"/>
  <c r="R18" i="40"/>
  <c r="R53" i="40" s="1"/>
  <c r="M19" i="40"/>
  <c r="M54" i="40" s="1"/>
  <c r="N19" i="40"/>
  <c r="N54" i="40" s="1"/>
  <c r="O19" i="40"/>
  <c r="O54" i="40" s="1"/>
  <c r="P19" i="40"/>
  <c r="P54" i="40" s="1"/>
  <c r="Q19" i="40"/>
  <c r="Q54" i="40" s="1"/>
  <c r="R19" i="40"/>
  <c r="R54" i="40" s="1"/>
  <c r="L17" i="40"/>
  <c r="L52" i="40" s="1"/>
  <c r="L18" i="40"/>
  <c r="L53" i="40" s="1"/>
  <c r="L19" i="40"/>
  <c r="L54" i="40" s="1"/>
  <c r="L16" i="40"/>
  <c r="L51" i="40" s="1"/>
  <c r="J16" i="39"/>
  <c r="J17" i="39"/>
  <c r="J18" i="39"/>
  <c r="J19" i="39"/>
  <c r="J52" i="40" l="1"/>
  <c r="J51" i="40"/>
  <c r="J54" i="40"/>
  <c r="J53" i="40"/>
  <c r="N57" i="40"/>
  <c r="N58" i="40" s="1"/>
  <c r="N64" i="40" s="1"/>
  <c r="R57" i="40"/>
  <c r="R58" i="40" s="1"/>
  <c r="R64" i="40" s="1"/>
  <c r="Q57" i="40"/>
  <c r="Q58" i="40" s="1"/>
  <c r="Q59" i="40" s="1"/>
  <c r="Q60" i="40" s="1"/>
  <c r="Q66" i="40" s="1"/>
  <c r="M57" i="40"/>
  <c r="M58" i="40" s="1"/>
  <c r="M59" i="40" s="1"/>
  <c r="M60" i="40" s="1"/>
  <c r="P57" i="40"/>
  <c r="P63" i="40" s="1"/>
  <c r="L57" i="40"/>
  <c r="L58" i="40" s="1"/>
  <c r="L59" i="40" s="1"/>
  <c r="L60" i="40" s="1"/>
  <c r="L66" i="40" s="1"/>
  <c r="O57" i="40"/>
  <c r="O63" i="40" s="1"/>
  <c r="O73" i="40" s="1"/>
  <c r="O79" i="40" s="1"/>
  <c r="J18" i="40"/>
  <c r="J16" i="40"/>
  <c r="J17" i="40"/>
  <c r="J19" i="40"/>
  <c r="J28" i="40"/>
  <c r="R63" i="40" l="1"/>
  <c r="P58" i="40"/>
  <c r="P59" i="40" s="1"/>
  <c r="P60" i="40" s="1"/>
  <c r="P66" i="40" s="1"/>
  <c r="P76" i="40" s="1"/>
  <c r="O58" i="40"/>
  <c r="L65" i="40"/>
  <c r="N63" i="40"/>
  <c r="M64" i="40"/>
  <c r="M74" i="40" s="1"/>
  <c r="Q63" i="40"/>
  <c r="Q64" i="40"/>
  <c r="M65" i="40"/>
  <c r="M75" i="40" s="1"/>
  <c r="L64" i="40"/>
  <c r="L63" i="40"/>
  <c r="M66" i="40"/>
  <c r="M76" i="40" s="1"/>
  <c r="M63" i="40"/>
  <c r="M73" i="40" s="1"/>
  <c r="M79" i="40" s="1"/>
  <c r="Q65" i="40"/>
  <c r="R59" i="40"/>
  <c r="R74" i="40"/>
  <c r="R73" i="40"/>
  <c r="R79" i="40" s="1"/>
  <c r="N59" i="40"/>
  <c r="P73" i="40"/>
  <c r="P79" i="40" s="1"/>
  <c r="J57" i="40"/>
  <c r="J58" i="40" l="1"/>
  <c r="Q68" i="40"/>
  <c r="Q73" i="40" s="1"/>
  <c r="Q79" i="40" s="1"/>
  <c r="N68" i="40"/>
  <c r="P65" i="40"/>
  <c r="P75" i="40" s="1"/>
  <c r="P64" i="40"/>
  <c r="P74" i="40" s="1"/>
  <c r="N65" i="40"/>
  <c r="R60" i="40"/>
  <c r="R65" i="40"/>
  <c r="R75" i="40" s="1"/>
  <c r="O59" i="40"/>
  <c r="O64" i="40"/>
  <c r="O74" i="40" s="1"/>
  <c r="N60" i="40"/>
  <c r="N66" i="40" s="1"/>
  <c r="M84" i="40"/>
  <c r="Q69" i="40"/>
  <c r="Q74" i="40" s="1"/>
  <c r="N69" i="40"/>
  <c r="N74" i="40" s="1"/>
  <c r="L76" i="40"/>
  <c r="L75" i="40"/>
  <c r="Q70" i="40"/>
  <c r="Q75" i="40" s="1"/>
  <c r="N70" i="40"/>
  <c r="L74" i="40"/>
  <c r="L73" i="40"/>
  <c r="L79" i="40" s="1"/>
  <c r="Q71" i="40"/>
  <c r="Q76" i="40" s="1"/>
  <c r="N71" i="40"/>
  <c r="P84" i="40" l="1"/>
  <c r="P41" i="21" s="1"/>
  <c r="P73" i="31" s="1"/>
  <c r="J64" i="40"/>
  <c r="M41" i="21"/>
  <c r="M73" i="31" s="1"/>
  <c r="O65" i="40"/>
  <c r="O60" i="40"/>
  <c r="R66" i="40"/>
  <c r="R76" i="40" s="1"/>
  <c r="J59" i="40"/>
  <c r="N73" i="40"/>
  <c r="N79" i="40" s="1"/>
  <c r="J68" i="40"/>
  <c r="N75" i="40"/>
  <c r="J63" i="40"/>
  <c r="J80" i="40"/>
  <c r="Q84" i="40"/>
  <c r="J69" i="40"/>
  <c r="J70" i="40"/>
  <c r="J74" i="40"/>
  <c r="J71" i="40"/>
  <c r="R84" i="40" l="1"/>
  <c r="R41" i="21" s="1"/>
  <c r="R73" i="31" s="1"/>
  <c r="Q41" i="21"/>
  <c r="Q73" i="31" s="1"/>
  <c r="O66" i="40"/>
  <c r="J66" i="40" s="1"/>
  <c r="O75" i="40"/>
  <c r="J65" i="40"/>
  <c r="J60" i="40"/>
  <c r="J79" i="40"/>
  <c r="J73" i="40"/>
  <c r="N76" i="40"/>
  <c r="L84" i="40"/>
  <c r="J81" i="40" l="1"/>
  <c r="L41" i="21"/>
  <c r="L73" i="31" s="1"/>
  <c r="J75" i="40"/>
  <c r="O76" i="40"/>
  <c r="N84" i="40"/>
  <c r="J82" i="40" l="1"/>
  <c r="J76" i="40"/>
  <c r="O84" i="40"/>
  <c r="J84" i="40" s="1"/>
  <c r="N41" i="21"/>
  <c r="H27" i="38"/>
  <c r="O41" i="21" l="1"/>
  <c r="O73" i="31" s="1"/>
  <c r="J41" i="21"/>
  <c r="N73" i="31"/>
  <c r="P19" i="38"/>
  <c r="V23" i="27" l="1"/>
  <c r="H17" i="24"/>
  <c r="H16" i="24"/>
  <c r="U34" i="27"/>
  <c r="U35" i="27"/>
  <c r="U24" i="27"/>
  <c r="U14" i="27"/>
  <c r="V14" i="27"/>
  <c r="U15" i="27"/>
  <c r="V15" i="27"/>
  <c r="U16" i="27"/>
  <c r="V24" i="27" s="1"/>
  <c r="U17" i="27"/>
  <c r="V33" i="27" l="1"/>
  <c r="V29" i="27"/>
  <c r="V32" i="27"/>
  <c r="V28" i="27"/>
  <c r="V36" i="27"/>
  <c r="H91" i="22" s="1"/>
  <c r="V27" i="27"/>
  <c r="V31" i="27"/>
  <c r="V34" i="27"/>
  <c r="V30" i="27"/>
  <c r="V35" i="27"/>
  <c r="H20" i="21"/>
  <c r="H18" i="36" l="1"/>
  <c r="H35" i="24"/>
  <c r="H17" i="36"/>
  <c r="L39" i="21" l="1"/>
  <c r="M72" i="31" l="1"/>
  <c r="O72" i="31"/>
  <c r="P72" i="31"/>
  <c r="R72" i="31"/>
  <c r="L72" i="31"/>
  <c r="M38" i="21"/>
  <c r="N38" i="21"/>
  <c r="O38" i="21"/>
  <c r="P38" i="21"/>
  <c r="Q38" i="21"/>
  <c r="R38" i="21"/>
  <c r="M39" i="21"/>
  <c r="M71" i="31" s="1"/>
  <c r="M81" i="31" s="1"/>
  <c r="N39" i="21"/>
  <c r="N71" i="31" s="1"/>
  <c r="N81" i="31" s="1"/>
  <c r="O39" i="21"/>
  <c r="O71" i="31" s="1"/>
  <c r="O81" i="31" s="1"/>
  <c r="P39" i="21"/>
  <c r="P71" i="31" s="1"/>
  <c r="P81" i="31" s="1"/>
  <c r="Q39" i="21"/>
  <c r="Q71" i="31" s="1"/>
  <c r="Q81" i="31" s="1"/>
  <c r="R39" i="21"/>
  <c r="R71" i="31" s="1"/>
  <c r="R81" i="31" s="1"/>
  <c r="L71" i="31"/>
  <c r="L81" i="31" s="1"/>
  <c r="L38" i="21"/>
  <c r="O70" i="31" l="1"/>
  <c r="O79" i="31" s="1"/>
  <c r="N70" i="31"/>
  <c r="N79" i="31" s="1"/>
  <c r="R70" i="31"/>
  <c r="R79" i="31" s="1"/>
  <c r="Q70" i="31"/>
  <c r="Q79" i="31" s="1"/>
  <c r="M70" i="31"/>
  <c r="M79" i="31" s="1"/>
  <c r="P70" i="31"/>
  <c r="P79" i="31" s="1"/>
  <c r="J38" i="21"/>
  <c r="L70" i="31"/>
  <c r="L79" i="31" s="1"/>
  <c r="S41" i="24"/>
  <c r="H15" i="24" l="1"/>
  <c r="R21" i="24"/>
  <c r="Q21" i="24"/>
  <c r="P21" i="24"/>
  <c r="O21" i="24"/>
  <c r="N21" i="24"/>
  <c r="M21" i="24"/>
  <c r="L21" i="24"/>
  <c r="R20" i="24"/>
  <c r="Q20" i="24"/>
  <c r="P20" i="24"/>
  <c r="O20" i="24"/>
  <c r="O23" i="24" s="1"/>
  <c r="N20" i="24"/>
  <c r="M20" i="24"/>
  <c r="L20" i="24"/>
  <c r="L23" i="24" l="1"/>
  <c r="P23" i="24"/>
  <c r="M23" i="24"/>
  <c r="Q23" i="24"/>
  <c r="R23" i="24"/>
  <c r="N23" i="24"/>
  <c r="J18" i="37"/>
  <c r="M19" i="37"/>
  <c r="N19" i="37"/>
  <c r="O19" i="37"/>
  <c r="P19" i="37"/>
  <c r="Q19" i="37"/>
  <c r="R19" i="37"/>
  <c r="L19" i="37"/>
  <c r="J23" i="24" l="1"/>
  <c r="J19" i="37" l="1"/>
  <c r="J15" i="37"/>
  <c r="R37" i="21" l="1"/>
  <c r="Q37" i="21"/>
  <c r="P37" i="21"/>
  <c r="O37" i="21"/>
  <c r="N37" i="21"/>
  <c r="M37" i="21"/>
  <c r="L37" i="21"/>
  <c r="O69" i="31" l="1"/>
  <c r="L69" i="31"/>
  <c r="P69" i="31"/>
  <c r="M69" i="31"/>
  <c r="Q69" i="31"/>
  <c r="N69" i="31"/>
  <c r="R69" i="31"/>
  <c r="J39" i="21"/>
  <c r="J37" i="21"/>
  <c r="M43" i="31"/>
  <c r="N43" i="31"/>
  <c r="O43" i="31"/>
  <c r="P43" i="31"/>
  <c r="Q43" i="31"/>
  <c r="R43" i="31"/>
  <c r="L43" i="31"/>
  <c r="M36" i="31"/>
  <c r="N36" i="31"/>
  <c r="O36" i="31"/>
  <c r="P36" i="31"/>
  <c r="Q36" i="31"/>
  <c r="R36" i="31"/>
  <c r="L36" i="31"/>
  <c r="H32" i="31"/>
  <c r="H27" i="31"/>
  <c r="H26" i="31"/>
  <c r="R30" i="31"/>
  <c r="Q30" i="31"/>
  <c r="P30" i="31"/>
  <c r="O30" i="31"/>
  <c r="N30" i="31"/>
  <c r="M30" i="31"/>
  <c r="L30" i="31"/>
  <c r="R29" i="31"/>
  <c r="Q29" i="31"/>
  <c r="P29" i="31"/>
  <c r="O29" i="31"/>
  <c r="N29" i="31"/>
  <c r="M29" i="31"/>
  <c r="L29" i="31"/>
  <c r="M22" i="31"/>
  <c r="N22" i="31"/>
  <c r="O22" i="31"/>
  <c r="P22" i="31"/>
  <c r="Q22" i="31"/>
  <c r="R22" i="31"/>
  <c r="M23" i="31"/>
  <c r="N23" i="31"/>
  <c r="O23" i="31"/>
  <c r="P23" i="31"/>
  <c r="Q23" i="31"/>
  <c r="R23" i="31"/>
  <c r="M24" i="31"/>
  <c r="N24" i="31"/>
  <c r="O24" i="31"/>
  <c r="P24" i="31"/>
  <c r="Q24" i="31"/>
  <c r="R24" i="31"/>
  <c r="L23" i="31"/>
  <c r="L24" i="31"/>
  <c r="L22" i="31"/>
  <c r="L38" i="31" l="1"/>
  <c r="L37" i="31" s="1"/>
  <c r="H41" i="31"/>
  <c r="M38" i="31"/>
  <c r="R38" i="31"/>
  <c r="N38" i="31"/>
  <c r="Q38" i="31"/>
  <c r="P38" i="31"/>
  <c r="O38" i="31"/>
  <c r="Q37" i="31" l="1"/>
  <c r="N37" i="31"/>
  <c r="O37" i="31"/>
  <c r="M45" i="31"/>
  <c r="Q45" i="31"/>
  <c r="N45" i="31"/>
  <c r="R45" i="31"/>
  <c r="O45" i="31"/>
  <c r="P45" i="31"/>
  <c r="L45" i="31"/>
  <c r="L39" i="31"/>
  <c r="R37" i="31"/>
  <c r="P37" i="31"/>
  <c r="M37" i="31"/>
  <c r="O44" i="31" l="1"/>
  <c r="N44" i="31"/>
  <c r="M44" i="31"/>
  <c r="O39" i="31"/>
  <c r="R39" i="31"/>
  <c r="P39" i="31"/>
  <c r="L44" i="31"/>
  <c r="L46" i="31" s="1"/>
  <c r="M39" i="31"/>
  <c r="P44" i="31"/>
  <c r="R44" i="31"/>
  <c r="Q44" i="31"/>
  <c r="N39" i="31"/>
  <c r="Q39" i="31"/>
  <c r="P51" i="31" l="1"/>
  <c r="Q51" i="31"/>
  <c r="R51" i="31"/>
  <c r="N51" i="31"/>
  <c r="M51" i="31"/>
  <c r="O51" i="31"/>
  <c r="L51" i="31"/>
  <c r="P46" i="31"/>
  <c r="Q50" i="31"/>
  <c r="Q52" i="31"/>
  <c r="Q46" i="31"/>
  <c r="R50" i="31"/>
  <c r="R52" i="31"/>
  <c r="M46" i="31"/>
  <c r="O46" i="31"/>
  <c r="N50" i="31"/>
  <c r="N52" i="31"/>
  <c r="R46" i="31"/>
  <c r="M50" i="31"/>
  <c r="M52" i="31"/>
  <c r="P50" i="31"/>
  <c r="P52" i="31"/>
  <c r="O50" i="31"/>
  <c r="O52" i="31"/>
  <c r="N46" i="31"/>
  <c r="L50" i="31"/>
  <c r="L52" i="31"/>
  <c r="P55" i="31" l="1"/>
  <c r="Q55" i="31"/>
  <c r="M55" i="31"/>
  <c r="N55" i="31"/>
  <c r="L54" i="31"/>
  <c r="L56" i="31"/>
  <c r="R54" i="31"/>
  <c r="R56" i="31"/>
  <c r="N54" i="31"/>
  <c r="N56" i="31"/>
  <c r="O54" i="31"/>
  <c r="O56" i="31"/>
  <c r="L55" i="31"/>
  <c r="M54" i="31"/>
  <c r="M56" i="31"/>
  <c r="R55" i="31"/>
  <c r="O55" i="31"/>
  <c r="Q54" i="31"/>
  <c r="Q56" i="31"/>
  <c r="P54" i="31"/>
  <c r="P56" i="31"/>
  <c r="M15" i="36" l="1"/>
  <c r="N15" i="36"/>
  <c r="O15" i="36"/>
  <c r="P15" i="36"/>
  <c r="Q15" i="36"/>
  <c r="R15" i="36"/>
  <c r="L15" i="36"/>
  <c r="B37" i="10"/>
  <c r="B43" i="10"/>
  <c r="U23" i="27" l="1"/>
  <c r="T16" i="27"/>
  <c r="T17" i="27"/>
  <c r="H19" i="21" l="1"/>
  <c r="H18" i="21" l="1"/>
  <c r="H17" i="21" l="1"/>
  <c r="H16" i="21"/>
  <c r="H20" i="30" l="1"/>
  <c r="T14" i="27" l="1"/>
  <c r="T15" i="27"/>
  <c r="N72" i="18" l="1"/>
  <c r="N115" i="18"/>
  <c r="N107" i="18"/>
  <c r="N80" i="18"/>
  <c r="N45" i="18"/>
  <c r="N37" i="18"/>
  <c r="N27" i="24" l="1"/>
  <c r="O27" i="24"/>
  <c r="P27" i="24"/>
  <c r="Q27" i="24"/>
  <c r="R27" i="24"/>
  <c r="N26" i="24"/>
  <c r="N29" i="24" s="1"/>
  <c r="O26" i="24"/>
  <c r="O29" i="24" s="1"/>
  <c r="P26" i="24"/>
  <c r="Q26" i="24"/>
  <c r="R26" i="24"/>
  <c r="R29" i="24" s="1"/>
  <c r="Q29" i="24" l="1"/>
  <c r="Q33" i="24" s="1"/>
  <c r="P29" i="24"/>
  <c r="O33" i="24"/>
  <c r="R33" i="24"/>
  <c r="N33" i="24"/>
  <c r="P33" i="24"/>
  <c r="P22" i="38" s="1"/>
  <c r="P25" i="38" s="1"/>
  <c r="P29" i="38" s="1"/>
  <c r="M12" i="21"/>
  <c r="N12" i="21"/>
  <c r="P63" i="31" l="1"/>
  <c r="P31" i="21"/>
  <c r="J31" i="21" s="1"/>
  <c r="M14" i="21"/>
  <c r="M24" i="21" s="1"/>
  <c r="M25" i="21" s="1"/>
  <c r="M26" i="21" s="1"/>
  <c r="N14" i="21"/>
  <c r="N22" i="21" s="1"/>
  <c r="N23" i="21" s="1"/>
  <c r="N24" i="21" s="1"/>
  <c r="N25" i="21" s="1"/>
  <c r="N26" i="21" s="1"/>
  <c r="O14" i="21"/>
  <c r="P14" i="21"/>
  <c r="Q14" i="21"/>
  <c r="R14" i="21"/>
  <c r="L14" i="21"/>
  <c r="O12" i="21"/>
  <c r="O22" i="21" s="1"/>
  <c r="O23" i="21" s="1"/>
  <c r="O24" i="21" s="1"/>
  <c r="O25" i="21" s="1"/>
  <c r="O26" i="21" s="1"/>
  <c r="P12" i="21"/>
  <c r="Q12" i="21"/>
  <c r="R12" i="21"/>
  <c r="L12" i="21"/>
  <c r="L22" i="21" s="1"/>
  <c r="L23" i="21" s="1"/>
  <c r="L24" i="21" s="1"/>
  <c r="L25" i="21" s="1"/>
  <c r="L26" i="21" s="1"/>
  <c r="Q22" i="21" l="1"/>
  <c r="Q23" i="21" s="1"/>
  <c r="Q24" i="21" s="1"/>
  <c r="Q25" i="21" s="1"/>
  <c r="Q26" i="21" s="1"/>
  <c r="R22" i="21"/>
  <c r="R23" i="21" s="1"/>
  <c r="R24" i="21" s="1"/>
  <c r="R25" i="21" s="1"/>
  <c r="R26" i="21" s="1"/>
  <c r="P22" i="21"/>
  <c r="P23" i="21" s="1"/>
  <c r="P24" i="21" s="1"/>
  <c r="P25" i="21" s="1"/>
  <c r="P26" i="21" s="1"/>
  <c r="N60" i="31"/>
  <c r="M60" i="31"/>
  <c r="J12" i="21"/>
  <c r="S17" i="27"/>
  <c r="R17" i="27"/>
  <c r="Q17" i="27"/>
  <c r="P17" i="27"/>
  <c r="O17" i="27"/>
  <c r="N17" i="27"/>
  <c r="M17" i="27"/>
  <c r="L17" i="27"/>
  <c r="S16" i="27"/>
  <c r="T24" i="27" s="1"/>
  <c r="R16" i="27"/>
  <c r="Q16" i="27"/>
  <c r="P16" i="27"/>
  <c r="O16" i="27"/>
  <c r="N16" i="27"/>
  <c r="M16" i="27"/>
  <c r="L16" i="27"/>
  <c r="S15" i="27"/>
  <c r="R15" i="27"/>
  <c r="Q15" i="27"/>
  <c r="P15" i="27"/>
  <c r="O15" i="27"/>
  <c r="N15" i="27"/>
  <c r="M15" i="27"/>
  <c r="L15" i="27"/>
  <c r="S14" i="27"/>
  <c r="R14" i="27"/>
  <c r="Q14" i="27"/>
  <c r="P14" i="27"/>
  <c r="O14" i="27"/>
  <c r="N14" i="27"/>
  <c r="M14" i="27"/>
  <c r="L14" i="27"/>
  <c r="M23" i="27"/>
  <c r="N23" i="27"/>
  <c r="O23" i="27"/>
  <c r="P23" i="27"/>
  <c r="Q23" i="27"/>
  <c r="R23" i="27"/>
  <c r="S23" i="27"/>
  <c r="T23" i="27"/>
  <c r="J22" i="21" l="1"/>
  <c r="O60" i="31"/>
  <c r="P60" i="31"/>
  <c r="R60" i="31"/>
  <c r="L60" i="31"/>
  <c r="T34" i="27"/>
  <c r="O24" i="27"/>
  <c r="O29" i="27" s="1"/>
  <c r="S24" i="27"/>
  <c r="S33" i="27" s="1"/>
  <c r="P24" i="27"/>
  <c r="P30" i="27" s="1"/>
  <c r="Q24" i="27"/>
  <c r="Q31" i="27" s="1"/>
  <c r="N24" i="27"/>
  <c r="N28" i="27" s="1"/>
  <c r="R24" i="27"/>
  <c r="R32" i="27" s="1"/>
  <c r="M24" i="27"/>
  <c r="M27" i="27" s="1"/>
  <c r="M26" i="24"/>
  <c r="M27" i="24"/>
  <c r="L27" i="24"/>
  <c r="L26" i="24"/>
  <c r="L29" i="24" l="1"/>
  <c r="L33" i="24" s="1"/>
  <c r="M29" i="24"/>
  <c r="M33" i="24" s="1"/>
  <c r="Q60" i="31"/>
  <c r="H22" i="30"/>
  <c r="J26" i="21"/>
  <c r="T33" i="27"/>
  <c r="P29" i="27"/>
  <c r="S32" i="27"/>
  <c r="T32" i="27" s="1"/>
  <c r="U32" i="27" s="1"/>
  <c r="O28" i="27"/>
  <c r="P28" i="27" s="1"/>
  <c r="Q28" i="27" s="1"/>
  <c r="R28" i="27" s="1"/>
  <c r="S28" i="27" s="1"/>
  <c r="T28" i="27" s="1"/>
  <c r="U28" i="27" s="1"/>
  <c r="R31" i="27"/>
  <c r="S31" i="27" s="1"/>
  <c r="T31" i="27" s="1"/>
  <c r="U31" i="27" s="1"/>
  <c r="Q29" i="27"/>
  <c r="R29" i="27" s="1"/>
  <c r="S29" i="27" s="1"/>
  <c r="T29" i="27" s="1"/>
  <c r="U29" i="27" s="1"/>
  <c r="Q30" i="27"/>
  <c r="R30" i="27" s="1"/>
  <c r="S30" i="27" s="1"/>
  <c r="T30" i="27" s="1"/>
  <c r="U30" i="27" s="1"/>
  <c r="N27" i="27"/>
  <c r="O27" i="27" s="1"/>
  <c r="P27" i="27" s="1"/>
  <c r="Q27" i="27" s="1"/>
  <c r="R27" i="27" s="1"/>
  <c r="S27" i="27" s="1"/>
  <c r="T27" i="27" s="1"/>
  <c r="U27" i="27" s="1"/>
  <c r="J29" i="24" l="1"/>
  <c r="U33" i="27"/>
  <c r="L37" i="24"/>
  <c r="L30" i="21" s="1"/>
  <c r="R37" i="24"/>
  <c r="R30" i="21" s="1"/>
  <c r="M37" i="24"/>
  <c r="M30" i="21" s="1"/>
  <c r="P37" i="24"/>
  <c r="P30" i="21" s="1"/>
  <c r="R89" i="22"/>
  <c r="R93" i="22" s="1"/>
  <c r="R32" i="21" s="1"/>
  <c r="R64" i="31" s="1"/>
  <c r="M89" i="22"/>
  <c r="M93" i="22" s="1"/>
  <c r="M32" i="21" s="1"/>
  <c r="M64" i="31" s="1"/>
  <c r="R62" i="31" l="1"/>
  <c r="P62" i="31"/>
  <c r="L62" i="31"/>
  <c r="M62" i="31"/>
  <c r="Q23" i="36"/>
  <c r="Q33" i="21" s="1"/>
  <c r="Q65" i="31" s="1"/>
  <c r="O23" i="36"/>
  <c r="O33" i="21" s="1"/>
  <c r="O65" i="31" s="1"/>
  <c r="M23" i="36"/>
  <c r="M33" i="21" s="1"/>
  <c r="M65" i="31" s="1"/>
  <c r="R23" i="36"/>
  <c r="R33" i="21" s="1"/>
  <c r="R65" i="31" s="1"/>
  <c r="L23" i="36"/>
  <c r="L33" i="21" s="1"/>
  <c r="N23" i="36"/>
  <c r="N33" i="21" s="1"/>
  <c r="N65" i="31" s="1"/>
  <c r="P23" i="36"/>
  <c r="P33" i="21" s="1"/>
  <c r="P65" i="31" s="1"/>
  <c r="H26" i="30"/>
  <c r="Q37" i="24"/>
  <c r="Q30" i="21" s="1"/>
  <c r="O37" i="24"/>
  <c r="O30" i="21" s="1"/>
  <c r="J23" i="21"/>
  <c r="N37" i="24"/>
  <c r="N30" i="21" s="1"/>
  <c r="O69" i="22"/>
  <c r="Q68" i="22"/>
  <c r="Q64" i="22"/>
  <c r="O64" i="22"/>
  <c r="N64" i="22"/>
  <c r="P62" i="22"/>
  <c r="Q61" i="22"/>
  <c r="P61" i="22"/>
  <c r="O61" i="22"/>
  <c r="N61" i="22"/>
  <c r="L61" i="22"/>
  <c r="O58" i="22"/>
  <c r="O57" i="22"/>
  <c r="Q54" i="22"/>
  <c r="Q53" i="22"/>
  <c r="M150" i="18"/>
  <c r="M46" i="22" s="1"/>
  <c r="N150" i="18"/>
  <c r="N46" i="22" s="1"/>
  <c r="O150" i="18"/>
  <c r="O46" i="22" s="1"/>
  <c r="P150" i="18"/>
  <c r="P46" i="22" s="1"/>
  <c r="Q150" i="18"/>
  <c r="Q46" i="22" s="1"/>
  <c r="R150" i="18"/>
  <c r="R46" i="22" s="1"/>
  <c r="L150" i="18"/>
  <c r="L46" i="22" s="1"/>
  <c r="L148" i="18"/>
  <c r="M148" i="18"/>
  <c r="M44" i="22" s="1"/>
  <c r="N148" i="18"/>
  <c r="N44" i="22" s="1"/>
  <c r="O148" i="18"/>
  <c r="O44" i="22" s="1"/>
  <c r="P148" i="18"/>
  <c r="P44" i="22" s="1"/>
  <c r="Q148" i="18"/>
  <c r="Q44" i="22" s="1"/>
  <c r="R148" i="18"/>
  <c r="R44" i="22" s="1"/>
  <c r="M147" i="18"/>
  <c r="M43" i="22" s="1"/>
  <c r="N147" i="18"/>
  <c r="N43" i="22" s="1"/>
  <c r="O147" i="18"/>
  <c r="O43" i="22" s="1"/>
  <c r="P147" i="18"/>
  <c r="P43" i="22" s="1"/>
  <c r="Q147" i="18"/>
  <c r="Q43" i="22" s="1"/>
  <c r="R147" i="18"/>
  <c r="R43" i="22" s="1"/>
  <c r="L147" i="18"/>
  <c r="L43" i="22" s="1"/>
  <c r="M142" i="18"/>
  <c r="M38" i="22" s="1"/>
  <c r="N142" i="18"/>
  <c r="N38" i="22" s="1"/>
  <c r="O142" i="18"/>
  <c r="O38" i="22" s="1"/>
  <c r="P142" i="18"/>
  <c r="P38" i="22" s="1"/>
  <c r="Q142" i="18"/>
  <c r="Q38" i="22" s="1"/>
  <c r="R142" i="18"/>
  <c r="R38" i="22" s="1"/>
  <c r="L142" i="18"/>
  <c r="L38" i="22" s="1"/>
  <c r="M139" i="18"/>
  <c r="M35" i="22" s="1"/>
  <c r="N139" i="18"/>
  <c r="N35" i="22" s="1"/>
  <c r="O139" i="18"/>
  <c r="O35" i="22" s="1"/>
  <c r="P139" i="18"/>
  <c r="P35" i="22" s="1"/>
  <c r="Q139" i="18"/>
  <c r="Q35" i="22" s="1"/>
  <c r="R139" i="18"/>
  <c r="R35" i="22" s="1"/>
  <c r="M140" i="18"/>
  <c r="M36" i="22" s="1"/>
  <c r="N140" i="18"/>
  <c r="N36" i="22" s="1"/>
  <c r="O140" i="18"/>
  <c r="O36" i="22" s="1"/>
  <c r="P140" i="18"/>
  <c r="P36" i="22" s="1"/>
  <c r="Q140" i="18"/>
  <c r="Q36" i="22" s="1"/>
  <c r="R140" i="18"/>
  <c r="R36" i="22" s="1"/>
  <c r="L140" i="18"/>
  <c r="L36" i="22" s="1"/>
  <c r="L139" i="18"/>
  <c r="R134" i="18"/>
  <c r="R30" i="22" s="1"/>
  <c r="Q134" i="18"/>
  <c r="Q30" i="22" s="1"/>
  <c r="P134" i="18"/>
  <c r="P30" i="22" s="1"/>
  <c r="O134" i="18"/>
  <c r="O30" i="22" s="1"/>
  <c r="N134" i="18"/>
  <c r="N30" i="22" s="1"/>
  <c r="M134" i="18"/>
  <c r="M30" i="22" s="1"/>
  <c r="L134" i="18"/>
  <c r="L30" i="22" s="1"/>
  <c r="R133" i="18"/>
  <c r="R29" i="22" s="1"/>
  <c r="Q133" i="18"/>
  <c r="Q29" i="22" s="1"/>
  <c r="P133" i="18"/>
  <c r="P29" i="22" s="1"/>
  <c r="O133" i="18"/>
  <c r="O29" i="22" s="1"/>
  <c r="N133" i="18"/>
  <c r="N29" i="22" s="1"/>
  <c r="M133" i="18"/>
  <c r="M29" i="22" s="1"/>
  <c r="L133" i="18"/>
  <c r="R132" i="18"/>
  <c r="R28" i="22" s="1"/>
  <c r="Q132" i="18"/>
  <c r="Q28" i="22" s="1"/>
  <c r="P132" i="18"/>
  <c r="P28" i="22" s="1"/>
  <c r="O132" i="18"/>
  <c r="O28" i="22" s="1"/>
  <c r="N132" i="18"/>
  <c r="N28" i="22" s="1"/>
  <c r="M132" i="18"/>
  <c r="M28" i="22" s="1"/>
  <c r="L132" i="18"/>
  <c r="L28" i="22" s="1"/>
  <c r="R131" i="18"/>
  <c r="R27" i="22" s="1"/>
  <c r="Q131" i="18"/>
  <c r="Q27" i="22" s="1"/>
  <c r="P131" i="18"/>
  <c r="P27" i="22" s="1"/>
  <c r="O131" i="18"/>
  <c r="O27" i="22" s="1"/>
  <c r="N131" i="18"/>
  <c r="N27" i="22" s="1"/>
  <c r="M131" i="18"/>
  <c r="M27" i="22" s="1"/>
  <c r="L131" i="18"/>
  <c r="L27" i="22" s="1"/>
  <c r="R130" i="18"/>
  <c r="R26" i="22" s="1"/>
  <c r="Q130" i="18"/>
  <c r="Q26" i="22" s="1"/>
  <c r="P130" i="18"/>
  <c r="P26" i="22" s="1"/>
  <c r="O130" i="18"/>
  <c r="O26" i="22" s="1"/>
  <c r="N130" i="18"/>
  <c r="N26" i="22" s="1"/>
  <c r="M130" i="18"/>
  <c r="M26" i="22" s="1"/>
  <c r="L130" i="18"/>
  <c r="R127" i="18"/>
  <c r="R23" i="22" s="1"/>
  <c r="Q127" i="18"/>
  <c r="Q23" i="22" s="1"/>
  <c r="P127" i="18"/>
  <c r="P23" i="22" s="1"/>
  <c r="O127" i="18"/>
  <c r="O23" i="22" s="1"/>
  <c r="N127" i="18"/>
  <c r="N23" i="22" s="1"/>
  <c r="M127" i="18"/>
  <c r="M23" i="22" s="1"/>
  <c r="L127" i="18"/>
  <c r="R126" i="18"/>
  <c r="R22" i="22" s="1"/>
  <c r="Q126" i="18"/>
  <c r="Q22" i="22" s="1"/>
  <c r="P126" i="18"/>
  <c r="P22" i="22" s="1"/>
  <c r="O126" i="18"/>
  <c r="O22" i="22" s="1"/>
  <c r="N126" i="18"/>
  <c r="N22" i="22" s="1"/>
  <c r="M126" i="18"/>
  <c r="M22" i="22" s="1"/>
  <c r="L126" i="18"/>
  <c r="L22" i="22" s="1"/>
  <c r="R125" i="18"/>
  <c r="R21" i="22" s="1"/>
  <c r="Q125" i="18"/>
  <c r="Q21" i="22" s="1"/>
  <c r="P125" i="18"/>
  <c r="P21" i="22" s="1"/>
  <c r="O125" i="18"/>
  <c r="O21" i="22" s="1"/>
  <c r="N125" i="18"/>
  <c r="N21" i="22" s="1"/>
  <c r="M125" i="18"/>
  <c r="M21" i="22" s="1"/>
  <c r="L125" i="18"/>
  <c r="L21" i="22" s="1"/>
  <c r="R124" i="18"/>
  <c r="R20" i="22" s="1"/>
  <c r="Q124" i="18"/>
  <c r="Q20" i="22" s="1"/>
  <c r="P124" i="18"/>
  <c r="P20" i="22" s="1"/>
  <c r="O124" i="18"/>
  <c r="O20" i="22" s="1"/>
  <c r="N124" i="18"/>
  <c r="N20" i="22" s="1"/>
  <c r="M124" i="18"/>
  <c r="M20" i="22" s="1"/>
  <c r="L124" i="18"/>
  <c r="R123" i="18"/>
  <c r="R19" i="22" s="1"/>
  <c r="Q123" i="18"/>
  <c r="Q19" i="22" s="1"/>
  <c r="P123" i="18"/>
  <c r="P19" i="22" s="1"/>
  <c r="O123" i="18"/>
  <c r="O19" i="22" s="1"/>
  <c r="N123" i="18"/>
  <c r="N19" i="22" s="1"/>
  <c r="M123" i="18"/>
  <c r="M19" i="22" s="1"/>
  <c r="L123" i="18"/>
  <c r="L19" i="22" s="1"/>
  <c r="R122" i="18"/>
  <c r="R18" i="22" s="1"/>
  <c r="Q122" i="18"/>
  <c r="Q18" i="22" s="1"/>
  <c r="P122" i="18"/>
  <c r="P18" i="22" s="1"/>
  <c r="O122" i="18"/>
  <c r="O18" i="22" s="1"/>
  <c r="N122" i="18"/>
  <c r="N18" i="22" s="1"/>
  <c r="M122" i="18"/>
  <c r="M18" i="22" s="1"/>
  <c r="L122" i="18"/>
  <c r="M75" i="31" l="1"/>
  <c r="R43" i="21"/>
  <c r="R47" i="21" s="1"/>
  <c r="R75" i="31"/>
  <c r="N62" i="31"/>
  <c r="O62" i="31"/>
  <c r="Q62" i="31"/>
  <c r="P82" i="22"/>
  <c r="P83" i="22"/>
  <c r="P89" i="22" s="1"/>
  <c r="P93" i="22" s="1"/>
  <c r="P32" i="21" s="1"/>
  <c r="L65" i="31"/>
  <c r="J33" i="21"/>
  <c r="N28" i="30"/>
  <c r="N40" i="21" s="1"/>
  <c r="N72" i="31" s="1"/>
  <c r="Q28" i="30"/>
  <c r="Q40" i="21" s="1"/>
  <c r="Q72" i="31" s="1"/>
  <c r="J24" i="21"/>
  <c r="J25" i="21"/>
  <c r="J30" i="21"/>
  <c r="N82" i="22"/>
  <c r="N85" i="22"/>
  <c r="O78" i="22"/>
  <c r="Q74" i="22"/>
  <c r="O79" i="22"/>
  <c r="Q82" i="22"/>
  <c r="O85" i="22"/>
  <c r="O82" i="22"/>
  <c r="Q75" i="22"/>
  <c r="Q85" i="22"/>
  <c r="L35" i="22"/>
  <c r="L82" i="22" s="1"/>
  <c r="L89" i="22" s="1"/>
  <c r="L93" i="22" s="1"/>
  <c r="L32" i="21" s="1"/>
  <c r="L23" i="22"/>
  <c r="L29" i="22"/>
  <c r="L44" i="22"/>
  <c r="L18" i="22"/>
  <c r="L20" i="22"/>
  <c r="L26" i="22"/>
  <c r="R77" i="31" l="1"/>
  <c r="R78" i="31"/>
  <c r="R80" i="31"/>
  <c r="M78" i="31"/>
  <c r="M80" i="31"/>
  <c r="M77" i="31"/>
  <c r="P64" i="31"/>
  <c r="P75" i="31" s="1"/>
  <c r="P43" i="21"/>
  <c r="P47" i="21" s="1"/>
  <c r="L64" i="31"/>
  <c r="L75" i="31" s="1"/>
  <c r="L43" i="21"/>
  <c r="L47" i="21" s="1"/>
  <c r="J40" i="21"/>
  <c r="N89" i="22"/>
  <c r="N93" i="22" s="1"/>
  <c r="Q89" i="22"/>
  <c r="Q93" i="22" s="1"/>
  <c r="Q32" i="21" s="1"/>
  <c r="Q43" i="21" s="1"/>
  <c r="Q47" i="21" s="1"/>
  <c r="O89" i="22"/>
  <c r="O93" i="22" s="1"/>
  <c r="O32" i="21" s="1"/>
  <c r="B31" i="10"/>
  <c r="P77" i="31" l="1"/>
  <c r="P78" i="31"/>
  <c r="P80" i="31"/>
  <c r="L80" i="31"/>
  <c r="L78" i="31"/>
  <c r="L77" i="31"/>
  <c r="O64" i="31"/>
  <c r="O75" i="31" s="1"/>
  <c r="O43" i="21"/>
  <c r="O47" i="21" s="1"/>
  <c r="Q64" i="31"/>
  <c r="Q75" i="31" s="1"/>
  <c r="N32" i="21"/>
  <c r="B38" i="10"/>
  <c r="B32" i="10"/>
  <c r="O78" i="31" l="1"/>
  <c r="O80" i="31"/>
  <c r="O77" i="31"/>
  <c r="Q80" i="31"/>
  <c r="Q77" i="31"/>
  <c r="Q78" i="31"/>
  <c r="N64" i="31"/>
  <c r="N75" i="31" s="1"/>
  <c r="N43" i="21"/>
  <c r="N47" i="21" s="1"/>
  <c r="J32" i="21"/>
  <c r="B33" i="10"/>
  <c r="N78" i="31" l="1"/>
  <c r="N80" i="31"/>
  <c r="N77" i="31"/>
  <c r="J43" i="21"/>
  <c r="J47" i="21"/>
</calcChain>
</file>

<file path=xl/comments1.xml><?xml version="1.0" encoding="utf-8"?>
<comments xmlns="http://schemas.openxmlformats.org/spreadsheetml/2006/main">
  <authors>
    <author>Auteur</author>
  </authors>
  <commentList>
    <comment ref="B37" authorId="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authors>
    <author>Auteur</author>
  </authors>
  <commentList>
    <comment ref="V19" authorId="0">
      <text>
        <r>
          <rPr>
            <sz val="8"/>
            <color indexed="81"/>
            <rFont val="Tahoma"/>
            <family val="2"/>
          </rPr>
          <t>Voorlopig cijfer CBS</t>
        </r>
      </text>
    </comment>
    <comment ref="V33" authorId="0">
      <text>
        <r>
          <rPr>
            <sz val="8"/>
            <color indexed="81"/>
            <rFont val="Tahoma"/>
            <family val="2"/>
          </rPr>
          <t>Het eerste en tweede kwartaal 2021 zijn geschat op basis van de laatst bekende waarde van de vastgestelde belastingrente door de Belastingdienst. Vanwege de coronacrisis is de belastingrente voor het derde en vierde kwartaal van 2020 tijdelijk gelijkgesteld aan 0,01%. Dit is een uitzonderlijke situatie met een tijdelijke maatregel. Om die reden kan de ACM deze belastingrente niet als representatief beschouwen en gebruikt de ACM de heffingsrente van de periode daarvoor.</t>
        </r>
      </text>
    </comment>
    <comment ref="V34" authorId="0">
      <text>
        <r>
          <rPr>
            <sz val="8"/>
            <color indexed="81"/>
            <rFont val="Tahoma"/>
            <family val="2"/>
          </rPr>
          <t>Het eerste en tweede kwartaal 2021 zijn geschat op basis van de laatst bekende waarde van de vastgestelde belastingrente door de Belastingdienst. Vanwege de coronacrisis is de belastingrente voor het derde en vierde kwartaal van 2020 tijdelijk gelijkgesteld aan 0,01%. Dit is een uitzonderlijke situatie met een tijdelijke maatregel. Om die reden kan de ACM deze belastingrente niet als representatief beschouwen en gebruikt de ACM de heffingsrente van de periode daarvoor.</t>
        </r>
      </text>
    </comment>
    <comment ref="U35" authorId="0">
      <text>
        <r>
          <rPr>
            <sz val="8"/>
            <color indexed="81"/>
            <rFont val="Tahoma"/>
            <family val="2"/>
          </rPr>
          <t>Vanwege de coronacrisis is de belastingrente voor het derde en vierde kwartaal van 2020 tijdelijk gelijkgesteld aan 0,01%. Dit is een uitzonderlijke situatie met een tijdelijke maatregel. Om die reden kan de ACM deze belastingrente niet als representatief beschouwen en gebruikt de ACM de heffingsrente van de periode daarvoor.</t>
        </r>
      </text>
    </comment>
    <comment ref="U36" authorId="0">
      <text>
        <r>
          <rPr>
            <sz val="8"/>
            <color indexed="81"/>
            <rFont val="Tahoma"/>
            <family val="2"/>
          </rPr>
          <t>Vanwege de coronacrisis is de belastingrente voor het derde en vierde kwartaal van 2020 tijdelijk gelijkgesteld aan 0,01%. Dit is een uitzonderlijke situatie met een tijdelijke maatregel. Om die reden kan de ACM deze belastingrente niet als representatief beschouwen en gebruikt de ACM de heffingsrente van de periode daarvoor.</t>
        </r>
      </text>
    </comment>
  </commentList>
</comments>
</file>

<file path=xl/comments3.xml><?xml version="1.0" encoding="utf-8"?>
<comments xmlns="http://schemas.openxmlformats.org/spreadsheetml/2006/main">
  <authors>
    <author>Auteur</author>
  </authors>
  <commentList>
    <comment ref="N37" authorId="0">
      <text>
        <r>
          <rPr>
            <sz val="8"/>
            <color indexed="81"/>
            <rFont val="Tahoma"/>
            <family val="2"/>
          </rPr>
          <t>Intergas bestaat in de GAW-berekening nog als afzonderlijke netbeheerder/netdeel. In de x-factorberekening worden de kapitaalkosten van Intergas opgeteld bij Enexis.</t>
        </r>
      </text>
    </comment>
    <comment ref="N38" authorId="0">
      <text>
        <r>
          <rPr>
            <sz val="8"/>
            <color indexed="81"/>
            <rFont val="Tahoma"/>
            <family val="2"/>
          </rPr>
          <t>Intergas bestaat in de GAW-berekening nog als afzonderlijke netbeheerder/netdeel. In de x-factorberekening worden de kapitaalkosten van Intergas opgeteld bij Enexis.</t>
        </r>
      </text>
    </comment>
    <comment ref="N39" authorId="0">
      <text>
        <r>
          <rPr>
            <sz val="8"/>
            <color indexed="81"/>
            <rFont val="Tahoma"/>
            <family val="2"/>
          </rPr>
          <t>Intergas bestaat in de GAW-berekening nog als afzonderlijke netbeheerder/netdeel. In de x-factorberekening worden de kapitaalkosten van Intergas opgeteld bij Enexis.</t>
        </r>
      </text>
    </comment>
  </commentList>
</comments>
</file>

<file path=xl/comments4.xml><?xml version="1.0" encoding="utf-8"?>
<comments xmlns="http://schemas.openxmlformats.org/spreadsheetml/2006/main">
  <authors>
    <author>Auteur</author>
  </authors>
  <commentList>
    <comment ref="O36" authorId="0">
      <text>
        <r>
          <rPr>
            <sz val="8"/>
            <color indexed="81"/>
            <rFont val="Tahoma"/>
            <family val="2"/>
          </rPr>
          <t xml:space="preserve">Efficiëntie kosten van Liander zijn hier verwijderd omdat de tarieven voor het EHD-net maatwerk zijn geworden </t>
        </r>
      </text>
    </comment>
  </commentList>
</comments>
</file>

<file path=xl/comments5.xml><?xml version="1.0" encoding="utf-8"?>
<comments xmlns="http://schemas.openxmlformats.org/spreadsheetml/2006/main">
  <authors>
    <author>Auteur</author>
  </authors>
  <commentList>
    <comment ref="V24" authorId="0">
      <text>
        <r>
          <rPr>
            <sz val="8"/>
            <color indexed="81"/>
            <rFont val="Tahoma"/>
            <family val="2"/>
          </rPr>
          <t>Waarde voor 2021 wordt vastgesteld door de meest recente waarde (naar verwachting kwartaal vier) ook te gebruiken als schatting voor ontbrekende kwartalen (eerste en tweede kwartaal van 2021)</t>
        </r>
      </text>
    </comment>
  </commentList>
</comments>
</file>

<file path=xl/sharedStrings.xml><?xml version="1.0" encoding="utf-8"?>
<sst xmlns="http://schemas.openxmlformats.org/spreadsheetml/2006/main" count="1288" uniqueCount="490">
  <si>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</si>
  <si>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</si>
  <si>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</si>
  <si>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</si>
  <si>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</si>
  <si>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</si>
  <si>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</si>
  <si>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</si>
  <si>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</si>
  <si>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</si>
  <si>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</si>
  <si>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</si>
  <si>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</si>
  <si>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</si>
  <si>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</si>
  <si>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</si>
  <si>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</si>
  <si>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</si>
  <si>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</si>
  <si>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</si>
  <si>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</si>
  <si>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</si>
  <si>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</si>
  <si>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</si>
  <si>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</si>
  <si>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</si>
  <si>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</si>
  <si>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</si>
  <si>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</si>
  <si>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</si>
  <si>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</si>
  <si>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</si>
  <si>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</si>
  <si>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</si>
  <si>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</si>
  <si>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</si>
  <si>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</si>
  <si>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</si>
  <si>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</si>
  <si>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</si>
  <si>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</si>
  <si>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</si>
  <si>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</si>
  <si>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</si>
  <si>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</si>
  <si>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</si>
  <si>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</si>
  <si>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</si>
  <si>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</si>
  <si>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</si>
  <si>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</si>
  <si>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</si>
  <si>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</si>
  <si>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</si>
  <si>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</si>
  <si>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</si>
  <si>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</si>
  <si>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</si>
  <si>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</si>
  <si>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</si>
  <si>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</si>
  <si>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</si>
  <si>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</si>
  <si>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</si>
  <si>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</si>
  <si>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ENDURIS</t>
  </si>
  <si>
    <t>ENEXIS</t>
  </si>
  <si>
    <t>LIANDER</t>
  </si>
  <si>
    <t>RENDO</t>
  </si>
  <si>
    <t>STEDIN</t>
  </si>
  <si>
    <t>WESTLAND</t>
  </si>
  <si>
    <t>In het geschilbesluit 'Invoeding groen gas' van 24 mei 2016 heeft de ACM geoordeeld dat netbeheerders geen transporttarieven in rekening mogen brengen voor de invoeding van groen gas.</t>
  </si>
  <si>
    <t>Bij de vaststelling van de volumes van de netbeheerders over de jaren 2013 tot en met 2015, in het x-factorbesluit 2017-2021, heeft de ACM echter geen rekening gehouden met het feit dat hier ook volumes voor invoeding groen gas onderdeel van uitmaken.</t>
  </si>
  <si>
    <t>VOLUMES PROFIELVERBRUIK: AANTALLEN AANSLUITINGEN</t>
  </si>
  <si>
    <t>Kleinverbruikers</t>
  </si>
  <si>
    <t>=&lt; 10 m3(n)h, jaarverbruik &lt; 500 Nm3</t>
  </si>
  <si>
    <t>#</t>
  </si>
  <si>
    <t>=&lt; 10 m3(n)h, jaarverbruik vanaf 500 Nm3 en &lt; 4.000 Nm3</t>
  </si>
  <si>
    <t>=&lt; 10 m3(n)h, jaarverbruik vanaf 4.000 Nm3</t>
  </si>
  <si>
    <t>&gt; 10 en =&lt; 16 m3(n)h</t>
  </si>
  <si>
    <t>&gt; 16 en =&lt; 25 m3(n)h</t>
  </si>
  <si>
    <t>&gt; 25 en =&lt; 40 m3(n)h</t>
  </si>
  <si>
    <t>Profielgrootverbruikers</t>
  </si>
  <si>
    <t>&gt; 40 en =&lt; 65 m3(n)h</t>
  </si>
  <si>
    <t>&gt; 65 en =&lt; 100 m3(n)h</t>
  </si>
  <si>
    <t>&gt; 100 en =&lt; 160 m3(n)h</t>
  </si>
  <si>
    <t>&gt; 160 en =&lt; 250 m3(n)h</t>
  </si>
  <si>
    <t>&gt; 250 m3(n)h</t>
  </si>
  <si>
    <t>VOLUMES TELEMETRIE: AANTALLEN AANSLUITINGEN</t>
  </si>
  <si>
    <t>Telemetrie &lt; 16 bar</t>
  </si>
  <si>
    <t>Hoge druk (&gt;= 200 Mbar en &lt; 16 Bar)</t>
  </si>
  <si>
    <t>Lage druk (&lt; 200 Mbar)</t>
  </si>
  <si>
    <t>Indien geen onderscheid LD/HD: Standaard</t>
  </si>
  <si>
    <t>VOLUMES TELEMETRIE: GECONTRACTEERDE CAPACITEIT</t>
  </si>
  <si>
    <t>Totaal volume indien geen onderscheid LD/HD: Standaard</t>
  </si>
  <si>
    <t>Berekening Gemiddelde volumes invoeding gas 2013-2015</t>
  </si>
  <si>
    <t>TARIEVEN</t>
  </si>
  <si>
    <t>Kleinverbruik (t/m 40 m3/h)</t>
  </si>
  <si>
    <t>Vastrecht (TOVT)</t>
  </si>
  <si>
    <t>Capaciteitsafhankelijk tarief (TAVTc)</t>
  </si>
  <si>
    <t>Profielgrootverbruik ( &gt;40 m3/h)</t>
  </si>
  <si>
    <t>Telemetriegrootverbruik (&lt; 16 bar)</t>
  </si>
  <si>
    <t>Geen onderscheid LD/HD: Standaard</t>
  </si>
  <si>
    <t>REKENCAPACITEITEN</t>
  </si>
  <si>
    <t>Volumes invoeding gas 2013</t>
  </si>
  <si>
    <t>Volumes invoeding gas 2014</t>
  </si>
  <si>
    <t>Volumes invoeding gas 2015</t>
  </si>
  <si>
    <t>Ophalen gegevens voor berekening: Gemiddelde volumes invoeding gas 2013-2015</t>
  </si>
  <si>
    <t xml:space="preserve">Gemiddelde volumes invoeding gas 2013-2015 </t>
  </si>
  <si>
    <t>Voor de kapitaalkosten van lokale heffingen is ook een uitbreiding van de GAW-sheet noodzakelijk. Om tot de juiste kapitaalkosten te komen worden de volgende stappen doorlopen:</t>
  </si>
  <si>
    <t>3. Op het blad 'Dashboard Boekjaar' kunnen nu de afschrijvingen en boekwaarde van afgekochte precario voor Intergas (tegenwoordig onderdeel van Enexis) en RENDO worden afgelezen. Voor alle andere netbeheerders zijn de bedragen nul.</t>
  </si>
  <si>
    <t>In onderstaand overzicht zijn de gegevens opgenomen die voor deze bewerking gebruikt zijn. In de gehele x-factorberekening wordt nu doorgerekend met deze nieuwe gegevens, waarbij de PV overigens niet beïnvloed wordt.</t>
  </si>
  <si>
    <t>KOSTENDATA</t>
  </si>
  <si>
    <t>Transportdienst &lt; 16 Bar</t>
  </si>
  <si>
    <t xml:space="preserve">Precario </t>
  </si>
  <si>
    <t>Gedoogbelastingen</t>
  </si>
  <si>
    <t>RESULTAAT</t>
  </si>
  <si>
    <t>Uitkomsten TI-berekening na aanpassing van gegevens (zie toelichting hierboven)</t>
  </si>
  <si>
    <t>Nacalculatiebedrag</t>
  </si>
  <si>
    <t>2011</t>
  </si>
  <si>
    <t>2012</t>
  </si>
  <si>
    <t>2013</t>
  </si>
  <si>
    <t>2014</t>
  </si>
  <si>
    <t>2015</t>
  </si>
  <si>
    <t>2016</t>
  </si>
  <si>
    <t>2017</t>
  </si>
  <si>
    <t>2018</t>
  </si>
  <si>
    <t>2019</t>
  </si>
  <si>
    <t>2020</t>
  </si>
  <si>
    <t>2021</t>
  </si>
  <si>
    <t>De relatieve wijziging van de consumentenprijsindex wordt berekend uit het quotiënt van van deze index, gepubliceerd in de vierde maand voorafgaande aan het jaar t, en van deze index, gepubliceerd</t>
  </si>
  <si>
    <t>in de zestiende maand voorafgaande aan het jaar t, zoals deze maandelijks wordt vastgesteld door het CBS.</t>
  </si>
  <si>
    <t>%</t>
  </si>
  <si>
    <t>Data rentepercentage tariefcorrecties</t>
  </si>
  <si>
    <t>Toelichting gegevens rentepercentage tariefcorrecties</t>
  </si>
  <si>
    <t>Rentepercentage tariefcorrecties</t>
  </si>
  <si>
    <t>Eerste kwartaal</t>
  </si>
  <si>
    <t>Tweede kwartaal</t>
  </si>
  <si>
    <t>Derde kwartaal</t>
  </si>
  <si>
    <t>Vierde kwartaal</t>
  </si>
  <si>
    <t>Voor bedragen oorspronkelijk in prijspeil 2017</t>
  </si>
  <si>
    <t>Voor bedragen oorspronkelijk in prijspeil 2016</t>
  </si>
  <si>
    <t>Voor bedragen oorspronkelijk in prijspeil 2015</t>
  </si>
  <si>
    <t>Voor bedragen oorspronkelijk in prijspeil 2014</t>
  </si>
  <si>
    <t>Voor bedragen oorspronkelijk in prijspeil 2013</t>
  </si>
  <si>
    <t>Voor bedragen oorspronkelijk in prijspeil 2012</t>
  </si>
  <si>
    <t>Voor bedragen oorspronkelijk in prijspeil 2011</t>
  </si>
  <si>
    <t>Mutatie van bedrag in oorspronkelijk prijspeil naar boekjaar</t>
  </si>
  <si>
    <t>Samengesteld percentage op basis van juli - juli mutatie:</t>
  </si>
  <si>
    <t>Boekjaar waarvoor mutatie rentepercentage berekend wordt:</t>
  </si>
  <si>
    <t>Berekening rentepercentage tariefcorrecties op jaarbasis</t>
  </si>
  <si>
    <t>Berekening mutatie rentepercentage tariefcorrecties over meerdere jaren</t>
  </si>
  <si>
    <t>Berekening op basis van parameters</t>
  </si>
  <si>
    <t>Totale Inkomsten exclusief correcties</t>
  </si>
  <si>
    <t>Begininkomsten 2016</t>
  </si>
  <si>
    <t>X-factor 2017-2021</t>
  </si>
  <si>
    <t>cpi 2017</t>
  </si>
  <si>
    <t>cpi 2018</t>
  </si>
  <si>
    <t>TI 2017 (exclusief correcties)</t>
  </si>
  <si>
    <t>TI 2018 (exclusief correcties)</t>
  </si>
  <si>
    <t>cpi 2019</t>
  </si>
  <si>
    <t>TI 2019 (exclusief correcties)</t>
  </si>
  <si>
    <t>X-factor</t>
  </si>
  <si>
    <t>Begininkomsten</t>
  </si>
  <si>
    <t>Input x-factoren en begininkomsten</t>
  </si>
  <si>
    <t>COTEQ</t>
  </si>
  <si>
    <t>Met ingang van 1 juli 2017 droeg Stedin het beheer van een deel van haar netgebied over aan Enexis. Het betreft hier het netgebied van Weert, voor zowel gas als elektriciteit.</t>
  </si>
  <si>
    <t>Het te verschuiven TI-bedrag is vastgesteld op basis van door Stedin en Enexis aangeleverde informatie met betrekking tot de aantallen afnemers in het overgedragen netgebied.</t>
  </si>
  <si>
    <t>Het TI-bedrag wat van Stedin wordt verschoven naar Enexis is gebaseerd op het aandeel van de toegestane inkomsten in 2017 van Stedin dat ziet op het netgebied Weert.</t>
  </si>
  <si>
    <t>Ophalen gegevens</t>
  </si>
  <si>
    <t>Begininkomsten 2016 (exclusief correcties) na aanpassing gegevens</t>
  </si>
  <si>
    <t>(virtuele) X-factor 2017-2021 na aanpassing gegevens</t>
  </si>
  <si>
    <t xml:space="preserve">StatLine </t>
  </si>
  <si>
    <t>https://opendata.cbs.nl/#/CBS/nl/dataset/83131NED/table?ts=1528811296678</t>
  </si>
  <si>
    <t>Belastingdienst</t>
  </si>
  <si>
    <t>https://www.belastingdienst.nl/wps/wcm/connect/bldcontentnl/standaard_functies/prive/contact/rechten_en_plichten_bij_de_belastingdienst/belastingrente/overzicht_percentages_belastingrente</t>
  </si>
  <si>
    <t>EUR, pp 2016</t>
  </si>
  <si>
    <t>EUR, pp 2019</t>
  </si>
  <si>
    <t>EUR, pp 2017</t>
  </si>
  <si>
    <t>EUR, pp 2018</t>
  </si>
  <si>
    <t>n.v.t.</t>
  </si>
  <si>
    <t>Informatieverzoek Invoeding groen gas 2013-2015</t>
  </si>
  <si>
    <t xml:space="preserve">Parameters </t>
  </si>
  <si>
    <t>Dit procentuele aandeel is berekend in de TI-berekening regionale netbeheerders gas 2018.</t>
  </si>
  <si>
    <t>Berekening richtbedragen</t>
  </si>
  <si>
    <t>Vanuit het oogpunt van kostenoriëntatie is het van belang dat de tariefinkomsten voor de transport- en aansluitdienst de verhouding in onderliggende kosten weerspiegelen.</t>
  </si>
  <si>
    <t>Om de richtbedragen te berekenen worden de volgende stappen doorlopen:</t>
  </si>
  <si>
    <t>- Ten eerste worden de efficiënte kosten voor de eenmalige aansluitdienst (EAV) bepaald aan de hand van gegevens uit het x-factormodel.</t>
  </si>
  <si>
    <t>- Ten tweede worden de efficiënte kosten voor 2016 en 2021 bepaald, onderverdeeld naar de transportdienst, de periodieke aansluitvergoeding (PAV), de EAV en EHD.</t>
  </si>
  <si>
    <t>Aandeel TD in efficiënte kosten 2016</t>
  </si>
  <si>
    <t>Aandeel AD PAV in efficiënte kosten 2016</t>
  </si>
  <si>
    <t>Aandeel AD EAV in efficiënte kosten 2016</t>
  </si>
  <si>
    <t>Aandeel TD in efficiënte kosten 2021</t>
  </si>
  <si>
    <t>Aandeel AD PAV in efficiënte kosten 2021</t>
  </si>
  <si>
    <t>Aandeel AD EAV in efficiënte kosten 2021</t>
  </si>
  <si>
    <t>Begininkomsten en x-factoren</t>
  </si>
  <si>
    <t>Verschuiving TI-aandeel Weert van Stedin</t>
  </si>
  <si>
    <t>Nacalculatiebedrag gederfde inkomsten a.g.v. te hoge vaststelling rekenvolumes</t>
  </si>
  <si>
    <t>Correctie gederfde inkomsten a.g.v. te hoge vaststelling rekenvolumes</t>
  </si>
  <si>
    <t>Correctie overdracht Weert</t>
  </si>
  <si>
    <t>doorrekening in GAW-sheet</t>
  </si>
  <si>
    <r>
      <t>m</t>
    </r>
    <r>
      <rPr>
        <sz val="9"/>
        <color theme="1"/>
        <rFont val="Arial"/>
        <family val="2"/>
      </rPr>
      <t>3</t>
    </r>
    <r>
      <rPr>
        <sz val="10"/>
        <color theme="1"/>
        <rFont val="Arial"/>
        <family val="2"/>
      </rPr>
      <t>/uur</t>
    </r>
  </si>
  <si>
    <t>Per 1 januari 2017 is netbeheerder Endinet opgegaan in Enexis. Om deze reden zijn de invoedingsvolumes van Endinet opgeteld bij de volumes van Enexis in de roze cellen.</t>
  </si>
  <si>
    <t>Data cpi</t>
  </si>
  <si>
    <t>Toelichting vaststelling jaarlijks cpi-percentage</t>
  </si>
  <si>
    <t>cpi percentage</t>
  </si>
  <si>
    <t>De heffingsrente is na 2012 vervangen door de belastingrente.</t>
  </si>
  <si>
    <t>De belastingrente wordt ieder kwartaal gepubliceerd door het Ministerie van Financiën.</t>
  </si>
  <si>
    <t>Deze percentages zijn te vinden op de websites van de rijksoverheid en de belastingdienst (zie onder voor bron).</t>
  </si>
  <si>
    <t>De paarse cellen betreffen een schatting, op basis van het laatst bekende kwartaal.</t>
  </si>
  <si>
    <t>Bron: https://www.belastingdienst.nl</t>
  </si>
  <si>
    <t>De gegevens zijn afkomstig uit StatLine, zie de reeks: Jaarmutatie consumentenprijsindex; vanaf 1963 (www.cbs.nl)</t>
  </si>
  <si>
    <t>1. Voor de bewerking wordt gebruik gemaakt van de GAW sheet bij x-factorbesluiten RNB’s gas 2017-2021</t>
  </si>
  <si>
    <t>4. Deze gegevens worden vervolgens, na correctie voor het juiste CPI niveau, ingevoerd in de GAW-tabellen in het x-factorbesluit op het blad 'Import GAW' voor de jaren 2013 t/m 2015.</t>
  </si>
  <si>
    <t>Op dit blad worden input gegevens berekend voor relevante parameters in de berekening van de Totale Inkomsten</t>
  </si>
  <si>
    <t>Voor bedragen oorspronkelijk in prijspeil 2018</t>
  </si>
  <si>
    <t>Aangezien de ACM hiervoor deze volumes niet in mindering heeft gebracht, bestaan de rekenvolumes van de netbeheerders voor een deel uit volumes waar geen inkomsten tegenover staan.</t>
  </si>
  <si>
    <t>Aansluitdienst &lt; 16 Bar - aansluitingen t/m 40 m3/n/h</t>
  </si>
  <si>
    <t>Aansluitdienst &lt; 16 Bar - aansluitingen &gt; 40 m3/n/h</t>
  </si>
  <si>
    <t>Deze parameters betreffen achtereenvolgens: cpi en rentepercentage tariefcorrecties</t>
  </si>
  <si>
    <t>Verschuiving TI-aandeel als gevolg van overdracht Weert</t>
  </si>
  <si>
    <t xml:space="preserve">https://www.acm.nl/nl/publicaties/publicatie/16355/GAW-sheet-bij-x-factorbesluiten-RNBs-gas-2017-2021 </t>
  </si>
  <si>
    <t>cpi 2020</t>
  </si>
  <si>
    <t>EUR, pp 2020</t>
  </si>
  <si>
    <t>TI 2020 (exclusief correcties)</t>
  </si>
  <si>
    <t>Voor bedragen oorspronkelijk in prijspeil 2019</t>
  </si>
  <si>
    <t>Tarievenbesluit regionale netbeheerders gas 2019</t>
  </si>
  <si>
    <t>Gemiste omzet 2019</t>
  </si>
  <si>
    <t>Ten behoeve hiervan neemt de ACM hier een berekening op van de richtbedragen voor de transport- en aansluitdienst, op basis van het nieuwe x-factormodel voor de periode 2017-2021.</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</si>
  <si>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</si>
  <si>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</si>
  <si>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Data en input (bron wordt vermeld)</t>
  </si>
  <si>
    <t>Dit moment wordt in de Tarievencode Gas gespecificeerd als de datum waarop melding wordt gemaakt van het betreffende faillissement in de Staatscourant.</t>
  </si>
  <si>
    <t>De netbeheerder dient een verzoek tot correctie te voorzien van een goedkeurende accountantsverklaring van de gederfde inkomsten.</t>
  </si>
  <si>
    <t>Inkomsten die de netbeheerder in een later stadium alsnog heeft kunnen verhalen op de failliete boedel worden in mindering gebracht op de tarieven twee jaar na het jaar van het einde van het faillissement van de vergunninghouder.</t>
  </si>
  <si>
    <t>Gederfde inkomsten</t>
  </si>
  <si>
    <t>Gederfde inkomsten in twee maanden voorafgaand aan faillissement</t>
  </si>
  <si>
    <t>Informatieverzoek faillissement leveranciers</t>
  </si>
  <si>
    <t xml:space="preserve">Als gevolg van het faillissement ontvangen de netbeheerders een vergoeding voor de gederfde inkomsten in de twee maanden voor de uitspraak van het faillissement. </t>
  </si>
  <si>
    <t>De te ontvangen vergoeding is inclusief heffingsrente. Op dit tabblad berekent de ACM het correctiebedrag gederfde inkomsten inclusief heffingsrente.</t>
  </si>
  <si>
    <t>EAV 2013</t>
  </si>
  <si>
    <t>EAV 2014</t>
  </si>
  <si>
    <t>EAV 2015</t>
  </si>
  <si>
    <t>PV</t>
  </si>
  <si>
    <t>cpi 2017-2021</t>
  </si>
  <si>
    <t>Efficiënte kosten 2016 AD</t>
  </si>
  <si>
    <t>Efficiënte kosten 2021 AD</t>
  </si>
  <si>
    <t>Efficiënte kosten EAV 2016</t>
  </si>
  <si>
    <t>Efficiënte kosten EAV 2021</t>
  </si>
  <si>
    <t>Efficiënte kosten 2016 TD</t>
  </si>
  <si>
    <t>Efficiënte kosten 2016 AD PAV</t>
  </si>
  <si>
    <t>Efficiënte kosten 2016 AD EAV</t>
  </si>
  <si>
    <t>Efficiënte kosten 2016</t>
  </si>
  <si>
    <t>Efficiënte kosten 2021 TD</t>
  </si>
  <si>
    <t>Efficiënte kosten 2021 AD PAV</t>
  </si>
  <si>
    <t>Efficiënte kosten 2021 AD EAV</t>
  </si>
  <si>
    <t>Efficiënte kosten 2021</t>
  </si>
  <si>
    <t>Input richtbedragen</t>
  </si>
  <si>
    <t xml:space="preserve">Beschrijving </t>
  </si>
  <si>
    <t>Ophalen efficiënte kosten EAV</t>
  </si>
  <si>
    <t>Berekening efficiënte kosten</t>
  </si>
  <si>
    <t xml:space="preserve">Berekening aandelen in totale efficiënte kosten </t>
  </si>
  <si>
    <t>EUR, pp 2013</t>
  </si>
  <si>
    <t>EUR, pp 2014</t>
  </si>
  <si>
    <t>EUR, pp 2015</t>
  </si>
  <si>
    <t>EUR, pp 2021</t>
  </si>
  <si>
    <t>Netverliezen gas</t>
  </si>
  <si>
    <t>Nieuwe aansluittaak</t>
  </si>
  <si>
    <t>De ACM heeft de efficiënte kosten voor beide taken in een separaat Excelbestand vastgesteld.</t>
  </si>
  <si>
    <t>In de huidige module verwerkt de ACM de uitkomsten hiervan in de TI-berekening.</t>
  </si>
  <si>
    <t>Nieuwe aansluittaak - deel PAV</t>
  </si>
  <si>
    <t>Nieuwe aansluittaak - deel EAV</t>
  </si>
  <si>
    <t>Btw</t>
  </si>
  <si>
    <t>De opgegeven gederfde inkomsten zijn exclusief btw. Op dit tabblad verhoogt de ACM de gederfde inkomsten met de btw.</t>
  </si>
  <si>
    <t>Data belastingen</t>
  </si>
  <si>
    <t>Deze parameters betreffen achtereenvolgens de cpi, het rentepercentage tariefcorrecties en de btw</t>
  </si>
  <si>
    <t>- Uitzondering hierop vormen de inkomsten als gevolg van de nieuwe taken en de correctie EHD. Deze worden afzonderlijk meegenomen in het berekenen van de richtbedragen voor de TD, AD PAV, AD EAV en EHD.</t>
  </si>
  <si>
    <t>Berekening totale inkomsten regionale netbeheerders gas 2021</t>
  </si>
  <si>
    <t>Tarievenbesluiten regionale netbeheerders gas 2021</t>
  </si>
  <si>
    <t>Individuele tarievenmodules RNB gas 2021</t>
  </si>
  <si>
    <t>Dit Excel-bestand bevat de berekening van de Totale Inkomsten (TI) voor het jaar 2021 voor de regionale netbeheerders gas.</t>
  </si>
  <si>
    <t>In dit bestand worden de berekeningen gepresenteerd voor de vaststelling van de tarieven voor 2021, inclusief de berekening van de nacalculatiebedragen.</t>
  </si>
  <si>
    <t>Deze berekeningen maken onderdeel uit van de tarievenbesluiten gas 2021.</t>
  </si>
  <si>
    <t>Reguleringsdata 2019</t>
  </si>
  <si>
    <t>Lokale heffingen 2019</t>
  </si>
  <si>
    <t>Op dit blad worden input gegevens verzameld voor de nacalculatie 'Lokale heffingen 2019'. De berekening is uitgevoerd in het kostenbestand behorende bij de x-factorberekeningen RNB’s gas 2017-2021.</t>
  </si>
  <si>
    <t>Voor de operationele kosten van lokale heffingen wordt gebruik gemaakt van de reguleringsdata over 2019. Deze bedragen worden, na correctie voor het juiste CPI niveau, ingevoerd op het blad 'Import kosten 2012-2015' voor de jaren 2013 t/m 2015.</t>
  </si>
  <si>
    <t>Toegestane inkomsten voor 2019 o.b.v. daadwerkelijke kosten voor lokale heffingen</t>
  </si>
  <si>
    <t>Reguleringsdata 2019, tabel 3A - Operat. kosten TD, cel 3A.A.44</t>
  </si>
  <si>
    <t>Reguleringsdata 2019, tabel 3A - Operat. kosten TD, cel 3A.A.45</t>
  </si>
  <si>
    <t>Reguleringsdata 2019, Tabel 3B - Operat. kosten AD, cel 3B.A.3</t>
  </si>
  <si>
    <t>Reguleringsdata 2019, Tabel 3B - Operat. kosten AD, cel 3B.A.4</t>
  </si>
  <si>
    <t>Reguleringsdata 2019, Tabel 3B - Operat. kosten AD, cel 3B.B.43</t>
  </si>
  <si>
    <t>Reguleringsdata 2019, Tabel 3B - Operat. kosten AD, cel 3B.B.44</t>
  </si>
  <si>
    <t>Kapitaalkosten die volgen uit bewerkte GAW-berekening voor kosten Precario-afkoop 2019</t>
  </si>
  <si>
    <t>Operationele kosten Lokale Heffingen 2019 op basis van RD2019</t>
  </si>
  <si>
    <t>2. Op blad InpC wordt de CPI ingevuld voor 2019 (2,1%).</t>
  </si>
  <si>
    <t>cpi 2021</t>
  </si>
  <si>
    <t>Ten behoeve van de nacalculatie worden op dit tabblad de tarieven 2020 en de invoedingsvolumes per netbeheerder opgehaald voor de jaren 2013 tot en met 2015.</t>
  </si>
  <si>
    <t>Invoeding groen gas 2020</t>
  </si>
  <si>
    <t>Op dit blad worden input gegevens verzameld voor de nacalculatie 'Invoeding groen gas 2020'.</t>
  </si>
  <si>
    <t>Tarievenbesluit regionale netbeheerders gas 2020</t>
  </si>
  <si>
    <t>Tarievencode gas, onder Artikel 2.22 lid 6f</t>
  </si>
  <si>
    <t>Tarievencode gas, onder Artikel 2.28 lid 6b</t>
  </si>
  <si>
    <t>Input nieuwe taken 2021</t>
  </si>
  <si>
    <t>Omdat met deze taken nog geen rekening kon worden gehouden in het methodebesluit en de x-factorbesluiten, maakt de ACM een correctie voor de efficiënte kosten voor deze taken.</t>
  </si>
  <si>
    <t>De op dit tabblad berekende bedragen zijn enkel van toepassing binnen de context van de berekening van de richtbedragen voor de tarievenbesluiten 2021.</t>
  </si>
  <si>
    <t>- Vervolgens worden op basis van de aandelen in de efficiënte kosten in de jaren 2016 en 2021 de aandelen in de inkomsten voor het jaar 2021 bepaald.</t>
  </si>
  <si>
    <t>- Op basis van de aandelen in de inkomsten voor het jaar 2021 worden de richtbedragen bepaald.</t>
  </si>
  <si>
    <t>Voor bedragen oorspronkelijk in prijspeil 2020</t>
  </si>
  <si>
    <t>Mutatie rentepercentage van 2020 naar 2021</t>
  </si>
  <si>
    <t>De ACM berekent het nacalculatiebedrag voor de te hoog vastgestelde rekenvolumes door de gemiddelde volumes voor invoeding groen gas in de jaren 2013 tot en met 2015 te vermenigvuldigen met de tarieven voor het jaar 2020.</t>
  </si>
  <si>
    <t>Berekening nacalculatie ORV Lokale Heffingen 2019</t>
  </si>
  <si>
    <t>In deze nacalculatie wordt bepaald welk inkomstenbedrag de netbeheerders gekregen zouden hebben wanneer de gegevens over lokale heffingen over 2019 bekend zouden zijn geweest bij het vaststellen van de x-factoren voor de reguleringsperiode 2017-2021 (REG2017).</t>
  </si>
  <si>
    <t>Toegestane inkomsten voor 2019 o.b.v.  geschatte kosten voor lokale heffingen</t>
  </si>
  <si>
    <t>Mutatie rentepercentage van 2019 naar 2021</t>
  </si>
  <si>
    <t>Correctie Lokale Heffingen 2019</t>
  </si>
  <si>
    <t>Toegestane inkomsten 2019 o.b.v. virtuele x-factor</t>
  </si>
  <si>
    <t>Nacalculatiebedrag Lokale Heffingen 2019</t>
  </si>
  <si>
    <t>Berekening nacalculatie Robin Energie B.V. 2019</t>
  </si>
  <si>
    <t>Correctie faillissement Robin Energie B.V. 2019</t>
  </si>
  <si>
    <t>In de tarieven van 2021 zal de ACM rekening houden met de verschuiving van tariefruimte tussen Stedin en Enexis.</t>
  </si>
  <si>
    <t>De ACM past dit procentuele aandeel  toe op de toegestane inkomsten (excl. correcties) van Stedin in het jaar 2021 om de tussen Stedin en Enexis te verschuiven tariefruimte te bepalen.</t>
  </si>
  <si>
    <t>TI (excl. correcties) Stedin 2021</t>
  </si>
  <si>
    <t>Correcties in tarieven 2021</t>
  </si>
  <si>
    <t>Totaalbedrag Correcties in TI 2021</t>
  </si>
  <si>
    <t>TI-berekening 2021</t>
  </si>
  <si>
    <t>Te verschuiven tariefruimte Weert 2021</t>
  </si>
  <si>
    <t>Overdracht Weert TI 2021</t>
  </si>
  <si>
    <t>Totale inkomsten 2021 inclusief correcties</t>
  </si>
  <si>
    <t>Totale inkomsten 2021 (incl. correcties)</t>
  </si>
  <si>
    <t>Overdracht netgebied Weert TI 2021</t>
  </si>
  <si>
    <t>Faillissement Robin Energie B.V. 2019</t>
  </si>
  <si>
    <t>TI 2021 (inclusief correcties, m.u.v. nieuwe taken en EHD)</t>
  </si>
  <si>
    <t>Inkomsten TD 2021 o.b.v. ingroei</t>
  </si>
  <si>
    <t>Inkomsten AD PAV 2021 o.b.v. ingroei - bestaande taken</t>
  </si>
  <si>
    <t>Inkomsten AD PAV 2021 - nieuwe taken</t>
  </si>
  <si>
    <t>Inkomsten AD EAV 2021 o.b.v. ingroei - bestaande taken</t>
  </si>
  <si>
    <t>Inkomsten AD EAV 2021 - nieuwe taken</t>
  </si>
  <si>
    <t>Input Robin Energie B.V. 2019</t>
  </si>
  <si>
    <t>Op 26 februari 2019 heeft de Rechtbank Midden Nederland het faillissement van Robin Energie B.V. uitgesproken. Op basis van de Tarievencode Gas mogen gederfde inkomsten als gevolg van toepassing van het leveranciersmodel worden verrekend in de tarieven van de netbeheerder.</t>
  </si>
  <si>
    <r>
      <t>Voor Robin Energie is dit 1 maart 2019, wat betekent dat alleen gederfde tariefinkomsten vanaf 1 januari 2019 tot en met 28 februari 2019</t>
    </r>
    <r>
      <rPr>
        <sz val="10"/>
        <rFont val="Arial"/>
        <family val="2"/>
      </rPr>
      <t xml:space="preserve"> kunnen worden verrekend. </t>
    </r>
  </si>
  <si>
    <t>Deze verrekening heeft ten hoogste betrekking op de gederfde tariefinkomsten gedurende twee maanden voorafgaand aan het moment waarop de vergunninghouder in staat van faillissement is verklaard.</t>
  </si>
  <si>
    <t>Op dit blad worden input gegevens verzameld voor relevante parameters in de berekening van de Totale Inkomsten.</t>
  </si>
  <si>
    <t>Bijlage-2-tarievenblad-Coteq-gas-2019; Bijlage-2-tarievenblad-Enduris-gas-2019; Bijlage-2-tarievenblad-Enexis-gas-2019; Bijlage-2-tarievenblad-Liander-gas-2019; Bijlage-2-tarievenblad-RENDO-gas-2019; Bijlage-2-tarievenblad-Stedin-gas-2019; Bijlage-2-tarievenblad-Westland-gas-2019</t>
  </si>
  <si>
    <t>Bijlage-2-tarievenblad-Coteq-gas-2020; Bijlage-2-tarievenblad-Enduris-gas-2020; Bijlage-2-tarievenblad-Enexis-gas-2020; Bijlage-2-tarievenblad-Liander-gas-2020; Bijlage-2-tarievenblad-RENDO-gas-2020; Bijlage-2-tarievenblad-Stedin-gas-2020; Bijlage-2-tarievenblad-Westland-gas-2020</t>
  </si>
  <si>
    <t>Procedure verrekening gederfde inkomsten faillissement leveranciers (informatieverzoek d.d. 4 juni 2019)</t>
  </si>
  <si>
    <t>TI-bedrag 2019 o.b.v. gewijzigde x-factorberekening</t>
  </si>
  <si>
    <t>Ten behoeve hiervan neemt ACM hier een berekening op van de richtbedragen voor de transport- en aansluitdienst, op basis van het gewijzigde x-factormodel voor de periode 2017-2021.</t>
  </si>
  <si>
    <t>Saldo verrekenen i.v.m. lagere tarieven RENDO 2019</t>
  </si>
  <si>
    <t>De ACM stelt jaarlijks de maximum tarieven vast per netbeheerder. In 2019 heeft RENDO tarieven gehanteerd die onder de maximum tarieven lagen.</t>
  </si>
  <si>
    <t xml:space="preserve">In maximumtarieven kunnen correcties worden gemaakt om rekening te houden met effecten van voorgaande jaren. </t>
  </si>
  <si>
    <t>De ACM heeft besloten om, indien het saldo van deze latere correcties over het jaar 2019 tot een lager niveau van inkomsten leidt, er rekening mee te houden dat RENDO in 2019 met de daadwerkelijk gehanteerde tarieven minder dan de totale inkomsten op basis van de maximum tarieven heeft behaald.</t>
  </si>
  <si>
    <t>Nacalculatie saldo verrekenen i.v.m. lagere tarieven RENDO 2019</t>
  </si>
  <si>
    <t>TI 2019</t>
  </si>
  <si>
    <t>TI-bedrag (inclusief correcties) conform tarievenbesluit 2019</t>
  </si>
  <si>
    <t>TI-bedrag (inclusief correcties) met daadwerkelijk gehanteerde tarieven 2019</t>
  </si>
  <si>
    <t xml:space="preserve">Bron: Tarievenbesluit 2019 RENDO - somproduct tarieven en rekenvolumina </t>
  </si>
  <si>
    <t>Bron: Tarievenblad daadwerkelijke tarieven 2019 RENDO - somproduct tarieven en rekenvolumina</t>
  </si>
  <si>
    <t>Maximaal te verrekenen i.v.m. lagere tarieven RENDO over 2019</t>
  </si>
  <si>
    <t>Nacalculaties over 2019 na tariefjaar 2019</t>
  </si>
  <si>
    <t>Nacalculatie lokale heffingen 2019</t>
  </si>
  <si>
    <t>Correctie</t>
  </si>
  <si>
    <t>Indien er een negatief saldo vanuit de nacalculaties over 2019 resulteert, wordt dit met deze correctie (nacalculatie saldo verrekenen i.v.m. lagere tarieven RENDO) gecompenseerd, tot aan het bedrag van inkomsten dat RENDO over 2019 met de lagere tarieven niet heeft benut.</t>
  </si>
  <si>
    <t>Input nacalculatie na wijziging x-factoren n.a.v. CBb uitspraak 28 november 2019</t>
  </si>
  <si>
    <t>Als gevolg van het herstel van de x-factoren voor de reguleringsperiode 2017-2021, zouden de regionale netbeheerders andere totale inkomsten hebben gekend voor de jaren 2017, 2018, 2019 en 2020.</t>
  </si>
  <si>
    <t>Op 28 november 2019 heeft het CBb het gewijzigde methodebesluit voor de regionale netbeheerders gas en elektriciteit van 24 januari 2019 vernietigd, voor wat betreft de hoogte van de WACC voor 2021. Vervolgens heeft het CBb zelf de hoogte van de WACC bepaald.</t>
  </si>
  <si>
    <t>Berekening nacalculatie na wijziging x-factoren n.a.v. CBb uitspraak 28 november 2019</t>
  </si>
  <si>
    <t>Efficiënte kosten EAV</t>
  </si>
  <si>
    <t>Input gewijzigde x-factoren</t>
  </si>
  <si>
    <t>Totale inkomsten uit tarievenbesluiten</t>
  </si>
  <si>
    <t>Berekening totale inkomsten 2017 RNB gas; Berekening totale inkomsten 2018 RNB gas; Berekening totale inkomsten 2019 RNB gas; Berekening totale inkomsten 2020 RNB gas</t>
  </si>
  <si>
    <t>Berekening totale inkomsten 2017 regionaal netbeheer gas; Berekening totale inkomsten 2018 regionaal netbeheer gas; Berekening totale inkomsten 2019 regionaal netbeheer gas; Berekening totale inkomsten 2020 regionaal netbeheer gas</t>
  </si>
  <si>
    <t>CPI</t>
  </si>
  <si>
    <t>Kale TI-bedragen 2017-2020 uit tarievenbesluiten</t>
  </si>
  <si>
    <t>Nieuwe kale TI-bedragen 2017-2020</t>
  </si>
  <si>
    <t>Aandeel EHD</t>
  </si>
  <si>
    <t>Aandeel EHD in efficiënte kosten 2016</t>
  </si>
  <si>
    <t>Verschuiving nacalculatie TI-bedrag 2017</t>
  </si>
  <si>
    <t>Procentuele verschuiving van TI-bedrag van Stedin naar Enexis</t>
  </si>
  <si>
    <t>Verschuiving nacalculatie TI-bedrag 2018</t>
  </si>
  <si>
    <t>Verschuiving nacalculatie TI-bedrag 2019</t>
  </si>
  <si>
    <t>Verschuiving nacalculatie TI-bedrag 2020</t>
  </si>
  <si>
    <t>Verschil TI-bedragen</t>
  </si>
  <si>
    <t>Verschil TI-bedragen 2017 (voor overdracht Weert)</t>
  </si>
  <si>
    <t>Verschil TI-bedragen 2018 (voor overdracht Weert)</t>
  </si>
  <si>
    <t>Verschil TI-bedragen 2019 (voor overdracht Weert)</t>
  </si>
  <si>
    <t>Verschil TI-bedragen 2020 (voor overdracht Weert)</t>
  </si>
  <si>
    <t>Nacalculatie verschil TI-bedragen 2017</t>
  </si>
  <si>
    <t>Nacalculatie verschil TI-bedragen 2018</t>
  </si>
  <si>
    <t>Nacalculatie verschil TI-bedragen 2019</t>
  </si>
  <si>
    <t>Nacalculatie verschil TI-bedragen 2020</t>
  </si>
  <si>
    <t>Nacalculatiebedragen in Tarieven 2021</t>
  </si>
  <si>
    <t>Totale nacalculatie gewijzigde x-factoren 2017-2020</t>
  </si>
  <si>
    <t>ENExIS</t>
  </si>
  <si>
    <t>Berekening kosten nieuwe aansluittaak 2020, tabblad 'resultaat', regel 18</t>
  </si>
  <si>
    <t>Berekening kosten nieuwe aansluittaak 2020, tabblad 'resultaat', regel 19</t>
  </si>
  <si>
    <t>Berekening kosten nieuwe aansluittaak 2021</t>
  </si>
  <si>
    <t>Berekening kosten nieuwe aansluittaak gas 2021</t>
  </si>
  <si>
    <t>Berekening aandeel efficiënte kosten</t>
  </si>
  <si>
    <t>Kale TI 2017 (exclusief correcties en EHD)</t>
  </si>
  <si>
    <t>TI 2017 (exclusief correcties en EHD)</t>
  </si>
  <si>
    <t>TI 2021 (exclusief correcties en EHD)</t>
  </si>
  <si>
    <t>TI-bedragen 2017-2020 exclusief EHD</t>
  </si>
  <si>
    <t>Aandeel EHD in inkomsten 2020 o.b.v. ingroei</t>
  </si>
  <si>
    <t>Aandeel EHD uit tarievenbesluiten</t>
  </si>
  <si>
    <t>Berekening totale inkomsten 2020 RNB gas, tabblad 'Richtbedragen', rij 65</t>
  </si>
  <si>
    <t xml:space="preserve">Richtbedrag EHD gewijzigd TI-bedrag 2017 </t>
  </si>
  <si>
    <t xml:space="preserve">Richtbedrag EHD gewijzigd TI-bedrag 2018 </t>
  </si>
  <si>
    <t xml:space="preserve">Richtbedrag EHD gewijzigd TI-bedrag 2019 </t>
  </si>
  <si>
    <t>Berekening totale inkomsten 2020 RNB gas, tabblad 'Gewijzigde x-factoren', rij 104</t>
  </si>
  <si>
    <t>Berekening totale inkomsten 2020 RNB gas, tabblad 'Gewijzigde x-factoren', rij 102</t>
  </si>
  <si>
    <t>Berekening totale inkomsten 2020 RNB gas, tabblad 'Gewijzigde x-factoren', rij 103</t>
  </si>
  <si>
    <t>Berekening totale inkomsten 2020 RNB gas, tabblad 'TI-berekening 2020', rij 23</t>
  </si>
  <si>
    <t>Berekening totale inkomsten 2020 RNB gas, tabblad 'TI-berekening 2020', rij 20</t>
  </si>
  <si>
    <t>Berekening totale inkomsten 2020 RNB gas, tabblad 'TI-berekening 2020', rij 21</t>
  </si>
  <si>
    <t>Berekening totale inkomsten 2020 RNB gas, tabblad 'TI-berekening 2020', rij 22</t>
  </si>
  <si>
    <t>Afgekochte precario (Transportdienst)</t>
  </si>
  <si>
    <t>Investeringsbedrag boekjaar precario</t>
  </si>
  <si>
    <t>Afschrijvingen precario</t>
  </si>
  <si>
    <t>Boekwaarde precario</t>
  </si>
  <si>
    <t>Correcties nieuwe taken 2021</t>
  </si>
  <si>
    <t>Per 1 januari 2020 voeren de regionale netbeheerders twee nieuwe gereguleerde taken uit, namelijk (1) de inkoop van netverliezen gas en (2) de nieuwe aansluittaak, waarbij nu ook de rest van de aansluiting van grootverbruikers binnen het gereguleerde domein valt.</t>
  </si>
  <si>
    <t>Input uit tarievenbesluiten</t>
  </si>
  <si>
    <t>Verschuiving nacalculatie Weert</t>
  </si>
  <si>
    <t>Kale TI 2018 (exclusief correcties en EHD)</t>
  </si>
  <si>
    <t>Kale TI 2019 (exclusief correcties en EHD)</t>
  </si>
  <si>
    <t>Kale TI 2020 (exclusief correcties en EHD)</t>
  </si>
  <si>
    <t>Op dit tabblad worden de totale inkomsten (inclusief correcties) berekend. Dit gebeurt door de wettelijke formule toe te passen op de begininkomsten, dit resulteert in de TI 2021 (exclusief correcties). Hierop worden vervolgens correcties toegepast.</t>
  </si>
  <si>
    <t>TI 2018 (exclusief correcties en EHD)</t>
  </si>
  <si>
    <t>TI 2019 (exclusief correcties en EHD)</t>
  </si>
  <si>
    <t>TI 2020 (exclusief correcties en EHD)</t>
  </si>
  <si>
    <t>Gewijzigde x-factoren</t>
  </si>
  <si>
    <t>Faillissement Robin Energie 2019</t>
  </si>
  <si>
    <t>TI-berekening RNB gas 2018, tabblad 'Overdracht Weert TI 2018', cel F257.</t>
  </si>
  <si>
    <t>Tarieven en rekencapaciteiten 2020</t>
  </si>
  <si>
    <t>Het verschil tussen dit inkomstenbedrag en het inkomstenbedrag zoals bepaald in het tarievenbesluit 2019 (exclusief correcties), geeft het nacalculatiebedrag.</t>
  </si>
  <si>
    <t>De berekening is uitgevoerd in het gewijzigde x-factormodel voor de reguleringsperiode 2017-2021, op het inputtablad voor deze nacalculatie staat een omschrijving van deze berekening.</t>
  </si>
  <si>
    <t>Ophalen gegevens voor berekening: Tarieven en rekencapaciteiten 2020</t>
  </si>
  <si>
    <t>O.b.v. aangepaste WACC 3,3% en PV -0,02</t>
  </si>
  <si>
    <t>O.b.v. originele WACC 3,2% en PV 0,03</t>
  </si>
  <si>
    <t>De ACM heeft tevens geconstateerd dat bij de eerdere berekening en vaststelling van de x-factoren van onjuiste of onvolledige gegevens is uitgegaan. De ACM heeft deze datafouten herstelt in samenhang met het doorvoeren van de wijzigingen die het gevolg zijn van de uitspraak van het CBb in de herstel x-factoren van 17 augustus 2020.</t>
  </si>
  <si>
    <t>Berekening kosten netverliezen 2020, tabblad 'resultaat', regel 13</t>
  </si>
  <si>
    <t>Berekening kosten nieuwe aansluittaak 2020 - Correctie WACC en gewijzigde x-factoren, tabblad 'resultaat', regel 18</t>
  </si>
  <si>
    <t>Berekening kosten nieuwe aansluittaak 2020 - Correctie WACC en gewijzigde x-factoren, tabblad 'resultaat', regel 19</t>
  </si>
  <si>
    <t>Berekening kosten netverliezen 2020 - Correctie PV, tabblad 'resultaat', regel 13</t>
  </si>
  <si>
    <t>O.b.v. aangepaste PV -0,02</t>
  </si>
  <si>
    <t>O.b.v. originele PV 0,03</t>
  </si>
  <si>
    <t>Hieruit volgen nieuwe bedragen voor de TI voor de jaren 2017 tot en met 2020. Op dit tabblad haalt de ACM de originele totale inkomsten op.</t>
  </si>
  <si>
    <t>Deze herstel x-factoren zijn ook invloed op de correctie die de ACM heeft uitgevoerd voor de nieuwe aansluittaak en netverliezen gas in de tarieven 2020.</t>
  </si>
  <si>
    <t>Correctie nieuwe taken 2020 n.a.v. CBb uitspraak 28 november 2019</t>
  </si>
  <si>
    <t>Correcties</t>
  </si>
  <si>
    <t>Correctie voor aangepaste WACC en PV in nieuwe taken 2020</t>
  </si>
  <si>
    <t>Netverliezen gas 2021</t>
  </si>
  <si>
    <t>Nieuwe aansluittaak - deel PAV 2021</t>
  </si>
  <si>
    <t>Nieuwe aansluittaak - deel EAV 2021</t>
  </si>
  <si>
    <t>Netverliezen gas 2020</t>
  </si>
  <si>
    <t>Nieuwe aansluittaak - deel PAV 2020</t>
  </si>
  <si>
    <t>Nieuwe aansluittaak - deel EAV 2020</t>
  </si>
  <si>
    <t>Berekening kosten netverliezen 2020 - Correctie PV</t>
  </si>
  <si>
    <t>Berekening kosten nieuwe aansluittaak 2020 - Correctie WACC en gewijzigde x-factoren</t>
  </si>
  <si>
    <t>Tweede wijziging regionale netbeheerders gas 2017-2021 x-factorberekening (augustus 2020)</t>
  </si>
  <si>
    <t>Tweede wijziging x-factorberekening 2017-2021</t>
  </si>
  <si>
    <t>Tweede wijziging x-factorberekening 2017-2021, tabblad 'X-factor + TI-bedragen', rij 81</t>
  </si>
  <si>
    <t>Tweede wijziging x-factorberekening 2017-2021, tabblad 'X-factor + TI-bedragen', rij 85</t>
  </si>
  <si>
    <t>Tweede wijziging x-factorberekening 2017-2021, tabblad 'x-factor + TI-bedragen', rij 81, na aanpassing van gegevens zoals boven beschreven</t>
  </si>
  <si>
    <t>Tweede wijziging x-factorberekening 2017-2021, tabblad 'x-factor + TI-bedragen', rij 85, na aanpassing van gegevens zoals boven beschreven</t>
  </si>
  <si>
    <t>Tweede wijziging x-factorberekening 2017-2021, tabblad 'Totale kosten AD maatstaf', rij 21</t>
  </si>
  <si>
    <t>Tweede wijziging x-factorberekening 2017-2021, tabblad 'Totale kosten AD maatstaf', rij 32</t>
  </si>
  <si>
    <t>Tweede wijziging x-factorberekening 2017-2021, tabblad 'Totale kosten AD maatstaf', rij 43</t>
  </si>
  <si>
    <t>Tweede wijziging x-factorberekening 2017-2021, tabblad 'Productiviteitsverandering', rij 52</t>
  </si>
  <si>
    <t>Tweede wijziging x-factorberekening 2017-2021, tabblad 'WACC en cpi', rij 53</t>
  </si>
  <si>
    <t>Tweede wijziging x-factorberekening 2017-2021, tabblad 'x-factor + TI-bedragen', rij 51</t>
  </si>
  <si>
    <t>Tweede wijziging x-factorberekening 2017-2021, tabblad 'x-factor + TI-bedragen', rij 61</t>
  </si>
  <si>
    <t>Tweede wijziging x-factorberekening 2017-2021, tabblad 'Totale kosten AD maatstaf', rij 115</t>
  </si>
  <si>
    <t>Tweede wijziging x-factorberekening 2017-2021, tabblad 'x-factor + TI-bedragen', rij 36</t>
  </si>
  <si>
    <t>Tweede wijziging x-factorberekening 2017-2021, tabblad 'x-factor + TI-bedragen', rij 46</t>
  </si>
  <si>
    <t>Tweede wijziging x-factorberekening 2017-2021, tabblad 'X-factor + TI-bedragen', rij 66</t>
  </si>
  <si>
    <t>Op dit blad worden input gegevens verzameld uit de meest recente x-factorberekening voor de reguleringsperiode 2017-2021. Daarnaast haalt de ACM op dit tabblad het percentage voor de verschuiving in het TI-aandeel voor het netgebied Weert van Stedin naar Enexis op.</t>
  </si>
  <si>
    <t>Mutatie rentepercentage van 2017 naar 2021</t>
  </si>
  <si>
    <t>Mutatie rentepercentage van 2018 naar 2021</t>
  </si>
  <si>
    <t>Mutatierente</t>
  </si>
  <si>
    <t>Berekening kosten netverliezen 2021</t>
  </si>
  <si>
    <t>Berekening kosten netverliezen gas 2021</t>
  </si>
  <si>
    <t>Berekening kosten netverliezen 2021, tabblad 'Resultaat', regel 13</t>
  </si>
  <si>
    <t>Berekening kosten nieuwe aansluittaak 2021, tabblad 'Resultaat', regel 18</t>
  </si>
  <si>
    <t>Berekening kosten nieuwe aansluittaak 2021, tabblad 'Resultaat', regel 19</t>
  </si>
  <si>
    <t>https://www.acm.nl/nl/publicaties/berekening-x-factor-bij-gewijzigde-x-factorbesluiten-gas-2017-2021</t>
  </si>
  <si>
    <t>Ja</t>
  </si>
  <si>
    <t>ACM/20/040129 en ACM/20/039926 tot en met ACM/20/039933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</si>
</sst>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 * #,##0_ ;_ * \-#,##0_ ;_ * &quot;-&quot;??_ ;_ @_ "/>
    <numFmt numFmtId="166" formatCode="0.0%"/>
    <numFmt numFmtId="167" formatCode="_-* #,##0_-;_-* #,##0\-;_-* &quot;-&quot;_-;_-@_-"/>
    <numFmt numFmtId="168" formatCode="_-* #,##0.00_-;_-* #,##0.00\-;_-* &quot;-&quot;??_-;_-@_-"/>
  </numFmts>
  <fonts count="37" x14ac:knownFonts="1">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b/>
      <sz val="14"/>
      <color rgb="FFFF0000"/>
      <name val="Arial"/>
      <family val="2"/>
    </font>
    <font>
      <u/>
      <sz val="11"/>
      <color theme="1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1"/>
      <color theme="1"/>
      <name val="Calibri"/>
      <family val="2"/>
      <scheme val="minor"/>
    </font>
    <font>
      <i/>
      <sz val="10"/>
      <color theme="1"/>
      <name val="Arial"/>
      <family val="2"/>
    </font>
    <font>
      <i/>
      <sz val="10"/>
      <color rgb="FFFF0000"/>
      <name val="Arial"/>
      <family val="2"/>
    </font>
    <font>
      <b/>
      <sz val="11"/>
      <color indexed="8"/>
      <name val="Arial"/>
      <family val="2"/>
    </font>
    <font>
      <sz val="11"/>
      <color theme="1"/>
      <name val="Arial"/>
      <family val="2"/>
    </font>
    <font>
      <sz val="9"/>
      <color theme="1"/>
      <name val="Arial"/>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1FFE1"/>
        <bgColor indexed="64"/>
      </patternFill>
    </fill>
    <fill>
      <patternFill patternType="solid">
        <fgColor rgb="FF99FF99"/>
        <bgColor indexed="64"/>
      </patternFill>
    </fill>
    <fill>
      <patternFill patternType="solid">
        <fgColor theme="0" tint="-0.14996795556505021"/>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80">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24" borderId="1">
      <alignment vertical="top"/>
    </xf>
    <xf numFmtId="49" fontId="6" fillId="0" borderId="0">
      <alignment vertical="top"/>
    </xf>
    <xf numFmtId="43" fontId="5" fillId="17" borderId="0">
      <alignment vertical="top"/>
    </xf>
    <xf numFmtId="43" fontId="5" fillId="16" borderId="0">
      <alignment vertical="top"/>
    </xf>
    <xf numFmtId="43" fontId="5" fillId="14" borderId="0">
      <alignment vertical="top"/>
    </xf>
    <xf numFmtId="43" fontId="5" fillId="7" borderId="0">
      <alignment vertical="top"/>
    </xf>
    <xf numFmtId="43" fontId="5" fillId="9" borderId="0">
      <alignment vertical="top"/>
    </xf>
    <xf numFmtId="43" fontId="5" fillId="18" borderId="0">
      <alignment vertical="top"/>
    </xf>
    <xf numFmtId="49" fontId="10" fillId="0" borderId="0">
      <alignment vertical="top"/>
    </xf>
    <xf numFmtId="0" fontId="17" fillId="20" borderId="3" applyNumberFormat="0" applyAlignment="0" applyProtection="0"/>
    <xf numFmtId="0" fontId="18" fillId="21" borderId="4" applyNumberFormat="0" applyAlignment="0" applyProtection="0"/>
    <xf numFmtId="0" fontId="19" fillId="21" borderId="3" applyNumberFormat="0" applyAlignment="0" applyProtection="0"/>
    <xf numFmtId="0" fontId="20" fillId="0" borderId="5" applyNumberFormat="0" applyFill="0" applyAlignment="0" applyProtection="0"/>
    <xf numFmtId="0" fontId="14" fillId="22" borderId="6" applyNumberFormat="0" applyAlignment="0" applyProtection="0"/>
    <xf numFmtId="0" fontId="16" fillId="23" borderId="7" applyNumberFormat="0" applyFont="0" applyAlignment="0" applyProtection="0"/>
    <xf numFmtId="0" fontId="22"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29" fillId="48" borderId="0" applyNumberFormat="0" applyBorder="0" applyAlignment="0" applyProtection="0"/>
    <xf numFmtId="0" fontId="30" fillId="0" borderId="0" applyNumberForma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22" fillId="0" borderId="0" applyNumberFormat="0" applyFill="0" applyBorder="0" applyAlignment="0" applyProtection="0"/>
    <xf numFmtId="165" fontId="5" fillId="8" borderId="0"/>
    <xf numFmtId="43" fontId="5" fillId="50" borderId="0">
      <alignment vertical="top"/>
    </xf>
    <xf numFmtId="43" fontId="5" fillId="51" borderId="0">
      <alignment vertical="top"/>
    </xf>
    <xf numFmtId="43" fontId="5" fillId="52" borderId="0" applyNumberFormat="0">
      <alignment vertical="top"/>
    </xf>
    <xf numFmtId="0" fontId="22" fillId="0" borderId="0" applyNumberFormat="0" applyFill="0" applyBorder="0" applyAlignment="0" applyProtection="0"/>
    <xf numFmtId="9" fontId="5" fillId="0" borderId="0" applyFont="0" applyFill="0" applyBorder="0" applyAlignment="0" applyProtection="0"/>
    <xf numFmtId="168" fontId="5" fillId="0" borderId="0" applyFont="0" applyFill="0" applyBorder="0" applyAlignment="0" applyProtection="0"/>
    <xf numFmtId="43" fontId="16" fillId="0" borderId="0" applyFont="0" applyFill="0" applyBorder="0" applyAlignment="0" applyProtection="0"/>
    <xf numFmtId="168" fontId="5"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applyFill="0"/>
    <xf numFmtId="0" fontId="16" fillId="0" borderId="0"/>
    <xf numFmtId="0" fontId="5" fillId="0" borderId="0"/>
    <xf numFmtId="0" fontId="5" fillId="0" borderId="0"/>
  </cellStyleXfs>
  <cellXfs count="173">
    <xf numFmtId="0" fontId="0" fillId="0" borderId="0" xfId="0"/>
    <xf numFmtId="0" fontId="6" fillId="0" borderId="0" xfId="4" applyFont="1">
      <alignment vertical="top"/>
    </xf>
    <xf numFmtId="0" fontId="5" fillId="0" borderId="0" xfId="4">
      <alignment vertical="top"/>
    </xf>
    <xf numFmtId="0" fontId="7" fillId="0" borderId="0" xfId="4" applyFont="1">
      <alignment vertical="top"/>
    </xf>
    <xf numFmtId="0" fontId="9" fillId="6" borderId="1" xfId="4" applyFont="1" applyFill="1" applyBorder="1">
      <alignment vertical="top"/>
    </xf>
    <xf numFmtId="0" fontId="10" fillId="0" borderId="0" xfId="4" applyFont="1">
      <alignment vertical="top"/>
    </xf>
    <xf numFmtId="0" fontId="11" fillId="0" borderId="0" xfId="4" applyFont="1">
      <alignment vertical="top"/>
    </xf>
    <xf numFmtId="0" fontId="5" fillId="0" borderId="2" xfId="4" applyBorder="1">
      <alignment vertical="top"/>
    </xf>
    <xf numFmtId="49" fontId="6" fillId="24"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9" fillId="5" borderId="1" xfId="4" applyFont="1" applyFill="1" applyBorder="1">
      <alignment vertical="top"/>
    </xf>
    <xf numFmtId="0" fontId="8" fillId="5" borderId="1" xfId="4" applyFont="1" applyFill="1" applyBorder="1">
      <alignment vertical="top"/>
    </xf>
    <xf numFmtId="0" fontId="8" fillId="6" borderId="1" xfId="4" applyFont="1" applyFill="1" applyBorder="1">
      <alignment vertical="top"/>
    </xf>
    <xf numFmtId="0" fontId="11" fillId="0" borderId="0" xfId="4" applyFont="1" applyFill="1">
      <alignment vertical="top"/>
    </xf>
    <xf numFmtId="0" fontId="5" fillId="11" borderId="0" xfId="4" applyFill="1">
      <alignment vertical="top"/>
    </xf>
    <xf numFmtId="0" fontId="5" fillId="12" borderId="0" xfId="4" applyFill="1">
      <alignment vertical="top"/>
    </xf>
    <xf numFmtId="0" fontId="5" fillId="13" borderId="0" xfId="4" applyFill="1">
      <alignment vertical="top"/>
    </xf>
    <xf numFmtId="0" fontId="5" fillId="8" borderId="0" xfId="4" applyFill="1">
      <alignment vertical="top"/>
    </xf>
    <xf numFmtId="0" fontId="10" fillId="0" borderId="0" xfId="4" applyFont="1" applyFill="1">
      <alignment vertical="top"/>
    </xf>
    <xf numFmtId="2" fontId="5" fillId="15" borderId="0" xfId="4" applyNumberFormat="1" applyFill="1">
      <alignment vertical="top"/>
    </xf>
    <xf numFmtId="1" fontId="5"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14" fillId="6" borderId="1" xfId="4" applyFont="1" applyFill="1" applyBorder="1">
      <alignment vertical="top"/>
    </xf>
    <xf numFmtId="49" fontId="7" fillId="24" borderId="2" xfId="6" applyFont="1" applyBorder="1">
      <alignment vertical="top"/>
    </xf>
    <xf numFmtId="0" fontId="9" fillId="5" borderId="1" xfId="5" applyNumberFormat="1">
      <alignment vertical="top"/>
    </xf>
    <xf numFmtId="0" fontId="15" fillId="0" borderId="0" xfId="4" applyFont="1">
      <alignment vertical="top"/>
    </xf>
    <xf numFmtId="0" fontId="7" fillId="10" borderId="0" xfId="4" applyFont="1" applyFill="1">
      <alignment vertical="top"/>
    </xf>
    <xf numFmtId="0" fontId="7" fillId="12" borderId="0" xfId="4" applyFont="1" applyFill="1">
      <alignment vertical="top"/>
    </xf>
    <xf numFmtId="0" fontId="7" fillId="13" borderId="0" xfId="4" applyFont="1" applyFill="1">
      <alignment vertical="top"/>
    </xf>
    <xf numFmtId="0" fontId="5" fillId="19" borderId="0" xfId="4" applyFill="1">
      <alignment vertical="top"/>
    </xf>
    <xf numFmtId="49" fontId="7" fillId="24" borderId="0" xfId="6" applyFont="1" applyBorder="1">
      <alignment vertical="top"/>
    </xf>
    <xf numFmtId="0" fontId="5" fillId="0" borderId="0" xfId="4" applyFont="1">
      <alignment vertical="top"/>
    </xf>
    <xf numFmtId="49" fontId="5" fillId="24" borderId="2" xfId="6" applyFont="1" applyBorder="1">
      <alignment vertical="top"/>
    </xf>
    <xf numFmtId="0" fontId="21" fillId="6" borderId="1" xfId="4" applyFont="1" applyFill="1" applyBorder="1">
      <alignment vertical="top"/>
    </xf>
    <xf numFmtId="0" fontId="5" fillId="0" borderId="2" xfId="4" applyFont="1" applyBorder="1">
      <alignment vertical="top"/>
    </xf>
    <xf numFmtId="0" fontId="7" fillId="0" borderId="0" xfId="4" applyFont="1" applyFill="1" applyBorder="1" applyAlignment="1">
      <alignment horizontal="left" vertical="top" wrapText="1"/>
    </xf>
    <xf numFmtId="0" fontId="0" fillId="0" borderId="0" xfId="0"/>
    <xf numFmtId="49" fontId="6" fillId="0" borderId="0" xfId="7">
      <alignment vertical="top"/>
    </xf>
    <xf numFmtId="0" fontId="1" fillId="0" borderId="0" xfId="0" applyFont="1"/>
    <xf numFmtId="165" fontId="5" fillId="0" borderId="0" xfId="0" applyNumberFormat="1" applyFont="1"/>
    <xf numFmtId="165" fontId="1" fillId="0" borderId="0" xfId="0" applyNumberFormat="1" applyFont="1"/>
    <xf numFmtId="43" fontId="5" fillId="0" borderId="0" xfId="0" applyNumberFormat="1" applyFont="1"/>
    <xf numFmtId="165" fontId="9" fillId="5" borderId="1" xfId="0" applyNumberFormat="1" applyFont="1" applyFill="1" applyBorder="1" applyAlignment="1">
      <alignment vertical="top"/>
    </xf>
    <xf numFmtId="165" fontId="5" fillId="0" borderId="0" xfId="0" applyNumberFormat="1" applyFont="1" applyAlignment="1">
      <alignment vertical="top"/>
    </xf>
    <xf numFmtId="165" fontId="6" fillId="24" borderId="1" xfId="0" applyNumberFormat="1" applyFont="1" applyFill="1" applyBorder="1" applyAlignment="1">
      <alignment vertical="top"/>
    </xf>
    <xf numFmtId="49" fontId="6" fillId="24" borderId="1" xfId="6" applyFont="1">
      <alignment vertical="top"/>
    </xf>
    <xf numFmtId="0" fontId="28" fillId="0" borderId="0" xfId="0" applyFont="1"/>
    <xf numFmtId="43" fontId="5" fillId="8" borderId="0" xfId="0" applyNumberFormat="1" applyFont="1" applyFill="1"/>
    <xf numFmtId="43" fontId="1" fillId="0" borderId="0" xfId="0" applyNumberFormat="1" applyFont="1"/>
    <xf numFmtId="43" fontId="0" fillId="0" borderId="0" xfId="0" applyNumberFormat="1"/>
    <xf numFmtId="0" fontId="31" fillId="0" borderId="0" xfId="0" applyFont="1"/>
    <xf numFmtId="43" fontId="0" fillId="8" borderId="0" xfId="0" applyNumberFormat="1" applyFill="1"/>
    <xf numFmtId="165" fontId="5" fillId="16" borderId="0" xfId="0" applyNumberFormat="1" applyFont="1" applyFill="1"/>
    <xf numFmtId="165" fontId="1" fillId="0" borderId="0" xfId="0" applyNumberFormat="1" applyFont="1" applyFill="1"/>
    <xf numFmtId="0" fontId="1" fillId="0" borderId="0" xfId="0" applyFont="1" applyFill="1"/>
    <xf numFmtId="165" fontId="5" fillId="0" borderId="0" xfId="0" applyNumberFormat="1" applyFont="1" applyFill="1"/>
    <xf numFmtId="0" fontId="0" fillId="0" borderId="0" xfId="0" applyFill="1"/>
    <xf numFmtId="165" fontId="5" fillId="8" borderId="0" xfId="0" applyNumberFormat="1" applyFont="1" applyFill="1"/>
    <xf numFmtId="43" fontId="0" fillId="0" borderId="0" xfId="0" applyNumberFormat="1" applyFill="1"/>
    <xf numFmtId="43" fontId="5" fillId="0" borderId="0" xfId="0" applyNumberFormat="1" applyFont="1" applyFill="1"/>
    <xf numFmtId="43" fontId="5" fillId="18" borderId="0" xfId="13">
      <alignment vertical="top"/>
    </xf>
    <xf numFmtId="0" fontId="1" fillId="0" borderId="0" xfId="0" applyFont="1" applyFill="1"/>
    <xf numFmtId="0" fontId="0" fillId="0" borderId="0" xfId="0" applyFont="1" applyFill="1"/>
    <xf numFmtId="0" fontId="5" fillId="0" borderId="0" xfId="0" applyFont="1" applyFill="1" applyAlignment="1">
      <alignment vertical="top"/>
    </xf>
    <xf numFmtId="165" fontId="5" fillId="17" borderId="0" xfId="8" applyNumberFormat="1">
      <alignment vertical="top"/>
    </xf>
    <xf numFmtId="165" fontId="5" fillId="16" borderId="0" xfId="9" applyNumberFormat="1">
      <alignment vertical="top"/>
    </xf>
    <xf numFmtId="0" fontId="5" fillId="0" borderId="0" xfId="0" applyFont="1" applyFill="1"/>
    <xf numFmtId="0" fontId="5" fillId="0" borderId="0" xfId="0" applyFont="1"/>
    <xf numFmtId="0" fontId="6" fillId="0" borderId="0" xfId="4" applyFont="1" applyFill="1">
      <alignment vertical="top"/>
    </xf>
    <xf numFmtId="49" fontId="6" fillId="0" borderId="1" xfId="6" applyFill="1">
      <alignment vertical="top"/>
    </xf>
    <xf numFmtId="49" fontId="6" fillId="0" borderId="1" xfId="6" applyFont="1" applyFill="1">
      <alignment vertical="top"/>
    </xf>
    <xf numFmtId="165" fontId="6" fillId="0" borderId="1" xfId="0" applyNumberFormat="1" applyFont="1" applyFill="1" applyBorder="1" applyAlignment="1">
      <alignment vertical="top"/>
    </xf>
    <xf numFmtId="0" fontId="28" fillId="0" borderId="0" xfId="0" applyFont="1" applyFill="1"/>
    <xf numFmtId="43" fontId="1" fillId="0" borderId="0" xfId="0" applyNumberFormat="1" applyFont="1" applyFill="1"/>
    <xf numFmtId="0" fontId="31" fillId="0" borderId="0" xfId="0" applyFont="1" applyFill="1"/>
    <xf numFmtId="0" fontId="6" fillId="0" borderId="0" xfId="0" applyFont="1" applyFill="1"/>
    <xf numFmtId="0" fontId="10" fillId="0" borderId="0" xfId="0" applyFont="1" applyFill="1"/>
    <xf numFmtId="0" fontId="1" fillId="0" borderId="0" xfId="0" applyFont="1" applyFill="1"/>
    <xf numFmtId="0" fontId="5" fillId="0" borderId="0" xfId="0" applyFont="1" applyFill="1"/>
    <xf numFmtId="0" fontId="5" fillId="0" borderId="0" xfId="0" applyFont="1" applyFill="1"/>
    <xf numFmtId="0" fontId="32" fillId="0" borderId="0" xfId="0" applyFont="1" applyFill="1"/>
    <xf numFmtId="0" fontId="5" fillId="49" borderId="0" xfId="0" applyFont="1" applyFill="1" applyAlignment="1">
      <alignment horizontal="left" vertical="top" indent="1"/>
    </xf>
    <xf numFmtId="0" fontId="5" fillId="0" borderId="0" xfId="0" applyFont="1"/>
    <xf numFmtId="0" fontId="1" fillId="0" borderId="0" xfId="0" applyFont="1"/>
    <xf numFmtId="0" fontId="10" fillId="0" borderId="0" xfId="0" applyFont="1" applyFill="1"/>
    <xf numFmtId="0" fontId="5" fillId="0" borderId="0" xfId="0" applyFont="1" applyBorder="1"/>
    <xf numFmtId="0" fontId="5" fillId="0" borderId="0" xfId="4" applyFill="1" applyBorder="1">
      <alignment vertical="top"/>
    </xf>
    <xf numFmtId="49" fontId="6" fillId="0" borderId="0" xfId="6" applyFill="1" applyBorder="1">
      <alignment vertical="top"/>
    </xf>
    <xf numFmtId="0" fontId="33" fillId="0" borderId="0" xfId="0" applyFont="1" applyFill="1"/>
    <xf numFmtId="0" fontId="5" fillId="0" borderId="0" xfId="0" applyFont="1"/>
    <xf numFmtId="0" fontId="1" fillId="0" borderId="0" xfId="0" applyFont="1" applyFill="1" applyBorder="1"/>
    <xf numFmtId="0" fontId="5" fillId="0" borderId="0" xfId="0" applyFont="1" applyFill="1" applyBorder="1"/>
    <xf numFmtId="43" fontId="5" fillId="0" borderId="0" xfId="13" applyFill="1">
      <alignment vertical="top"/>
    </xf>
    <xf numFmtId="0" fontId="5" fillId="0" borderId="0" xfId="0" applyFont="1" applyFill="1"/>
    <xf numFmtId="165" fontId="5" fillId="18" borderId="0" xfId="13" applyNumberFormat="1">
      <alignment vertical="top"/>
    </xf>
    <xf numFmtId="164" fontId="5" fillId="16" borderId="0" xfId="0" applyNumberFormat="1" applyFont="1" applyFill="1"/>
    <xf numFmtId="0" fontId="6" fillId="0" borderId="0" xfId="0" applyFont="1" applyFill="1" applyBorder="1" applyAlignment="1">
      <alignment horizontal="center" textRotation="90"/>
    </xf>
    <xf numFmtId="0" fontId="11" fillId="0" borderId="0" xfId="0" applyFont="1" applyFill="1" applyBorder="1" applyAlignment="1">
      <alignment horizontal="center" textRotation="90"/>
    </xf>
    <xf numFmtId="0" fontId="6" fillId="0" borderId="0" xfId="0" applyFont="1" applyFill="1" applyBorder="1" applyAlignment="1">
      <alignment horizontal="left"/>
    </xf>
    <xf numFmtId="10" fontId="1" fillId="0" borderId="0" xfId="0" applyNumberFormat="1" applyFont="1" applyFill="1"/>
    <xf numFmtId="0" fontId="0" fillId="0" borderId="0" xfId="0"/>
    <xf numFmtId="166" fontId="5" fillId="18" borderId="0" xfId="61" applyNumberFormat="1" applyFont="1" applyFill="1" applyAlignment="1">
      <alignment vertical="top"/>
    </xf>
    <xf numFmtId="166" fontId="5" fillId="16" borderId="0" xfId="61" applyNumberFormat="1" applyFont="1" applyFill="1" applyAlignment="1">
      <alignment vertical="top"/>
    </xf>
    <xf numFmtId="49" fontId="5" fillId="0" borderId="0" xfId="4" applyNumberFormat="1">
      <alignment vertical="top"/>
    </xf>
    <xf numFmtId="166" fontId="5" fillId="14" borderId="0" xfId="61" applyNumberFormat="1" applyFont="1" applyFill="1" applyAlignment="1">
      <alignment vertical="top"/>
    </xf>
    <xf numFmtId="0" fontId="6" fillId="24" borderId="1" xfId="6" applyNumberFormat="1">
      <alignment vertical="top"/>
    </xf>
    <xf numFmtId="167" fontId="1" fillId="16" borderId="0" xfId="0" applyNumberFormat="1" applyFont="1" applyFill="1"/>
    <xf numFmtId="165" fontId="1" fillId="18" borderId="0" xfId="0" applyNumberFormat="1" applyFont="1" applyFill="1"/>
    <xf numFmtId="165" fontId="1" fillId="8" borderId="0" xfId="0" applyNumberFormat="1" applyFont="1" applyFill="1"/>
    <xf numFmtId="165" fontId="1" fillId="16" borderId="0" xfId="0" applyNumberFormat="1" applyFont="1" applyFill="1"/>
    <xf numFmtId="165" fontId="5" fillId="14" borderId="0" xfId="10" applyNumberFormat="1">
      <alignment vertical="top"/>
    </xf>
    <xf numFmtId="164" fontId="1" fillId="17" borderId="0" xfId="0" applyNumberFormat="1" applyFont="1" applyFill="1"/>
    <xf numFmtId="10" fontId="1" fillId="0" borderId="0" xfId="61" applyNumberFormat="1" applyFont="1" applyFill="1"/>
    <xf numFmtId="10" fontId="5" fillId="0" borderId="0" xfId="61" applyNumberFormat="1" applyFont="1" applyFill="1" applyAlignment="1">
      <alignment vertical="top"/>
    </xf>
    <xf numFmtId="165" fontId="0" fillId="0" borderId="0" xfId="0" applyNumberFormat="1" applyFill="1"/>
    <xf numFmtId="43" fontId="5" fillId="18" borderId="0" xfId="13" applyNumberFormat="1">
      <alignment vertical="top"/>
    </xf>
    <xf numFmtId="10" fontId="5" fillId="18" borderId="0" xfId="61" applyNumberFormat="1" applyFont="1" applyFill="1" applyAlignment="1">
      <alignment vertical="top"/>
    </xf>
    <xf numFmtId="0" fontId="5" fillId="0" borderId="2" xfId="4" applyBorder="1" applyAlignment="1">
      <alignment vertical="top" wrapText="1"/>
    </xf>
    <xf numFmtId="0" fontId="22" fillId="0" borderId="2" xfId="62" applyBorder="1" applyAlignment="1">
      <alignment vertical="top" wrapText="1"/>
    </xf>
    <xf numFmtId="0" fontId="5" fillId="0" borderId="0" xfId="0" applyNumberFormat="1" applyFont="1"/>
    <xf numFmtId="0" fontId="34" fillId="0" borderId="0" xfId="0" applyFont="1" applyFill="1" applyBorder="1"/>
    <xf numFmtId="0" fontId="35" fillId="0" borderId="0" xfId="0" applyFont="1" applyFill="1" applyBorder="1"/>
    <xf numFmtId="0" fontId="35" fillId="0" borderId="0" xfId="0" applyFont="1"/>
    <xf numFmtId="0" fontId="1" fillId="0" borderId="0" xfId="0" quotePrefix="1" applyFont="1"/>
    <xf numFmtId="2" fontId="6" fillId="24" borderId="1" xfId="6" applyNumberFormat="1">
      <alignment vertical="top"/>
    </xf>
    <xf numFmtId="43" fontId="5" fillId="49" borderId="0" xfId="0" applyNumberFormat="1" applyFont="1" applyFill="1"/>
    <xf numFmtId="165" fontId="5" fillId="49" borderId="0" xfId="0" applyNumberFormat="1" applyFont="1" applyFill="1" applyAlignment="1">
      <alignment vertical="top"/>
    </xf>
    <xf numFmtId="10" fontId="5" fillId="49" borderId="0" xfId="61" applyNumberFormat="1" applyFont="1" applyFill="1" applyAlignment="1">
      <alignment vertical="top"/>
    </xf>
    <xf numFmtId="0" fontId="1" fillId="49" borderId="0" xfId="0" applyFont="1" applyFill="1"/>
    <xf numFmtId="165" fontId="1" fillId="49" borderId="0" xfId="0" applyNumberFormat="1" applyFont="1" applyFill="1"/>
    <xf numFmtId="10" fontId="5" fillId="0" borderId="0" xfId="4" applyNumberFormat="1">
      <alignment vertical="top"/>
    </xf>
    <xf numFmtId="165" fontId="5" fillId="8" borderId="0" xfId="63"/>
    <xf numFmtId="164" fontId="5" fillId="0" borderId="0" xfId="4" applyNumberFormat="1">
      <alignment vertical="top"/>
    </xf>
    <xf numFmtId="0" fontId="0" fillId="0" borderId="0" xfId="0"/>
    <xf numFmtId="49" fontId="10" fillId="0" borderId="0" xfId="14">
      <alignment vertical="top"/>
    </xf>
    <xf numFmtId="43" fontId="5" fillId="50" borderId="0" xfId="64">
      <alignment vertical="top"/>
    </xf>
    <xf numFmtId="49" fontId="5" fillId="0" borderId="0" xfId="14" applyFont="1">
      <alignment vertical="top"/>
    </xf>
    <xf numFmtId="43" fontId="5" fillId="51" borderId="0" xfId="65">
      <alignment vertical="top"/>
    </xf>
    <xf numFmtId="43" fontId="5" fillId="14" borderId="0" xfId="10">
      <alignment vertical="top"/>
    </xf>
    <xf numFmtId="166" fontId="5" fillId="50" borderId="0" xfId="61" applyNumberFormat="1" applyFont="1" applyFill="1" applyAlignment="1">
      <alignment vertical="top"/>
    </xf>
    <xf numFmtId="165" fontId="5" fillId="50" borderId="0" xfId="64" applyNumberFormat="1">
      <alignment vertical="top"/>
    </xf>
    <xf numFmtId="10" fontId="5" fillId="50" borderId="0" xfId="61" applyNumberFormat="1" applyFont="1" applyFill="1" applyAlignment="1">
      <alignment vertical="top"/>
    </xf>
    <xf numFmtId="43" fontId="5" fillId="50" borderId="2" xfId="64" applyBorder="1">
      <alignment vertical="top"/>
    </xf>
    <xf numFmtId="0" fontId="13" fillId="0" borderId="0" xfId="0" applyFont="1" applyFill="1" applyAlignment="1">
      <alignment vertical="top"/>
    </xf>
    <xf numFmtId="49" fontId="5" fillId="0" borderId="0" xfId="7" applyFont="1">
      <alignment vertical="top"/>
    </xf>
    <xf numFmtId="165" fontId="5" fillId="0" borderId="0" xfId="9" applyNumberFormat="1" applyFill="1">
      <alignment vertical="top"/>
    </xf>
    <xf numFmtId="165" fontId="5" fillId="0" borderId="0" xfId="4" applyNumberFormat="1">
      <alignment vertical="top"/>
    </xf>
    <xf numFmtId="0" fontId="5" fillId="0" borderId="0" xfId="4" applyAlignment="1">
      <alignment vertical="top" wrapText="1"/>
    </xf>
    <xf numFmtId="0" fontId="8" fillId="6" borderId="1" xfId="4" applyFont="1" applyFill="1" applyBorder="1" applyAlignment="1">
      <alignment vertical="top" wrapText="1"/>
    </xf>
    <xf numFmtId="49" fontId="6" fillId="24" borderId="1" xfId="6" applyAlignment="1">
      <alignment vertical="top" wrapText="1"/>
    </xf>
    <xf numFmtId="0" fontId="14" fillId="6" borderId="1" xfId="4" applyFont="1" applyFill="1" applyBorder="1" applyAlignment="1">
      <alignment vertical="top" wrapText="1"/>
    </xf>
    <xf numFmtId="49" fontId="5" fillId="24" borderId="2" xfId="6" applyFont="1" applyBorder="1" applyAlignment="1">
      <alignment vertical="top" wrapText="1"/>
    </xf>
    <xf numFmtId="165" fontId="5" fillId="16" borderId="0" xfId="4" applyNumberFormat="1" applyFill="1">
      <alignment vertical="top"/>
    </xf>
    <xf numFmtId="2" fontId="5" fillId="0" borderId="0" xfId="4" applyNumberFormat="1">
      <alignment vertical="top"/>
    </xf>
    <xf numFmtId="167" fontId="5" fillId="0" borderId="0" xfId="4" applyNumberFormat="1">
      <alignment vertical="top"/>
    </xf>
    <xf numFmtId="9" fontId="5" fillId="50" borderId="0" xfId="64" applyNumberFormat="1">
      <alignment vertical="top"/>
    </xf>
    <xf numFmtId="9" fontId="5" fillId="18" borderId="0" xfId="13" applyNumberFormat="1">
      <alignment vertical="top"/>
    </xf>
    <xf numFmtId="0" fontId="5" fillId="0" borderId="0" xfId="0" quotePrefix="1" applyFont="1"/>
    <xf numFmtId="10" fontId="5" fillId="14" borderId="0" xfId="61" applyNumberFormat="1" applyFont="1" applyFill="1" applyAlignment="1">
      <alignment vertical="top"/>
    </xf>
    <xf numFmtId="0" fontId="5" fillId="0" borderId="0" xfId="0" applyFont="1" applyFill="1" applyBorder="1"/>
    <xf numFmtId="0" fontId="5" fillId="52" borderId="0" xfId="66" applyNumberFormat="1">
      <alignment vertical="top"/>
    </xf>
    <xf numFmtId="0" fontId="5" fillId="0" borderId="0" xfId="0" applyFont="1" applyFill="1"/>
    <xf numFmtId="0" fontId="1" fillId="0" borderId="0" xfId="0" applyFont="1" applyFill="1"/>
    <xf numFmtId="0" fontId="1" fillId="0" borderId="0" xfId="0" applyFont="1" applyFill="1"/>
    <xf numFmtId="165" fontId="5" fillId="52" borderId="0" xfId="66" applyNumberFormat="1">
      <alignment vertical="top"/>
    </xf>
    <xf numFmtId="0" fontId="6" fillId="49" borderId="0" xfId="0" applyFont="1" applyFill="1" applyAlignment="1">
      <alignment vertical="top"/>
    </xf>
    <xf numFmtId="0" fontId="6" fillId="0" borderId="0" xfId="0" applyFont="1" applyFill="1" applyBorder="1"/>
    <xf numFmtId="0" fontId="11" fillId="0" borderId="0" xfId="0" applyFont="1" applyFill="1" applyBorder="1"/>
    <xf numFmtId="165" fontId="1" fillId="0" borderId="0" xfId="0" applyNumberFormat="1" applyFont="1" applyFill="1" applyBorder="1" applyAlignment="1">
      <alignment vertical="top"/>
    </xf>
    <xf numFmtId="1" fontId="5" fillId="0" borderId="0" xfId="4" applyNumberFormat="1">
      <alignment vertical="top"/>
    </xf>
  </cellXfs>
  <cellStyles count="80">
    <cellStyle name="_kop1 Bladtitel" xfId="5"/>
    <cellStyle name="_kop2 Bloktitel" xfId="6"/>
    <cellStyle name="_kop3 Subkop" xfId="7"/>
    <cellStyle name="20% - Accent1" xfId="36" builtinId="30" hidden="1"/>
    <cellStyle name="20% - Accent2" xfId="40" builtinId="34" hidden="1"/>
    <cellStyle name="20% - Accent3" xfId="44" builtinId="38" hidden="1"/>
    <cellStyle name="20% - Accent4" xfId="48" builtinId="42" hidden="1"/>
    <cellStyle name="20% - Accent5" xfId="52" builtinId="46" hidden="1"/>
    <cellStyle name="20% - Accent6" xfId="56" builtinId="50" hidden="1"/>
    <cellStyle name="40% - Accent1" xfId="37" builtinId="31" hidden="1"/>
    <cellStyle name="40% - Accent2" xfId="41" builtinId="35" hidden="1"/>
    <cellStyle name="40% - Accent3" xfId="45" builtinId="39" hidden="1"/>
    <cellStyle name="40% - Accent4" xfId="49" builtinId="43" hidden="1"/>
    <cellStyle name="40% - Accent5" xfId="53" builtinId="47" hidden="1"/>
    <cellStyle name="40% - Accent6" xfId="57" builtinId="51" hidden="1"/>
    <cellStyle name="60% - Accent1" xfId="38" builtinId="32" hidden="1"/>
    <cellStyle name="60% - Accent2" xfId="42" builtinId="36" hidden="1"/>
    <cellStyle name="60% - Accent3" xfId="46" builtinId="40" hidden="1"/>
    <cellStyle name="60% - Accent4" xfId="50" builtinId="44" hidden="1"/>
    <cellStyle name="60% - Accent5" xfId="54" builtinId="48" hidden="1"/>
    <cellStyle name="60% - Accent6" xfId="58" builtinId="52" hidden="1"/>
    <cellStyle name="Accent1" xfId="35" builtinId="29" hidden="1"/>
    <cellStyle name="Accent2" xfId="39" builtinId="33" hidden="1"/>
    <cellStyle name="Accent3" xfId="43" builtinId="37" hidden="1"/>
    <cellStyle name="Accent4" xfId="47" builtinId="41" hidden="1"/>
    <cellStyle name="Accent5" xfId="51" builtinId="45" hidden="1"/>
    <cellStyle name="Accent6" xfId="55" builtinId="49" hidden="1"/>
    <cellStyle name="Berekening" xfId="17" builtinId="22" hidden="1"/>
    <cellStyle name="Cel (tussen)resultaat" xfId="8"/>
    <cellStyle name="Cel Berekening" xfId="9"/>
    <cellStyle name="Cel Bijzonderheid" xfId="10"/>
    <cellStyle name="Cel Input" xfId="11"/>
    <cellStyle name="Cel Input 2" xfId="64"/>
    <cellStyle name="Cel Input Data" xfId="65"/>
    <cellStyle name="Cel n.v.t. (leeg)" xfId="66"/>
    <cellStyle name="Cel PM extern" xfId="12"/>
    <cellStyle name="Cel Verwijzing" xfId="13"/>
    <cellStyle name="Controlecel" xfId="19" builtinId="23" hidden="1"/>
    <cellStyle name="Gekoppelde cel" xfId="18" builtinId="24" hidden="1"/>
    <cellStyle name="Gevolgde hyperlink" xfId="59" builtinId="9" hidden="1"/>
    <cellStyle name="Goed" xfId="1" builtinId="26" hidden="1"/>
    <cellStyle name="Grijze cel" xfId="63"/>
    <cellStyle name="Hyperlink" xfId="21" builtinId="8" hidden="1"/>
    <cellStyle name="Hyperlink" xfId="62" builtinId="8"/>
    <cellStyle name="Hyperlink 2" xfId="67"/>
    <cellStyle name="Invoer" xfId="15" builtinId="20" hidden="1"/>
    <cellStyle name="Komma" xfId="22" builtinId="3" hidden="1"/>
    <cellStyle name="Komma" xfId="60" builtinId="3" hidden="1"/>
    <cellStyle name="Komma [0]" xfId="23" builtinId="6" hidden="1"/>
    <cellStyle name="Komma 3" xfId="69"/>
    <cellStyle name="Komma 4" xfId="70"/>
    <cellStyle name="Komma 5" xfId="71"/>
    <cellStyle name="Kop 1" xfId="28" builtinId="16" hidden="1"/>
    <cellStyle name="Kop 2" xfId="29" builtinId="17" hidden="1"/>
    <cellStyle name="Kop 3" xfId="30" builtinId="18" hidden="1"/>
    <cellStyle name="Kop 4" xfId="31" builtinId="19" hidden="1"/>
    <cellStyle name="Neutraal" xfId="3" builtinId="28" hidden="1"/>
    <cellStyle name="Notitie" xfId="20" builtinId="10" hidden="1"/>
    <cellStyle name="Ongeldig" xfId="2" builtinId="27" hidden="1"/>
    <cellStyle name="Procent" xfId="26" builtinId="5" hidden="1"/>
    <cellStyle name="Procent" xfId="61" builtinId="5"/>
    <cellStyle name="Procent 2" xfId="68"/>
    <cellStyle name="Procent 3" xfId="72"/>
    <cellStyle name="Procent 4" xfId="73"/>
    <cellStyle name="Standaard" xfId="0" builtinId="0"/>
    <cellStyle name="Standaard 2" xfId="74"/>
    <cellStyle name="Standaard 3" xfId="75"/>
    <cellStyle name="Standaard 4" xfId="76"/>
    <cellStyle name="Standaard 6" xfId="77"/>
    <cellStyle name="Standaard 7" xfId="78"/>
    <cellStyle name="Standaard 8" xfId="79"/>
    <cellStyle name="Standaard ACM-DE" xfId="4"/>
    <cellStyle name="Titel" xfId="27" builtinId="15" hidden="1"/>
    <cellStyle name="Toelichting" xfId="14"/>
    <cellStyle name="Totaal" xfId="34" builtinId="25" hidden="1"/>
    <cellStyle name="Uitvoer" xfId="16" builtinId="21" hidden="1"/>
    <cellStyle name="Valuta" xfId="24" builtinId="4" hidden="1"/>
    <cellStyle name="Valuta [0]" xfId="25" builtinId="7" hidden="1"/>
    <cellStyle name="Verklarende tekst" xfId="33" builtinId="53" hidden="1"/>
    <cellStyle name="Waarschuwingstekst" xfId="32" builtinId="11" hidden="1"/>
  </cellStyles>
  <dxfs count="0"/>
  <tableStyles count="0" defaultTableStyle="TableStyleMedium2" defaultPivotStyle="PivotStyleLight16"/>
  <colors>
    <mruColors>
      <color rgb="FFFF00FF"/>
      <color rgb="FFFFFFCC"/>
      <color rgb="FFFF66CC"/>
      <color rgb="FFCCFFCC"/>
      <color rgb="FFCCC8D9"/>
      <color rgb="FFCCFFFF"/>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19</xdr:row>
      <xdr:rowOff>8005</xdr:rowOff>
    </xdr:from>
    <xdr:to>
      <xdr:col>12</xdr:col>
      <xdr:colOff>126850</xdr:colOff>
      <xdr:row>23</xdr:row>
      <xdr:rowOff>10828</xdr:rowOff>
    </xdr:to>
    <xdr:sp macro="" textlink="">
      <xdr:nvSpPr>
        <xdr:cNvPr id="2" name="Rechthoek 1"/>
        <xdr:cNvSpPr/>
      </xdr:nvSpPr>
      <xdr:spPr>
        <a:xfrm>
          <a:off x="5671350" y="3352338"/>
          <a:ext cx="1821500" cy="7648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Tarievenbladen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5</xdr:col>
      <xdr:colOff>19051</xdr:colOff>
      <xdr:row>18</xdr:row>
      <xdr:rowOff>187280</xdr:rowOff>
    </xdr:from>
    <xdr:to>
      <xdr:col>8</xdr:col>
      <xdr:colOff>3283</xdr:colOff>
      <xdr:row>22</xdr:row>
      <xdr:rowOff>190105</xdr:rowOff>
    </xdr:to>
    <xdr:sp macro="" textlink="">
      <xdr:nvSpPr>
        <xdr:cNvPr id="5" name="Rechthoek 4"/>
        <xdr:cNvSpPr/>
      </xdr:nvSpPr>
      <xdr:spPr>
        <a:xfrm>
          <a:off x="3088218" y="3341113"/>
          <a:ext cx="1825732" cy="764825"/>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a:ea typeface="+mn-ea"/>
              <a:cs typeface="+mn-cs"/>
            </a:rPr>
            <a:t>Totale inkomsten 2021</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a:ln>
                <a:noFill/>
              </a:ln>
              <a:solidFill>
                <a:srgbClr val="FFFFFF"/>
              </a:solidFill>
              <a:effectLst/>
              <a:uLnTx/>
              <a:uFillTx/>
              <a:latin typeface="Arial"/>
              <a:ea typeface="+mn-ea"/>
              <a:cs typeface="+mn-cs"/>
            </a:rPr>
            <a:t>(dit bestand)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3</xdr:col>
      <xdr:colOff>549007</xdr:colOff>
      <xdr:row>20</xdr:row>
      <xdr:rowOff>188693</xdr:rowOff>
    </xdr:from>
    <xdr:to>
      <xdr:col>5</xdr:col>
      <xdr:colOff>19051</xdr:colOff>
      <xdr:row>21</xdr:row>
      <xdr:rowOff>12620</xdr:rowOff>
    </xdr:to>
    <xdr:cxnSp macro="">
      <xdr:nvCxnSpPr>
        <xdr:cNvPr id="8" name="Rechte verbindingslijn met pijl 7"/>
        <xdr:cNvCxnSpPr>
          <a:stCxn id="14" idx="3"/>
          <a:endCxn id="5" idx="1"/>
        </xdr:cNvCxnSpPr>
      </xdr:nvCxnSpPr>
      <xdr:spPr>
        <a:xfrm flipV="1">
          <a:off x="2390507" y="3723526"/>
          <a:ext cx="697711"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20</xdr:row>
      <xdr:rowOff>188693</xdr:rowOff>
    </xdr:from>
    <xdr:to>
      <xdr:col>9</xdr:col>
      <xdr:colOff>146850</xdr:colOff>
      <xdr:row>21</xdr:row>
      <xdr:rowOff>9417</xdr:rowOff>
    </xdr:to>
    <xdr:cxnSp macro="">
      <xdr:nvCxnSpPr>
        <xdr:cNvPr id="9" name="Rechte verbindingslijn met pijl 8"/>
        <xdr:cNvCxnSpPr>
          <a:stCxn id="5" idx="3"/>
          <a:endCxn id="2" idx="1"/>
        </xdr:cNvCxnSpPr>
      </xdr:nvCxnSpPr>
      <xdr:spPr>
        <a:xfrm>
          <a:off x="4913950" y="3723526"/>
          <a:ext cx="757400"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19</xdr:row>
      <xdr:rowOff>33620</xdr:rowOff>
    </xdr:from>
    <xdr:to>
      <xdr:col>3</xdr:col>
      <xdr:colOff>549007</xdr:colOff>
      <xdr:row>22</xdr:row>
      <xdr:rowOff>182120</xdr:rowOff>
    </xdr:to>
    <xdr:sp macro="" textlink="">
      <xdr:nvSpPr>
        <xdr:cNvPr id="14" name="Rechthoek 13"/>
        <xdr:cNvSpPr/>
      </xdr:nvSpPr>
      <xdr:spPr>
        <a:xfrm>
          <a:off x="179293" y="3424520"/>
          <a:ext cx="1817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11</xdr:row>
      <xdr:rowOff>78441</xdr:rowOff>
    </xdr:from>
    <xdr:to>
      <xdr:col>7</xdr:col>
      <xdr:colOff>635292</xdr:colOff>
      <xdr:row>15</xdr:row>
      <xdr:rowOff>81265</xdr:rowOff>
    </xdr:to>
    <xdr:sp macro="" textlink="">
      <xdr:nvSpPr>
        <xdr:cNvPr id="15" name="Stroomdiagram: Proces 14"/>
        <xdr:cNvSpPr/>
      </xdr:nvSpPr>
      <xdr:spPr>
        <a:xfrm>
          <a:off x="2689410" y="194534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15</xdr:row>
      <xdr:rowOff>81265</xdr:rowOff>
    </xdr:from>
    <xdr:to>
      <xdr:col>6</xdr:col>
      <xdr:colOff>318084</xdr:colOff>
      <xdr:row>18</xdr:row>
      <xdr:rowOff>187280</xdr:rowOff>
    </xdr:to>
    <xdr:cxnSp macro="">
      <xdr:nvCxnSpPr>
        <xdr:cNvPr id="16" name="Rechte verbindingslijn met pijl 15"/>
        <xdr:cNvCxnSpPr>
          <a:stCxn id="15" idx="2"/>
          <a:endCxn id="5" idx="0"/>
        </xdr:cNvCxnSpPr>
      </xdr:nvCxnSpPr>
      <xdr:spPr>
        <a:xfrm>
          <a:off x="3997564" y="2663598"/>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elastingdienst.nl/wps/wcm/connect/bldcontentnl/standaard_functies/prive/contact/rechten_en_plichten_bij_de_belastingdienst/belastingrente/overzicht_percentages_belastingrente" TargetMode="External"/><Relationship Id="rId2" Type="http://schemas.openxmlformats.org/officeDocument/2006/relationships/hyperlink" Target="https://opendata.cbs.nl/" TargetMode="External"/><Relationship Id="rId1" Type="http://schemas.openxmlformats.org/officeDocument/2006/relationships/hyperlink" Target="https://www.acm.nl/nl/publicaties/publicatie/16355/GAW-sheet-bij-x-factorbesluiten-RNBs-gas-2017-2021"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D33"/>
  <sheetViews>
    <sheetView showGridLines="0" tabSelected="1" zoomScale="85" zoomScaleNormal="85" workbookViewId="0">
      <pane ySplit="3" topLeftCell="A4" activePane="bottomLeft" state="frozen"/>
      <selection activeCell="A4" sqref="A4"/>
      <selection pane="bottomLeft" activeCell="C15" sqref="C15"/>
    </sheetView>
  </sheetViews>
  <sheetFormatPr defaultRowHeight="12.75" x14ac:dyDescent="0.25"/>
  <cols>
    <col min="1" max="1" width="2.85546875" style="2" customWidth="1"/>
    <col min="2" max="2" width="39.85546875" style="2" customWidth="1"/>
    <col min="3" max="3" width="91.85546875" style="2" customWidth="1"/>
    <col min="4" max="16384" width="9.140625" style="2"/>
  </cols>
  <sheetData>
    <row r="2" spans="2:3" s="13" customFormat="1" ht="18" x14ac:dyDescent="0.25">
      <c r="B2" s="12" t="s">
        <v>277</v>
      </c>
    </row>
    <row r="6" spans="2:3" x14ac:dyDescent="0.25">
      <c r="B6" s="3"/>
    </row>
    <row r="13" spans="2:3" s="8" customFormat="1" x14ac:dyDescent="0.25">
      <c r="B13" s="8" t="s">
        <v>0</v>
      </c>
    </row>
    <row r="14" spans="2:3" s="9" customFormat="1" x14ac:dyDescent="0.25"/>
    <row r="15" spans="2:3" x14ac:dyDescent="0.25">
      <c r="B15" s="10" t="s">
        <v>1</v>
      </c>
      <c r="C15" s="11" t="s">
        <v>489</v>
      </c>
    </row>
    <row r="16" spans="2:3" x14ac:dyDescent="0.25">
      <c r="B16" s="10" t="s">
        <v>2</v>
      </c>
      <c r="C16" s="11" t="s">
        <v>277</v>
      </c>
    </row>
    <row r="17" spans="2:3" x14ac:dyDescent="0.25">
      <c r="B17" s="10" t="s">
        <v>3</v>
      </c>
      <c r="C17" s="11"/>
    </row>
    <row r="18" spans="2:3" x14ac:dyDescent="0.25">
      <c r="B18" s="10" t="s">
        <v>4</v>
      </c>
      <c r="C18" s="11" t="s">
        <v>278</v>
      </c>
    </row>
    <row r="19" spans="2:3" x14ac:dyDescent="0.25">
      <c r="B19" s="10" t="s">
        <v>5</v>
      </c>
      <c r="C19" s="11"/>
    </row>
    <row r="20" spans="2:3" x14ac:dyDescent="0.25">
      <c r="B20" s="10" t="s">
        <v>6</v>
      </c>
      <c r="C20" s="11"/>
    </row>
    <row r="21" spans="2:3" x14ac:dyDescent="0.25">
      <c r="B21" s="10" t="s">
        <v>7</v>
      </c>
      <c r="C21" s="11" t="s">
        <v>279</v>
      </c>
    </row>
    <row r="22" spans="2:3" x14ac:dyDescent="0.25">
      <c r="B22" s="10" t="s">
        <v>8</v>
      </c>
      <c r="C22" s="11"/>
    </row>
    <row r="25" spans="2:3" s="8" customFormat="1" x14ac:dyDescent="0.25">
      <c r="B25" s="8" t="s">
        <v>9</v>
      </c>
    </row>
    <row r="27" spans="2:3" x14ac:dyDescent="0.25">
      <c r="B27" s="10" t="s">
        <v>10</v>
      </c>
      <c r="C27" s="11" t="s">
        <v>488</v>
      </c>
    </row>
    <row r="28" spans="2:3" x14ac:dyDescent="0.25">
      <c r="B28" s="10" t="s">
        <v>11</v>
      </c>
      <c r="C28" s="11" t="s">
        <v>488</v>
      </c>
    </row>
    <row r="29" spans="2:3" ht="25.5" x14ac:dyDescent="0.25">
      <c r="B29" s="10" t="s">
        <v>12</v>
      </c>
      <c r="C29" s="11" t="s">
        <v>488</v>
      </c>
    </row>
    <row r="30" spans="2:3" x14ac:dyDescent="0.25">
      <c r="B30" s="10" t="s">
        <v>13</v>
      </c>
      <c r="C30" s="11"/>
    </row>
    <row r="31" spans="2:3" x14ac:dyDescent="0.25">
      <c r="B31" s="10" t="s">
        <v>8</v>
      </c>
      <c r="C31" s="11"/>
    </row>
    <row r="33" spans="2:4" x14ac:dyDescent="0.25">
      <c r="B33" s="38"/>
      <c r="C33" s="38"/>
      <c r="D33" s="6"/>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V19"/>
  <sheetViews>
    <sheetView showGridLines="0" zoomScale="85" zoomScaleNormal="85" workbookViewId="0">
      <pane xSplit="6" ySplit="13" topLeftCell="G14" activePane="bottomRight" state="frozen"/>
      <selection activeCell="R6" sqref="R6"/>
      <selection pane="topRight" activeCell="R6" sqref="R6"/>
      <selection pane="bottomLeft" activeCell="R6" sqref="R6"/>
      <selection pane="bottomRight" activeCell="G14" sqref="G14"/>
    </sheetView>
  </sheetViews>
  <sheetFormatPr defaultRowHeight="12.75" x14ac:dyDescent="0.25"/>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2.5703125" style="2" customWidth="1"/>
    <col min="19" max="19" width="2.7109375" style="2" customWidth="1"/>
    <col min="20" max="20" width="17.14062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2:22" s="27" customFormat="1" ht="18" x14ac:dyDescent="0.25">
      <c r="B2" s="27" t="s">
        <v>339</v>
      </c>
    </row>
    <row r="4" spans="2:22" x14ac:dyDescent="0.25">
      <c r="B4" s="1" t="s">
        <v>29</v>
      </c>
    </row>
    <row r="5" spans="2:22" ht="15" x14ac:dyDescent="0.25">
      <c r="B5" s="147" t="s">
        <v>340</v>
      </c>
      <c r="C5" s="1"/>
      <c r="D5" s="1"/>
      <c r="L5" s="136"/>
    </row>
    <row r="6" spans="2:22" x14ac:dyDescent="0.25">
      <c r="B6" s="34" t="s">
        <v>342</v>
      </c>
      <c r="C6" s="34"/>
      <c r="D6" s="34"/>
      <c r="H6" s="28"/>
    </row>
    <row r="7" spans="2:22" x14ac:dyDescent="0.25">
      <c r="B7" s="34" t="s">
        <v>232</v>
      </c>
      <c r="C7" s="34"/>
      <c r="D7" s="34"/>
      <c r="H7" s="28"/>
    </row>
    <row r="8" spans="2:22" x14ac:dyDescent="0.25">
      <c r="B8" s="139" t="s">
        <v>341</v>
      </c>
      <c r="C8" s="34"/>
      <c r="D8" s="34"/>
      <c r="H8" s="28"/>
    </row>
    <row r="9" spans="2:22" x14ac:dyDescent="0.25">
      <c r="B9" s="34" t="s">
        <v>233</v>
      </c>
      <c r="C9" s="34"/>
      <c r="D9" s="34"/>
    </row>
    <row r="10" spans="2:22" x14ac:dyDescent="0.25">
      <c r="B10" s="2" t="s">
        <v>234</v>
      </c>
    </row>
    <row r="12" spans="2:22" s="8" customFormat="1" x14ac:dyDescent="0.25">
      <c r="B12" s="8" t="s">
        <v>45</v>
      </c>
      <c r="F12" s="8" t="s">
        <v>27</v>
      </c>
      <c r="H12" s="8" t="s">
        <v>28</v>
      </c>
      <c r="J12" s="8" t="s">
        <v>49</v>
      </c>
      <c r="L12" s="8" t="s">
        <v>165</v>
      </c>
      <c r="M12" s="8" t="s">
        <v>65</v>
      </c>
      <c r="N12" s="8" t="s">
        <v>66</v>
      </c>
      <c r="O12" s="8" t="s">
        <v>67</v>
      </c>
      <c r="P12" s="8" t="s">
        <v>68</v>
      </c>
      <c r="Q12" s="8" t="s">
        <v>69</v>
      </c>
      <c r="R12" s="8" t="s">
        <v>70</v>
      </c>
      <c r="T12" s="8" t="s">
        <v>46</v>
      </c>
      <c r="V12" s="8" t="s">
        <v>47</v>
      </c>
    </row>
    <row r="15" spans="2:22" s="8" customFormat="1" x14ac:dyDescent="0.25">
      <c r="B15" s="8" t="s">
        <v>236</v>
      </c>
    </row>
    <row r="17" spans="2:20" x14ac:dyDescent="0.2">
      <c r="B17" s="2" t="s">
        <v>235</v>
      </c>
      <c r="F17" s="69" t="s">
        <v>177</v>
      </c>
      <c r="L17" s="143">
        <v>4846.0600000000004</v>
      </c>
      <c r="M17" s="143">
        <v>7157.52</v>
      </c>
      <c r="N17" s="143">
        <v>154357.43</v>
      </c>
      <c r="O17" s="143">
        <v>197732</v>
      </c>
      <c r="P17" s="143">
        <v>6048</v>
      </c>
      <c r="Q17" s="143">
        <v>129578.15</v>
      </c>
      <c r="R17" s="143">
        <v>2285.15</v>
      </c>
      <c r="T17" s="2" t="s">
        <v>237</v>
      </c>
    </row>
    <row r="19" spans="2:20" x14ac:dyDescent="0.25">
      <c r="N19" s="156"/>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V19"/>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x14ac:dyDescent="0.25"/>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2.5703125" style="2" customWidth="1"/>
    <col min="19" max="19" width="2.7109375" style="2" customWidth="1"/>
    <col min="20" max="20" width="17.14062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2:22" s="27" customFormat="1" ht="18" x14ac:dyDescent="0.25">
      <c r="B2" s="27" t="s">
        <v>304</v>
      </c>
    </row>
    <row r="4" spans="2:22" x14ac:dyDescent="0.25">
      <c r="B4" s="1" t="s">
        <v>29</v>
      </c>
    </row>
    <row r="5" spans="2:22" ht="12.75" customHeight="1" x14ac:dyDescent="0.25">
      <c r="B5" s="147" t="s">
        <v>422</v>
      </c>
      <c r="C5" s="1"/>
      <c r="D5" s="1"/>
      <c r="L5" s="136"/>
    </row>
    <row r="6" spans="2:22" ht="12.75" customHeight="1" x14ac:dyDescent="0.25">
      <c r="B6" s="34" t="s">
        <v>305</v>
      </c>
      <c r="C6" s="34"/>
      <c r="D6" s="34"/>
      <c r="H6" s="28"/>
    </row>
    <row r="7" spans="2:22" x14ac:dyDescent="0.25">
      <c r="B7" s="34" t="s">
        <v>268</v>
      </c>
      <c r="C7" s="34"/>
      <c r="D7" s="34"/>
      <c r="H7" s="28"/>
    </row>
    <row r="8" spans="2:22" x14ac:dyDescent="0.25">
      <c r="B8" s="139" t="s">
        <v>269</v>
      </c>
      <c r="C8" s="34"/>
      <c r="D8" s="34"/>
      <c r="H8" s="28"/>
    </row>
    <row r="10" spans="2:22" s="8" customFormat="1" x14ac:dyDescent="0.25">
      <c r="B10" s="8" t="s">
        <v>45</v>
      </c>
      <c r="F10" s="8" t="s">
        <v>27</v>
      </c>
      <c r="H10" s="8" t="s">
        <v>28</v>
      </c>
      <c r="J10" s="8" t="s">
        <v>49</v>
      </c>
      <c r="L10" s="8" t="s">
        <v>165</v>
      </c>
      <c r="M10" s="8" t="s">
        <v>65</v>
      </c>
      <c r="N10" s="8" t="s">
        <v>66</v>
      </c>
      <c r="O10" s="8" t="s">
        <v>67</v>
      </c>
      <c r="P10" s="8" t="s">
        <v>68</v>
      </c>
      <c r="Q10" s="8" t="s">
        <v>69</v>
      </c>
      <c r="R10" s="8" t="s">
        <v>70</v>
      </c>
      <c r="T10" s="8" t="s">
        <v>46</v>
      </c>
      <c r="V10" s="8" t="s">
        <v>47</v>
      </c>
    </row>
    <row r="13" spans="2:22" s="8" customFormat="1" x14ac:dyDescent="0.25">
      <c r="B13" s="8" t="s">
        <v>421</v>
      </c>
    </row>
    <row r="15" spans="2:22" ht="12.75" customHeight="1" x14ac:dyDescent="0.2">
      <c r="B15" s="2" t="s">
        <v>266</v>
      </c>
      <c r="F15" s="96" t="s">
        <v>265</v>
      </c>
      <c r="J15" s="155">
        <f>SUM(L15:R15)</f>
        <v>19692828.879467644</v>
      </c>
      <c r="L15" s="143">
        <v>342371.3050133186</v>
      </c>
      <c r="M15" s="143">
        <v>496280.76356934418</v>
      </c>
      <c r="N15" s="143">
        <v>6251480.8469724301</v>
      </c>
      <c r="O15" s="143">
        <v>6438942.9196121963</v>
      </c>
      <c r="P15" s="143">
        <v>264929.75551612099</v>
      </c>
      <c r="Q15" s="143">
        <v>4976518.0874875216</v>
      </c>
      <c r="R15" s="143">
        <v>922305.20129671472</v>
      </c>
      <c r="T15" s="34" t="s">
        <v>484</v>
      </c>
    </row>
    <row r="16" spans="2:22" ht="12.75" customHeight="1" x14ac:dyDescent="0.25"/>
    <row r="17" spans="2:20" ht="12.75" customHeight="1" x14ac:dyDescent="0.2">
      <c r="B17" s="2" t="s">
        <v>270</v>
      </c>
      <c r="F17" s="96" t="s">
        <v>265</v>
      </c>
      <c r="J17" s="155">
        <f>SUM(L17:R17)</f>
        <v>15462011.994269406</v>
      </c>
      <c r="L17" s="143">
        <v>162542.62666030106</v>
      </c>
      <c r="M17" s="143">
        <v>329640.2505248136</v>
      </c>
      <c r="N17" s="143">
        <v>4900593.7303319443</v>
      </c>
      <c r="O17" s="143">
        <v>5494206.6223513419</v>
      </c>
      <c r="P17" s="143">
        <v>149396.63557626095</v>
      </c>
      <c r="Q17" s="143">
        <v>3525554.7884365208</v>
      </c>
      <c r="R17" s="143">
        <v>900077.34038822388</v>
      </c>
      <c r="T17" s="34" t="s">
        <v>485</v>
      </c>
    </row>
    <row r="18" spans="2:20" ht="12.75" customHeight="1" x14ac:dyDescent="0.2">
      <c r="B18" s="2" t="s">
        <v>271</v>
      </c>
      <c r="F18" s="96" t="s">
        <v>265</v>
      </c>
      <c r="J18" s="155">
        <f>SUM(L18:R18)</f>
        <v>5651712.3539217124</v>
      </c>
      <c r="L18" s="143">
        <v>270407.66067786969</v>
      </c>
      <c r="M18" s="143">
        <v>87390.904483392136</v>
      </c>
      <c r="N18" s="143">
        <v>1803721.9231943311</v>
      </c>
      <c r="O18" s="143">
        <v>1529805.7448539184</v>
      </c>
      <c r="P18" s="143">
        <v>124277.29953056175</v>
      </c>
      <c r="Q18" s="143">
        <v>1729434.2785759792</v>
      </c>
      <c r="R18" s="143">
        <v>106674.54260565958</v>
      </c>
      <c r="T18" s="34" t="s">
        <v>486</v>
      </c>
    </row>
    <row r="19" spans="2:20" ht="12.75" customHeight="1" x14ac:dyDescent="0.25">
      <c r="B19" s="2" t="s">
        <v>267</v>
      </c>
      <c r="F19" s="96" t="s">
        <v>265</v>
      </c>
      <c r="J19" s="155">
        <f>SUM(L19:R19)</f>
        <v>21113724.34819112</v>
      </c>
      <c r="L19" s="68">
        <f>SUM(L17:L18)</f>
        <v>432950.28733817075</v>
      </c>
      <c r="M19" s="68">
        <f t="shared" ref="M19:R19" si="0">SUM(M17:M18)</f>
        <v>417031.15500820574</v>
      </c>
      <c r="N19" s="68">
        <f t="shared" si="0"/>
        <v>6704315.6535262754</v>
      </c>
      <c r="O19" s="68">
        <f t="shared" si="0"/>
        <v>7024012.3672052603</v>
      </c>
      <c r="P19" s="68">
        <f t="shared" si="0"/>
        <v>273673.9351068227</v>
      </c>
      <c r="Q19" s="68">
        <f t="shared" si="0"/>
        <v>5254989.0670125</v>
      </c>
      <c r="R19" s="68">
        <f t="shared" si="0"/>
        <v>1006751.8829938835</v>
      </c>
      <c r="T19" s="3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W46"/>
  <sheetViews>
    <sheetView showGridLines="0" zoomScale="85" zoomScaleNormal="85" workbookViewId="0">
      <pane xSplit="6" ySplit="11" topLeftCell="G12" activePane="bottomRight" state="frozen"/>
      <selection activeCell="Q51" sqref="Q51"/>
      <selection pane="topRight" activeCell="Q51" sqref="Q51"/>
      <selection pane="bottomLeft" activeCell="Q51" sqref="Q51"/>
      <selection pane="bottomRight" activeCell="G12" sqref="G12"/>
    </sheetView>
  </sheetViews>
  <sheetFormatPr defaultRowHeight="12.75" customHeight="1"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2.5703125" style="46" customWidth="1"/>
    <col min="19" max="20" width="2.7109375" style="2" customWidth="1"/>
    <col min="21" max="21" width="13.7109375" style="2" customWidth="1"/>
    <col min="22" max="22" width="2.7109375" style="2" customWidth="1"/>
    <col min="23" max="36" width="13.7109375" style="2" customWidth="1"/>
    <col min="37" max="16384" width="9.140625" style="2"/>
  </cols>
  <sheetData>
    <row r="1" spans="1:23" ht="12.75" customHeight="1" x14ac:dyDescent="0.25">
      <c r="A1" s="9"/>
    </row>
    <row r="2" spans="1:23" s="27" customFormat="1" ht="18" x14ac:dyDescent="0.25">
      <c r="B2" s="27" t="s">
        <v>364</v>
      </c>
      <c r="L2" s="45"/>
      <c r="M2" s="45"/>
      <c r="N2" s="45"/>
      <c r="O2" s="45"/>
      <c r="P2" s="45"/>
      <c r="Q2" s="45"/>
      <c r="R2" s="45"/>
    </row>
    <row r="4" spans="1:23" ht="12.75" customHeight="1" x14ac:dyDescent="0.25">
      <c r="B4" s="1" t="s">
        <v>29</v>
      </c>
      <c r="C4" s="1"/>
      <c r="D4" s="1"/>
      <c r="J4" s="136"/>
    </row>
    <row r="5" spans="1:23" ht="12.75" customHeight="1" x14ac:dyDescent="0.25">
      <c r="B5" s="2" t="s">
        <v>366</v>
      </c>
      <c r="L5" s="2"/>
      <c r="M5" s="2"/>
      <c r="N5" s="2"/>
      <c r="O5" s="2"/>
      <c r="P5" s="2"/>
      <c r="Q5" s="2"/>
      <c r="R5" s="2"/>
    </row>
    <row r="6" spans="1:23" ht="12.75" customHeight="1" x14ac:dyDescent="0.25">
      <c r="B6" s="2" t="s">
        <v>441</v>
      </c>
      <c r="L6" s="2"/>
      <c r="M6" s="2"/>
      <c r="N6" s="2"/>
      <c r="O6" s="2"/>
      <c r="P6" s="2"/>
      <c r="Q6" s="2"/>
      <c r="R6" s="2"/>
    </row>
    <row r="7" spans="1:23" ht="12.75" customHeight="1" x14ac:dyDescent="0.2">
      <c r="B7" s="86" t="s">
        <v>365</v>
      </c>
      <c r="C7" s="3"/>
      <c r="D7" s="3"/>
      <c r="H7" s="28"/>
    </row>
    <row r="8" spans="1:23" ht="12.75" customHeight="1" x14ac:dyDescent="0.2">
      <c r="B8" s="86" t="s">
        <v>448</v>
      </c>
      <c r="C8" s="3"/>
      <c r="D8" s="3"/>
      <c r="H8" s="28"/>
    </row>
    <row r="10" spans="1:23" s="8" customFormat="1" ht="12.75" customHeight="1" x14ac:dyDescent="0.25">
      <c r="B10" s="8" t="s">
        <v>45</v>
      </c>
      <c r="F10" s="8" t="s">
        <v>27</v>
      </c>
      <c r="H10" s="8" t="s">
        <v>28</v>
      </c>
      <c r="J10" s="8" t="s">
        <v>49</v>
      </c>
      <c r="L10" s="47" t="s">
        <v>165</v>
      </c>
      <c r="M10" s="47" t="s">
        <v>65</v>
      </c>
      <c r="N10" s="47" t="s">
        <v>66</v>
      </c>
      <c r="O10" s="47" t="s">
        <v>67</v>
      </c>
      <c r="P10" s="47" t="s">
        <v>68</v>
      </c>
      <c r="Q10" s="47" t="s">
        <v>69</v>
      </c>
      <c r="R10" s="47" t="s">
        <v>70</v>
      </c>
      <c r="U10" s="8" t="s">
        <v>46</v>
      </c>
      <c r="W10" s="8" t="s">
        <v>47</v>
      </c>
    </row>
    <row r="12" spans="1:23" x14ac:dyDescent="0.25">
      <c r="L12" s="2"/>
      <c r="M12" s="2"/>
      <c r="N12" s="2"/>
      <c r="O12" s="2"/>
      <c r="P12" s="2"/>
      <c r="Q12" s="2"/>
      <c r="R12" s="2"/>
    </row>
    <row r="13" spans="1:23" s="8" customFormat="1" x14ac:dyDescent="0.25">
      <c r="B13" s="8" t="s">
        <v>423</v>
      </c>
    </row>
    <row r="15" spans="1:23" ht="12.75" customHeight="1" x14ac:dyDescent="0.25">
      <c r="B15" s="1" t="s">
        <v>370</v>
      </c>
    </row>
    <row r="16" spans="1:23" ht="12.75" customHeight="1" x14ac:dyDescent="0.2">
      <c r="B16" s="2" t="s">
        <v>158</v>
      </c>
      <c r="F16" s="80" t="s">
        <v>178</v>
      </c>
      <c r="J16" s="68">
        <f>SUM(L16:R16)</f>
        <v>1061451448.6256226</v>
      </c>
      <c r="L16" s="143">
        <v>19924881.148029286</v>
      </c>
      <c r="M16" s="143">
        <v>28195602.337017886</v>
      </c>
      <c r="N16" s="143">
        <v>325591422.80474234</v>
      </c>
      <c r="O16" s="143">
        <v>376018786.04688865</v>
      </c>
      <c r="P16" s="143">
        <v>16862366.761935793</v>
      </c>
      <c r="Q16" s="143">
        <v>278984790.69003886</v>
      </c>
      <c r="R16" s="143">
        <v>15873598.83696973</v>
      </c>
      <c r="U16" s="2" t="s">
        <v>414</v>
      </c>
    </row>
    <row r="17" spans="2:21" ht="12.75" customHeight="1" x14ac:dyDescent="0.2">
      <c r="B17" s="2" t="s">
        <v>159</v>
      </c>
      <c r="F17" s="80" t="s">
        <v>179</v>
      </c>
      <c r="J17" s="68">
        <f>SUM(L17:R17)</f>
        <v>1060622644.4634919</v>
      </c>
      <c r="L17" s="143">
        <v>19896986.314422045</v>
      </c>
      <c r="M17" s="143">
        <v>28161767.614213467</v>
      </c>
      <c r="N17" s="143">
        <v>325135594.81281573</v>
      </c>
      <c r="O17" s="143">
        <v>375943582.28967929</v>
      </c>
      <c r="P17" s="143">
        <v>16855621.815231018</v>
      </c>
      <c r="Q17" s="143">
        <v>278817399.81562483</v>
      </c>
      <c r="R17" s="143">
        <v>15811691.801505547</v>
      </c>
      <c r="U17" s="2" t="s">
        <v>415</v>
      </c>
    </row>
    <row r="18" spans="2:21" ht="12.75" customHeight="1" x14ac:dyDescent="0.2">
      <c r="B18" s="2" t="s">
        <v>161</v>
      </c>
      <c r="F18" s="80" t="s">
        <v>177</v>
      </c>
      <c r="J18" s="68">
        <f>SUM(L18:R18)</f>
        <v>1067219276.2369219</v>
      </c>
      <c r="L18" s="143">
        <v>20008409.437782809</v>
      </c>
      <c r="M18" s="143">
        <v>28325105.866375905</v>
      </c>
      <c r="N18" s="143">
        <v>326956354.14376754</v>
      </c>
      <c r="O18" s="143">
        <v>378499998.64924908</v>
      </c>
      <c r="P18" s="143">
        <v>16966868.91921154</v>
      </c>
      <c r="Q18" s="143">
        <v>280601831.17444479</v>
      </c>
      <c r="R18" s="143">
        <v>15860708.046090212</v>
      </c>
      <c r="U18" s="2" t="s">
        <v>416</v>
      </c>
    </row>
    <row r="19" spans="2:21" ht="12.75" customHeight="1" x14ac:dyDescent="0.2">
      <c r="B19" s="2" t="s">
        <v>224</v>
      </c>
      <c r="F19" s="80" t="s">
        <v>223</v>
      </c>
      <c r="J19" s="68">
        <f>SUM(L19:R19)</f>
        <v>1081327900.700803</v>
      </c>
      <c r="L19" s="143">
        <v>20260515.39669887</v>
      </c>
      <c r="M19" s="143">
        <v>28687667.221465513</v>
      </c>
      <c r="N19" s="143">
        <v>331076004.20597899</v>
      </c>
      <c r="O19" s="143">
        <v>383723298.63060874</v>
      </c>
      <c r="P19" s="143">
        <v>17197618.336512819</v>
      </c>
      <c r="Q19" s="143">
        <v>284361895.7121824</v>
      </c>
      <c r="R19" s="143">
        <v>16020901.197355723</v>
      </c>
      <c r="U19" s="2" t="s">
        <v>413</v>
      </c>
    </row>
    <row r="20" spans="2:21" ht="12.75" customHeight="1" x14ac:dyDescent="0.25">
      <c r="L20" s="2"/>
      <c r="M20" s="2"/>
      <c r="N20" s="2"/>
      <c r="O20" s="2"/>
      <c r="P20" s="2"/>
      <c r="Q20" s="2"/>
      <c r="R20" s="2"/>
    </row>
    <row r="21" spans="2:21" ht="12.75" customHeight="1" x14ac:dyDescent="0.25">
      <c r="B21" s="40" t="s">
        <v>405</v>
      </c>
      <c r="L21" s="2"/>
      <c r="M21" s="2"/>
      <c r="N21" s="2"/>
      <c r="O21" s="2"/>
      <c r="P21" s="2"/>
      <c r="Q21" s="2"/>
      <c r="R21" s="2"/>
    </row>
    <row r="22" spans="2:21" ht="12.75" customHeight="1" x14ac:dyDescent="0.2">
      <c r="B22" s="2" t="s">
        <v>407</v>
      </c>
      <c r="F22" s="86" t="s">
        <v>178</v>
      </c>
      <c r="L22" s="167"/>
      <c r="M22" s="143">
        <v>1022669.2444810282</v>
      </c>
      <c r="N22" s="143">
        <v>629248.5145078362</v>
      </c>
      <c r="O22" s="167"/>
      <c r="P22" s="167"/>
      <c r="Q22" s="167"/>
      <c r="R22" s="167"/>
      <c r="U22" s="2" t="s">
        <v>411</v>
      </c>
    </row>
    <row r="23" spans="2:21" ht="12.75" customHeight="1" x14ac:dyDescent="0.2">
      <c r="B23" s="2" t="s">
        <v>408</v>
      </c>
      <c r="F23" s="86" t="s">
        <v>179</v>
      </c>
      <c r="L23" s="167"/>
      <c r="M23" s="143">
        <v>1028007.088387119</v>
      </c>
      <c r="N23" s="143">
        <v>635332.60800242249</v>
      </c>
      <c r="O23" s="167"/>
      <c r="P23" s="167"/>
      <c r="Q23" s="167"/>
      <c r="R23" s="167"/>
      <c r="U23" s="2" t="s">
        <v>412</v>
      </c>
    </row>
    <row r="24" spans="2:21" ht="12.75" customHeight="1" x14ac:dyDescent="0.2">
      <c r="B24" s="2" t="s">
        <v>409</v>
      </c>
      <c r="F24" s="86" t="s">
        <v>177</v>
      </c>
      <c r="L24" s="167"/>
      <c r="M24" s="143">
        <v>1024261.6855857448</v>
      </c>
      <c r="N24" s="143">
        <v>637378.6595973837</v>
      </c>
      <c r="O24" s="167"/>
      <c r="P24" s="167"/>
      <c r="Q24" s="167"/>
      <c r="R24" s="167"/>
      <c r="U24" s="2" t="s">
        <v>410</v>
      </c>
    </row>
    <row r="25" spans="2:21" ht="12.75" customHeight="1" x14ac:dyDescent="0.25">
      <c r="B25" s="2" t="s">
        <v>404</v>
      </c>
      <c r="F25" s="2" t="s">
        <v>132</v>
      </c>
      <c r="L25" s="144">
        <v>0</v>
      </c>
      <c r="M25" s="144">
        <v>3.5879423298864711E-2</v>
      </c>
      <c r="N25" s="144">
        <v>1.9070465116793412E-3</v>
      </c>
      <c r="O25" s="144">
        <v>0</v>
      </c>
      <c r="P25" s="144">
        <v>0</v>
      </c>
      <c r="Q25" s="144">
        <v>0</v>
      </c>
      <c r="R25" s="144">
        <v>0</v>
      </c>
      <c r="U25" s="2" t="s">
        <v>406</v>
      </c>
    </row>
    <row r="27" spans="2:21" ht="12.75" customHeight="1" x14ac:dyDescent="0.25">
      <c r="L27" s="2"/>
      <c r="M27" s="2"/>
      <c r="N27" s="2"/>
      <c r="O27" s="2"/>
      <c r="P27" s="2"/>
      <c r="Q27" s="2"/>
      <c r="R27" s="2"/>
    </row>
    <row r="28" spans="2:21" ht="12.75" customHeight="1" x14ac:dyDescent="0.25">
      <c r="L28" s="2"/>
      <c r="M28" s="2"/>
      <c r="N28" s="2"/>
      <c r="O28" s="2"/>
      <c r="P28" s="2"/>
      <c r="Q28" s="2"/>
      <c r="R28" s="2"/>
    </row>
    <row r="29" spans="2:21" ht="12.75" customHeight="1" x14ac:dyDescent="0.25">
      <c r="L29" s="2"/>
      <c r="M29" s="2"/>
      <c r="N29" s="2"/>
      <c r="O29" s="2"/>
      <c r="P29" s="2"/>
      <c r="Q29" s="2"/>
      <c r="R29" s="2"/>
    </row>
    <row r="30" spans="2:21" ht="12.75" customHeight="1" x14ac:dyDescent="0.25">
      <c r="L30" s="2"/>
      <c r="M30" s="2"/>
      <c r="N30" s="2"/>
      <c r="O30" s="2"/>
      <c r="P30" s="2"/>
      <c r="Q30" s="2"/>
      <c r="R30" s="2"/>
    </row>
    <row r="31" spans="2:21" ht="12.75" customHeight="1" x14ac:dyDescent="0.25">
      <c r="L31" s="2"/>
      <c r="M31" s="2"/>
      <c r="N31" s="2"/>
      <c r="O31" s="2"/>
      <c r="P31" s="2"/>
      <c r="Q31" s="2"/>
      <c r="R31" s="2"/>
    </row>
    <row r="32" spans="2:21" ht="12.75" customHeight="1" x14ac:dyDescent="0.25">
      <c r="L32" s="2"/>
      <c r="M32" s="2"/>
      <c r="N32" s="2"/>
      <c r="O32" s="2"/>
      <c r="P32" s="2"/>
      <c r="Q32" s="2"/>
      <c r="R32" s="2"/>
    </row>
    <row r="33" spans="12:18" ht="12.75" customHeight="1" x14ac:dyDescent="0.25">
      <c r="L33" s="2"/>
      <c r="M33" s="2"/>
      <c r="N33" s="2"/>
      <c r="O33" s="2"/>
      <c r="P33" s="2"/>
      <c r="Q33" s="2"/>
      <c r="R33" s="2"/>
    </row>
    <row r="34" spans="12:18" ht="12.75" customHeight="1" x14ac:dyDescent="0.25">
      <c r="L34" s="2"/>
      <c r="M34" s="2"/>
      <c r="N34" s="2"/>
      <c r="O34" s="2"/>
      <c r="P34" s="2"/>
      <c r="Q34" s="2"/>
      <c r="R34" s="2"/>
    </row>
    <row r="35" spans="12:18" ht="12.75" customHeight="1" x14ac:dyDescent="0.25">
      <c r="L35" s="2"/>
      <c r="M35" s="2"/>
      <c r="N35" s="2"/>
      <c r="O35" s="2"/>
      <c r="P35" s="2"/>
      <c r="Q35" s="2"/>
      <c r="R35" s="2"/>
    </row>
    <row r="36" spans="12:18" ht="12.75" customHeight="1" x14ac:dyDescent="0.25">
      <c r="L36" s="2"/>
      <c r="M36" s="2"/>
      <c r="N36" s="2"/>
      <c r="O36" s="2"/>
      <c r="P36" s="2"/>
      <c r="Q36" s="2"/>
      <c r="R36" s="2"/>
    </row>
    <row r="37" spans="12:18" ht="12.75" customHeight="1" x14ac:dyDescent="0.25">
      <c r="L37" s="2"/>
      <c r="M37" s="2"/>
      <c r="N37" s="2"/>
      <c r="O37" s="2"/>
      <c r="P37" s="2"/>
      <c r="Q37" s="2"/>
      <c r="R37" s="2"/>
    </row>
    <row r="38" spans="12:18" ht="12.75" customHeight="1" x14ac:dyDescent="0.25">
      <c r="L38" s="2"/>
      <c r="M38" s="2"/>
      <c r="N38" s="2"/>
      <c r="O38" s="2"/>
      <c r="P38" s="2"/>
      <c r="Q38" s="2"/>
      <c r="R38" s="2"/>
    </row>
    <row r="39" spans="12:18" ht="12.75" customHeight="1" x14ac:dyDescent="0.25">
      <c r="L39" s="2"/>
      <c r="M39" s="2"/>
      <c r="N39" s="2"/>
      <c r="O39" s="2"/>
      <c r="P39" s="2"/>
      <c r="Q39" s="2"/>
      <c r="R39" s="2"/>
    </row>
    <row r="40" spans="12:18" ht="12.75" customHeight="1" x14ac:dyDescent="0.25">
      <c r="L40" s="2"/>
      <c r="M40" s="2"/>
      <c r="N40" s="2"/>
      <c r="O40" s="2"/>
      <c r="P40" s="2"/>
      <c r="Q40" s="2"/>
      <c r="R40" s="2"/>
    </row>
    <row r="41" spans="12:18" ht="12.75" customHeight="1" x14ac:dyDescent="0.25">
      <c r="L41" s="2"/>
      <c r="M41" s="2"/>
      <c r="N41" s="2"/>
      <c r="O41" s="2"/>
      <c r="P41" s="2"/>
      <c r="Q41" s="2"/>
      <c r="R41" s="2"/>
    </row>
    <row r="42" spans="12:18" ht="12.75" customHeight="1" x14ac:dyDescent="0.25">
      <c r="L42" s="2"/>
      <c r="M42" s="2"/>
      <c r="N42" s="2"/>
      <c r="O42" s="2"/>
      <c r="P42" s="2"/>
      <c r="Q42" s="2"/>
      <c r="R42" s="2"/>
    </row>
    <row r="43" spans="12:18" ht="12.75" customHeight="1" x14ac:dyDescent="0.25">
      <c r="L43" s="2"/>
      <c r="M43" s="2"/>
      <c r="N43" s="2"/>
      <c r="O43" s="2"/>
      <c r="P43" s="2"/>
      <c r="Q43" s="2"/>
      <c r="R43" s="2"/>
    </row>
    <row r="44" spans="12:18" ht="12.75" customHeight="1" x14ac:dyDescent="0.25">
      <c r="L44" s="2"/>
      <c r="M44" s="2"/>
      <c r="N44" s="2"/>
      <c r="O44" s="2"/>
      <c r="P44" s="2"/>
      <c r="Q44" s="2"/>
      <c r="R44" s="2"/>
    </row>
    <row r="45" spans="12:18" ht="12.75" customHeight="1" x14ac:dyDescent="0.25">
      <c r="L45" s="2"/>
      <c r="M45" s="2"/>
      <c r="N45" s="2"/>
      <c r="O45" s="2"/>
      <c r="P45" s="2"/>
      <c r="Q45" s="2"/>
      <c r="R45" s="2"/>
    </row>
    <row r="46" spans="12:18" ht="12.75" customHeight="1" x14ac:dyDescent="0.25">
      <c r="L46" s="2"/>
      <c r="M46" s="2"/>
      <c r="N46" s="2"/>
      <c r="O46" s="2"/>
      <c r="P46" s="2"/>
      <c r="Q46" s="2"/>
      <c r="R46" s="2"/>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W36"/>
  <sheetViews>
    <sheetView showGridLines="0" zoomScale="85" zoomScaleNormal="85" workbookViewId="0">
      <pane xSplit="6" ySplit="15" topLeftCell="G16" activePane="bottomRight" state="frozen"/>
      <selection activeCell="Q51" sqref="Q51"/>
      <selection pane="topRight" activeCell="Q51" sqref="Q51"/>
      <selection pane="bottomLeft" activeCell="Q51" sqref="Q51"/>
      <selection pane="bottomRight" activeCell="G16" sqref="G16"/>
    </sheetView>
  </sheetViews>
  <sheetFormatPr defaultRowHeight="12.75" customHeight="1"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2.5703125" style="46" customWidth="1"/>
    <col min="19" max="20" width="2.7109375" style="2" customWidth="1"/>
    <col min="21" max="21" width="13.7109375" style="2" customWidth="1"/>
    <col min="22" max="22" width="2.7109375" style="2" customWidth="1"/>
    <col min="23" max="36" width="13.7109375" style="2" customWidth="1"/>
    <col min="37" max="16384" width="9.140625" style="2"/>
  </cols>
  <sheetData>
    <row r="1" spans="1:23" ht="12.75" customHeight="1" x14ac:dyDescent="0.25">
      <c r="A1" s="9"/>
    </row>
    <row r="2" spans="1:23" s="27" customFormat="1" ht="18" x14ac:dyDescent="0.25">
      <c r="B2" s="27" t="s">
        <v>257</v>
      </c>
      <c r="L2" s="45"/>
      <c r="M2" s="45"/>
      <c r="N2" s="45"/>
      <c r="O2" s="45"/>
      <c r="P2" s="45"/>
      <c r="Q2" s="45"/>
      <c r="R2" s="45"/>
    </row>
    <row r="4" spans="1:23" ht="12.75" customHeight="1" x14ac:dyDescent="0.25">
      <c r="B4" s="1" t="s">
        <v>258</v>
      </c>
      <c r="C4" s="1"/>
      <c r="D4" s="1"/>
      <c r="J4" s="39"/>
    </row>
    <row r="5" spans="1:23" ht="12.75" customHeight="1" x14ac:dyDescent="0.2">
      <c r="B5" s="41" t="s">
        <v>185</v>
      </c>
      <c r="C5" s="3"/>
      <c r="D5" s="3"/>
      <c r="H5" s="28"/>
    </row>
    <row r="6" spans="1:23" ht="12.75" customHeight="1" x14ac:dyDescent="0.2">
      <c r="B6" s="86" t="s">
        <v>348</v>
      </c>
      <c r="C6" s="3"/>
      <c r="D6" s="3"/>
      <c r="H6" s="28"/>
    </row>
    <row r="7" spans="1:23" ht="12.75" customHeight="1" x14ac:dyDescent="0.2">
      <c r="B7" s="86" t="s">
        <v>306</v>
      </c>
      <c r="C7" s="3"/>
      <c r="D7" s="3"/>
      <c r="H7" s="28"/>
    </row>
    <row r="8" spans="1:23" ht="12.75" customHeight="1" x14ac:dyDescent="0.2">
      <c r="B8" s="86" t="s">
        <v>186</v>
      </c>
      <c r="C8" s="3"/>
      <c r="D8" s="3"/>
      <c r="H8" s="28"/>
    </row>
    <row r="9" spans="1:23" ht="12.75" customHeight="1" x14ac:dyDescent="0.2">
      <c r="B9" s="86" t="s">
        <v>187</v>
      </c>
      <c r="C9" s="3"/>
      <c r="D9" s="3"/>
      <c r="H9" s="28"/>
    </row>
    <row r="10" spans="1:23" ht="12.75" customHeight="1" x14ac:dyDescent="0.2">
      <c r="B10" s="86" t="s">
        <v>188</v>
      </c>
      <c r="C10" s="3"/>
      <c r="D10" s="3"/>
      <c r="H10" s="28"/>
    </row>
    <row r="11" spans="1:23" s="41" customFormat="1" ht="12.75" customHeight="1" x14ac:dyDescent="0.2">
      <c r="B11" s="160" t="s">
        <v>307</v>
      </c>
    </row>
    <row r="12" spans="1:23" s="41" customFormat="1" ht="12.75" customHeight="1" x14ac:dyDescent="0.2">
      <c r="B12" s="126" t="s">
        <v>308</v>
      </c>
    </row>
    <row r="14" spans="1:23" s="8" customFormat="1" ht="12.75" customHeight="1" x14ac:dyDescent="0.25">
      <c r="B14" s="8" t="s">
        <v>45</v>
      </c>
      <c r="F14" s="8" t="s">
        <v>27</v>
      </c>
      <c r="H14" s="8" t="s">
        <v>28</v>
      </c>
      <c r="J14" s="8" t="s">
        <v>49</v>
      </c>
      <c r="L14" s="47" t="s">
        <v>165</v>
      </c>
      <c r="M14" s="47" t="s">
        <v>65</v>
      </c>
      <c r="N14" s="47" t="s">
        <v>394</v>
      </c>
      <c r="O14" s="47" t="s">
        <v>67</v>
      </c>
      <c r="P14" s="47" t="s">
        <v>68</v>
      </c>
      <c r="Q14" s="47" t="s">
        <v>69</v>
      </c>
      <c r="R14" s="47" t="s">
        <v>70</v>
      </c>
      <c r="U14" s="8" t="s">
        <v>46</v>
      </c>
      <c r="W14" s="8" t="s">
        <v>47</v>
      </c>
    </row>
    <row r="16" spans="1:23" x14ac:dyDescent="0.25">
      <c r="L16" s="2"/>
      <c r="M16" s="2"/>
      <c r="N16" s="2"/>
      <c r="O16" s="2"/>
      <c r="P16" s="2"/>
      <c r="Q16" s="2"/>
      <c r="R16" s="2"/>
    </row>
    <row r="17" spans="2:21" s="8" customFormat="1" x14ac:dyDescent="0.25">
      <c r="B17" s="8" t="s">
        <v>368</v>
      </c>
    </row>
    <row r="19" spans="2:21" ht="12.75" customHeight="1" x14ac:dyDescent="0.25">
      <c r="B19" s="2" t="s">
        <v>240</v>
      </c>
      <c r="F19" s="2" t="s">
        <v>262</v>
      </c>
      <c r="L19" s="143">
        <v>532701.29699999734</v>
      </c>
      <c r="M19" s="143">
        <v>1029264.81</v>
      </c>
      <c r="N19" s="143">
        <v>10444121.318135591</v>
      </c>
      <c r="O19" s="143">
        <v>10870240.24</v>
      </c>
      <c r="P19" s="143">
        <v>368325.15</v>
      </c>
      <c r="Q19" s="143">
        <v>8221051.6499999994</v>
      </c>
      <c r="R19" s="143">
        <v>623761.14999999991</v>
      </c>
      <c r="U19" s="2" t="s">
        <v>467</v>
      </c>
    </row>
    <row r="20" spans="2:21" ht="12.75" customHeight="1" x14ac:dyDescent="0.25">
      <c r="B20" s="2" t="s">
        <v>241</v>
      </c>
      <c r="F20" s="2" t="s">
        <v>263</v>
      </c>
      <c r="L20" s="143">
        <v>572467.20999999903</v>
      </c>
      <c r="M20" s="143">
        <v>1063322.1499999999</v>
      </c>
      <c r="N20" s="143">
        <v>9617129.2651409041</v>
      </c>
      <c r="O20" s="143">
        <v>9841317</v>
      </c>
      <c r="P20" s="143">
        <v>395732.5</v>
      </c>
      <c r="Q20" s="143">
        <v>8657261.8999999985</v>
      </c>
      <c r="R20" s="143">
        <v>430942.15</v>
      </c>
      <c r="U20" s="2" t="s">
        <v>468</v>
      </c>
    </row>
    <row r="21" spans="2:21" ht="12.75" customHeight="1" x14ac:dyDescent="0.25">
      <c r="B21" s="2" t="s">
        <v>242</v>
      </c>
      <c r="F21" s="2" t="s">
        <v>264</v>
      </c>
      <c r="L21" s="143">
        <v>480630.68</v>
      </c>
      <c r="M21" s="143">
        <v>973967.9</v>
      </c>
      <c r="N21" s="143">
        <v>9949851.6899997871</v>
      </c>
      <c r="O21" s="143">
        <v>12015294.780000001</v>
      </c>
      <c r="P21" s="143">
        <v>384793.25</v>
      </c>
      <c r="Q21" s="143">
        <v>11334314.370000001</v>
      </c>
      <c r="R21" s="143">
        <v>480630.68</v>
      </c>
      <c r="U21" s="2" t="s">
        <v>469</v>
      </c>
    </row>
    <row r="23" spans="2:21" ht="12.75" customHeight="1" x14ac:dyDescent="0.25">
      <c r="B23" s="2" t="s">
        <v>243</v>
      </c>
      <c r="F23" s="2" t="s">
        <v>132</v>
      </c>
      <c r="H23" s="144">
        <v>-2.33731553035188E-4</v>
      </c>
      <c r="U23" s="2" t="s">
        <v>470</v>
      </c>
    </row>
    <row r="24" spans="2:21" ht="12.75" customHeight="1" x14ac:dyDescent="0.25">
      <c r="B24" s="2" t="s">
        <v>244</v>
      </c>
      <c r="F24" s="2" t="s">
        <v>132</v>
      </c>
      <c r="H24" s="142">
        <v>1.2E-2</v>
      </c>
      <c r="U24" s="2" t="s">
        <v>471</v>
      </c>
    </row>
    <row r="26" spans="2:21" ht="12.75" customHeight="1" x14ac:dyDescent="0.25">
      <c r="B26" s="2" t="s">
        <v>245</v>
      </c>
      <c r="F26" s="2" t="s">
        <v>176</v>
      </c>
      <c r="L26" s="143">
        <v>4473393.3739248244</v>
      </c>
      <c r="M26" s="143">
        <v>6219723.6949636098</v>
      </c>
      <c r="N26" s="143">
        <v>72222154.947621942</v>
      </c>
      <c r="O26" s="143">
        <v>81262744.369184196</v>
      </c>
      <c r="P26" s="143">
        <v>3365928.6588360853</v>
      </c>
      <c r="Q26" s="143">
        <v>59895407.473430067</v>
      </c>
      <c r="R26" s="143">
        <v>2089575.8567130689</v>
      </c>
      <c r="U26" s="2" t="s">
        <v>472</v>
      </c>
    </row>
    <row r="27" spans="2:21" ht="12.75" customHeight="1" x14ac:dyDescent="0.25">
      <c r="B27" s="2" t="s">
        <v>246</v>
      </c>
      <c r="F27" s="2" t="s">
        <v>265</v>
      </c>
      <c r="L27" s="143">
        <v>4835561.9370380444</v>
      </c>
      <c r="M27" s="143">
        <v>6723282.8916520113</v>
      </c>
      <c r="N27" s="143">
        <v>78068946.967825741</v>
      </c>
      <c r="O27" s="143">
        <v>87841911.593023509</v>
      </c>
      <c r="P27" s="143">
        <v>3638439.8530112286</v>
      </c>
      <c r="Q27" s="143">
        <v>64744639.489486918</v>
      </c>
      <c r="R27" s="143">
        <v>2258751.4007453457</v>
      </c>
      <c r="U27" s="2" t="s">
        <v>473</v>
      </c>
    </row>
    <row r="29" spans="2:21" ht="12.75" customHeight="1" x14ac:dyDescent="0.25">
      <c r="B29" s="2" t="s">
        <v>247</v>
      </c>
      <c r="F29" s="2" t="s">
        <v>176</v>
      </c>
      <c r="H29" s="143">
        <v>33611088.497780532</v>
      </c>
      <c r="U29" s="2" t="s">
        <v>474</v>
      </c>
    </row>
    <row r="31" spans="2:21" s="8" customFormat="1" x14ac:dyDescent="0.25">
      <c r="B31" s="8" t="s">
        <v>399</v>
      </c>
    </row>
    <row r="33" spans="2:21" ht="12.75" customHeight="1" x14ac:dyDescent="0.25">
      <c r="B33" s="2" t="s">
        <v>249</v>
      </c>
      <c r="F33" s="2" t="s">
        <v>176</v>
      </c>
      <c r="L33" s="143">
        <v>16013797.719445687</v>
      </c>
      <c r="M33" s="143">
        <v>21684347.323207561</v>
      </c>
      <c r="N33" s="143">
        <v>261890467.45315132</v>
      </c>
      <c r="O33" s="143">
        <v>304495309.61153406</v>
      </c>
      <c r="P33" s="143">
        <v>13936434.614733677</v>
      </c>
      <c r="Q33" s="143">
        <v>226532514.88970852</v>
      </c>
      <c r="R33" s="143">
        <v>14299377.510996953</v>
      </c>
      <c r="U33" s="2" t="s">
        <v>475</v>
      </c>
    </row>
    <row r="34" spans="2:21" ht="12.75" customHeight="1" x14ac:dyDescent="0.25">
      <c r="B34" s="2" t="s">
        <v>253</v>
      </c>
      <c r="F34" s="2" t="s">
        <v>265</v>
      </c>
      <c r="L34" s="143">
        <v>15077723.017221121</v>
      </c>
      <c r="M34" s="143">
        <v>20470755.641860146</v>
      </c>
      <c r="N34" s="143">
        <v>246716457.52516726</v>
      </c>
      <c r="O34" s="143">
        <v>289679528.90799332</v>
      </c>
      <c r="P34" s="143">
        <v>13271115.662803946</v>
      </c>
      <c r="Q34" s="143">
        <v>214893660.64183444</v>
      </c>
      <c r="R34" s="143">
        <v>13463813.738496147</v>
      </c>
      <c r="U34" s="2" t="s">
        <v>476</v>
      </c>
    </row>
    <row r="35" spans="2:21" ht="12.75" customHeight="1" x14ac:dyDescent="0.25">
      <c r="L35" s="2"/>
      <c r="M35" s="2"/>
      <c r="N35" s="2"/>
      <c r="O35" s="2"/>
      <c r="P35" s="2"/>
      <c r="Q35" s="2"/>
      <c r="R35" s="2"/>
    </row>
    <row r="36" spans="2:21" ht="12.75" customHeight="1" x14ac:dyDescent="0.25">
      <c r="B36" s="2" t="s">
        <v>377</v>
      </c>
      <c r="F36" s="2" t="s">
        <v>176</v>
      </c>
      <c r="L36" s="167"/>
      <c r="M36" s="143">
        <v>1073958.6671368389</v>
      </c>
      <c r="N36" s="143">
        <v>658744.50842776964</v>
      </c>
      <c r="O36" s="141">
        <v>0</v>
      </c>
      <c r="P36" s="167"/>
      <c r="Q36" s="167"/>
      <c r="R36" s="167"/>
      <c r="U36" s="2" t="s">
        <v>477</v>
      </c>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5"/>
  <cols>
    <col min="1" max="16384" width="9.140625" style="32"/>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2:Z36"/>
  <sheetViews>
    <sheetView showGridLines="0" zoomScale="85" zoomScaleNormal="85" workbookViewId="0">
      <pane xSplit="6" ySplit="9" topLeftCell="G10" activePane="bottomRight" state="frozen"/>
      <selection activeCell="A4" sqref="A4"/>
      <selection pane="topRight" activeCell="A4" sqref="A4"/>
      <selection pane="bottomLeft" activeCell="A4" sqref="A4"/>
      <selection pane="bottomRight" activeCell="G10" sqref="G10"/>
    </sheetView>
  </sheetViews>
  <sheetFormatPr defaultRowHeight="12.75" x14ac:dyDescent="0.25"/>
  <cols>
    <col min="1" max="1" width="4" style="2" customWidth="1"/>
    <col min="2" max="2" width="48"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2" width="12.5703125" style="2" customWidth="1"/>
    <col min="23" max="23" width="2.7109375" style="2" customWidth="1"/>
    <col min="24" max="24" width="25.5703125" style="2" customWidth="1"/>
    <col min="25" max="25" width="3.140625" style="2" customWidth="1"/>
    <col min="26" max="26" width="18" style="2" customWidth="1"/>
    <col min="27" max="39" width="13.7109375" style="2" customWidth="1"/>
    <col min="40" max="16384" width="9.140625" style="2"/>
  </cols>
  <sheetData>
    <row r="2" spans="1:26" s="27" customFormat="1" ht="18" x14ac:dyDescent="0.25">
      <c r="B2" s="27" t="s">
        <v>152</v>
      </c>
    </row>
    <row r="4" spans="1:26" x14ac:dyDescent="0.25">
      <c r="B4" s="1" t="s">
        <v>58</v>
      </c>
      <c r="C4" s="1"/>
      <c r="D4" s="1"/>
    </row>
    <row r="5" spans="1:26" x14ac:dyDescent="0.25">
      <c r="A5" s="9"/>
      <c r="B5" s="34" t="s">
        <v>214</v>
      </c>
      <c r="C5" s="34"/>
      <c r="D5" s="34"/>
      <c r="H5" s="28"/>
    </row>
    <row r="6" spans="1:26" x14ac:dyDescent="0.25">
      <c r="B6" s="34" t="s">
        <v>219</v>
      </c>
      <c r="C6" s="34"/>
      <c r="D6" s="34"/>
      <c r="H6" s="28"/>
    </row>
    <row r="8" spans="1:26" s="8" customFormat="1" x14ac:dyDescent="0.25">
      <c r="B8" s="8" t="s">
        <v>45</v>
      </c>
      <c r="F8" s="8" t="s">
        <v>27</v>
      </c>
      <c r="H8" s="8" t="s">
        <v>28</v>
      </c>
      <c r="J8" s="8" t="s">
        <v>49</v>
      </c>
      <c r="L8" s="108">
        <v>2011</v>
      </c>
      <c r="M8" s="108">
        <v>2012</v>
      </c>
      <c r="N8" s="108">
        <v>2013</v>
      </c>
      <c r="O8" s="108">
        <v>2014</v>
      </c>
      <c r="P8" s="108">
        <v>2015</v>
      </c>
      <c r="Q8" s="108">
        <v>2016</v>
      </c>
      <c r="R8" s="108">
        <v>2017</v>
      </c>
      <c r="S8" s="108">
        <v>2018</v>
      </c>
      <c r="T8" s="108">
        <v>2019</v>
      </c>
      <c r="U8" s="108">
        <v>2020</v>
      </c>
      <c r="V8" s="108">
        <v>2021</v>
      </c>
      <c r="W8" s="127"/>
      <c r="X8" s="8" t="s">
        <v>46</v>
      </c>
      <c r="Z8" s="8" t="s">
        <v>47</v>
      </c>
    </row>
    <row r="11" spans="1:26" s="8" customFormat="1" x14ac:dyDescent="0.25">
      <c r="B11" s="8" t="s">
        <v>48</v>
      </c>
    </row>
    <row r="13" spans="1:26" x14ac:dyDescent="0.25">
      <c r="B13" s="1" t="s">
        <v>135</v>
      </c>
    </row>
    <row r="14" spans="1:26" x14ac:dyDescent="0.25">
      <c r="B14" s="2" t="s">
        <v>136</v>
      </c>
      <c r="F14" s="2" t="s">
        <v>132</v>
      </c>
      <c r="L14" s="104">
        <f>'Input parameters'!L33</f>
        <v>2.5000000000000001E-2</v>
      </c>
      <c r="M14" s="104">
        <f>'Input parameters'!M33</f>
        <v>2.8500000000000001E-2</v>
      </c>
      <c r="N14" s="104">
        <f>'Input parameters'!N33</f>
        <v>0.03</v>
      </c>
      <c r="O14" s="104">
        <f>'Input parameters'!O33</f>
        <v>0.03</v>
      </c>
      <c r="P14" s="104">
        <f>'Input parameters'!P33</f>
        <v>0.04</v>
      </c>
      <c r="Q14" s="104">
        <f>'Input parameters'!Q33</f>
        <v>0.04</v>
      </c>
      <c r="R14" s="104">
        <f>'Input parameters'!R33</f>
        <v>0.04</v>
      </c>
      <c r="S14" s="104">
        <f>'Input parameters'!S33</f>
        <v>0.04</v>
      </c>
      <c r="T14" s="104">
        <f>'Input parameters'!T33</f>
        <v>0.04</v>
      </c>
      <c r="U14" s="104">
        <f>'Input parameters'!U33</f>
        <v>0.04</v>
      </c>
      <c r="V14" s="104">
        <f>'Input parameters'!V33</f>
        <v>0.04</v>
      </c>
    </row>
    <row r="15" spans="1:26" x14ac:dyDescent="0.25">
      <c r="B15" s="2" t="s">
        <v>137</v>
      </c>
      <c r="F15" s="2" t="s">
        <v>132</v>
      </c>
      <c r="L15" s="104">
        <f>'Input parameters'!L34</f>
        <v>2.5000000000000001E-2</v>
      </c>
      <c r="M15" s="104">
        <f>'Input parameters'!M34</f>
        <v>2.3E-2</v>
      </c>
      <c r="N15" s="104">
        <f>'Input parameters'!N34</f>
        <v>0.03</v>
      </c>
      <c r="O15" s="104">
        <f>'Input parameters'!O34</f>
        <v>0.04</v>
      </c>
      <c r="P15" s="104">
        <f>'Input parameters'!P34</f>
        <v>0.04</v>
      </c>
      <c r="Q15" s="104">
        <f>'Input parameters'!Q34</f>
        <v>0.04</v>
      </c>
      <c r="R15" s="104">
        <f>'Input parameters'!R34</f>
        <v>0.04</v>
      </c>
      <c r="S15" s="104">
        <f>'Input parameters'!S34</f>
        <v>0.04</v>
      </c>
      <c r="T15" s="104">
        <f>'Input parameters'!T34</f>
        <v>0.04</v>
      </c>
      <c r="U15" s="104">
        <f>'Input parameters'!U34</f>
        <v>0.04</v>
      </c>
      <c r="V15" s="104">
        <f>'Input parameters'!V34</f>
        <v>0.04</v>
      </c>
    </row>
    <row r="16" spans="1:26" x14ac:dyDescent="0.25">
      <c r="B16" s="2" t="s">
        <v>138</v>
      </c>
      <c r="F16" s="2" t="s">
        <v>132</v>
      </c>
      <c r="L16" s="104">
        <f>'Input parameters'!L35</f>
        <v>2.75E-2</v>
      </c>
      <c r="M16" s="104">
        <f>'Input parameters'!M35</f>
        <v>2.5000000000000001E-2</v>
      </c>
      <c r="N16" s="104">
        <f>'Input parameters'!N35</f>
        <v>0.03</v>
      </c>
      <c r="O16" s="104">
        <f>'Input parameters'!O35</f>
        <v>0.04</v>
      </c>
      <c r="P16" s="104">
        <f>'Input parameters'!P35</f>
        <v>0.04</v>
      </c>
      <c r="Q16" s="104">
        <f>'Input parameters'!Q35</f>
        <v>0.04</v>
      </c>
      <c r="R16" s="104">
        <f>'Input parameters'!R35</f>
        <v>0.04</v>
      </c>
      <c r="S16" s="104">
        <f>'Input parameters'!S35</f>
        <v>0.04</v>
      </c>
      <c r="T16" s="104">
        <f>'Input parameters'!T35</f>
        <v>0.04</v>
      </c>
      <c r="U16" s="104">
        <f>'Input parameters'!U35</f>
        <v>0.04</v>
      </c>
    </row>
    <row r="17" spans="2:22" x14ac:dyDescent="0.25">
      <c r="B17" s="2" t="s">
        <v>139</v>
      </c>
      <c r="F17" s="2" t="s">
        <v>132</v>
      </c>
      <c r="L17" s="104">
        <f>'Input parameters'!L36</f>
        <v>0.03</v>
      </c>
      <c r="M17" s="104">
        <f>'Input parameters'!M36</f>
        <v>2.2499999999999999E-2</v>
      </c>
      <c r="N17" s="104">
        <f>'Input parameters'!N36</f>
        <v>0.03</v>
      </c>
      <c r="O17" s="104">
        <f>'Input parameters'!O36</f>
        <v>0.04</v>
      </c>
      <c r="P17" s="104">
        <f>'Input parameters'!P36</f>
        <v>0.04</v>
      </c>
      <c r="Q17" s="104">
        <f>'Input parameters'!Q36</f>
        <v>0.04</v>
      </c>
      <c r="R17" s="104">
        <f>'Input parameters'!R36</f>
        <v>0.04</v>
      </c>
      <c r="S17" s="104">
        <f>'Input parameters'!S36</f>
        <v>0.04</v>
      </c>
      <c r="T17" s="104">
        <f>'Input parameters'!T36</f>
        <v>0.04</v>
      </c>
      <c r="U17" s="104">
        <f>'Input parameters'!U36</f>
        <v>0.04</v>
      </c>
    </row>
    <row r="20" spans="2:22" s="8" customFormat="1" x14ac:dyDescent="0.25">
      <c r="B20" s="8" t="s">
        <v>151</v>
      </c>
    </row>
    <row r="22" spans="2:22" x14ac:dyDescent="0.25">
      <c r="B22" s="1" t="s">
        <v>150</v>
      </c>
    </row>
    <row r="23" spans="2:22" x14ac:dyDescent="0.25">
      <c r="B23" s="2" t="s">
        <v>149</v>
      </c>
      <c r="M23" s="106">
        <f t="shared" ref="M23:V23" si="0">M8</f>
        <v>2012</v>
      </c>
      <c r="N23" s="106">
        <f t="shared" si="0"/>
        <v>2013</v>
      </c>
      <c r="O23" s="106">
        <f t="shared" si="0"/>
        <v>2014</v>
      </c>
      <c r="P23" s="106">
        <f t="shared" si="0"/>
        <v>2015</v>
      </c>
      <c r="Q23" s="106">
        <f t="shared" si="0"/>
        <v>2016</v>
      </c>
      <c r="R23" s="106">
        <f t="shared" si="0"/>
        <v>2017</v>
      </c>
      <c r="S23" s="106">
        <f t="shared" si="0"/>
        <v>2018</v>
      </c>
      <c r="T23" s="106">
        <f t="shared" si="0"/>
        <v>2019</v>
      </c>
      <c r="U23" s="106">
        <f t="shared" si="0"/>
        <v>2020</v>
      </c>
      <c r="V23" s="106">
        <f t="shared" si="0"/>
        <v>2021</v>
      </c>
    </row>
    <row r="24" spans="2:22" x14ac:dyDescent="0.25">
      <c r="B24" s="2" t="s">
        <v>148</v>
      </c>
      <c r="F24" s="2" t="s">
        <v>132</v>
      </c>
      <c r="M24" s="105">
        <f t="shared" ref="M24:V24" si="1">((1+L16)*(1+L17)*(1+M14)*(1+M15))^(1/4)-1</f>
        <v>2.7246679826694153E-2</v>
      </c>
      <c r="N24" s="105">
        <f t="shared" si="1"/>
        <v>2.6869862241643006E-2</v>
      </c>
      <c r="O24" s="105">
        <f t="shared" si="1"/>
        <v>3.2490949264880609E-2</v>
      </c>
      <c r="P24" s="105">
        <f t="shared" si="1"/>
        <v>4.0000000000000036E-2</v>
      </c>
      <c r="Q24" s="105">
        <f t="shared" si="1"/>
        <v>4.0000000000000036E-2</v>
      </c>
      <c r="R24" s="105">
        <f t="shared" si="1"/>
        <v>4.0000000000000036E-2</v>
      </c>
      <c r="S24" s="105">
        <f t="shared" si="1"/>
        <v>4.0000000000000036E-2</v>
      </c>
      <c r="T24" s="105">
        <f t="shared" si="1"/>
        <v>4.0000000000000036E-2</v>
      </c>
      <c r="U24" s="105">
        <f t="shared" si="1"/>
        <v>4.0000000000000036E-2</v>
      </c>
      <c r="V24" s="107">
        <f t="shared" si="1"/>
        <v>4.0000000000000036E-2</v>
      </c>
    </row>
    <row r="26" spans="2:22" x14ac:dyDescent="0.25">
      <c r="B26" s="1" t="s">
        <v>147</v>
      </c>
    </row>
    <row r="27" spans="2:22" x14ac:dyDescent="0.25">
      <c r="B27" s="2" t="s">
        <v>146</v>
      </c>
      <c r="F27" s="2" t="s">
        <v>132</v>
      </c>
      <c r="M27" s="104">
        <f>M24</f>
        <v>2.7246679826694153E-2</v>
      </c>
      <c r="N27" s="105">
        <f t="shared" ref="N27:U28" si="2">(1+M27)*(1+N$24)-1</f>
        <v>5.4848656601822476E-2</v>
      </c>
      <c r="O27" s="105">
        <f t="shared" si="2"/>
        <v>8.9121690785599839E-2</v>
      </c>
      <c r="P27" s="105">
        <f t="shared" si="2"/>
        <v>0.13268655841702381</v>
      </c>
      <c r="Q27" s="105">
        <f t="shared" si="2"/>
        <v>0.17799402075370474</v>
      </c>
      <c r="R27" s="105">
        <f t="shared" si="2"/>
        <v>0.22511378158385287</v>
      </c>
      <c r="S27" s="105">
        <f t="shared" si="2"/>
        <v>0.27411833284720699</v>
      </c>
      <c r="T27" s="105">
        <f t="shared" si="2"/>
        <v>0.32508306616109528</v>
      </c>
      <c r="U27" s="105">
        <f t="shared" si="2"/>
        <v>0.3780863888075392</v>
      </c>
      <c r="V27" s="105">
        <f t="shared" ref="V27:V34" si="3">(1+U27)*(1+V$24)-1</f>
        <v>0.43320984435984089</v>
      </c>
    </row>
    <row r="28" spans="2:22" x14ac:dyDescent="0.25">
      <c r="B28" s="2" t="s">
        <v>145</v>
      </c>
      <c r="F28" s="2" t="s">
        <v>132</v>
      </c>
      <c r="M28" s="19"/>
      <c r="N28" s="104">
        <f>N24</f>
        <v>2.6869862241643006E-2</v>
      </c>
      <c r="O28" s="105">
        <f t="shared" ref="O28:U29" si="4">(1+N28)*(1+O$24)-1</f>
        <v>6.0233838837371101E-2</v>
      </c>
      <c r="P28" s="105">
        <f t="shared" si="4"/>
        <v>0.10264319239086594</v>
      </c>
      <c r="Q28" s="105">
        <f t="shared" si="4"/>
        <v>0.14674892008650064</v>
      </c>
      <c r="R28" s="105">
        <f t="shared" si="4"/>
        <v>0.19261887688996082</v>
      </c>
      <c r="S28" s="105">
        <f t="shared" si="4"/>
        <v>0.24032363196555928</v>
      </c>
      <c r="T28" s="105">
        <f t="shared" si="4"/>
        <v>0.28993657724418176</v>
      </c>
      <c r="U28" s="105">
        <f t="shared" si="2"/>
        <v>0.34153404033394907</v>
      </c>
      <c r="V28" s="105">
        <f t="shared" si="3"/>
        <v>0.39519540194730718</v>
      </c>
    </row>
    <row r="29" spans="2:22" x14ac:dyDescent="0.25">
      <c r="B29" s="2" t="s">
        <v>144</v>
      </c>
      <c r="F29" s="2" t="s">
        <v>132</v>
      </c>
      <c r="M29" s="19"/>
      <c r="N29" s="19"/>
      <c r="O29" s="104">
        <f>O24</f>
        <v>3.2490949264880609E-2</v>
      </c>
      <c r="P29" s="105">
        <f>(1+O29)*(1+P$24)-1</f>
        <v>7.3790587235475824E-2</v>
      </c>
      <c r="Q29" s="105">
        <f>(1+P29)*(1+Q$24)-1</f>
        <v>0.11674221072489499</v>
      </c>
      <c r="R29" s="105">
        <f>(1+Q29)*(1+R$24)-1</f>
        <v>0.16141189915389087</v>
      </c>
      <c r="S29" s="105">
        <f>(1+R29)*(1+S$24)-1</f>
        <v>0.20786837512004652</v>
      </c>
      <c r="T29" s="105">
        <f>(1+S29)*(1+T$24)-1</f>
        <v>0.2561831101248484</v>
      </c>
      <c r="U29" s="105">
        <f t="shared" si="4"/>
        <v>0.30643043452984231</v>
      </c>
      <c r="V29" s="105">
        <f t="shared" si="3"/>
        <v>0.35868765191103602</v>
      </c>
    </row>
    <row r="30" spans="2:22" x14ac:dyDescent="0.25">
      <c r="B30" s="2" t="s">
        <v>143</v>
      </c>
      <c r="F30" s="2" t="s">
        <v>132</v>
      </c>
      <c r="M30" s="19"/>
      <c r="N30" s="19"/>
      <c r="O30" s="19"/>
      <c r="P30" s="104">
        <f>P24</f>
        <v>4.0000000000000036E-2</v>
      </c>
      <c r="Q30" s="105">
        <f>(1+P30)*(1+Q$24)-1</f>
        <v>8.1600000000000117E-2</v>
      </c>
      <c r="R30" s="105">
        <f>(1+Q30)*(1+R$24)-1</f>
        <v>0.12486400000000009</v>
      </c>
      <c r="S30" s="105">
        <f>(1+R30)*(1+S$24)-1</f>
        <v>0.16985856000000021</v>
      </c>
      <c r="T30" s="105">
        <f>(1+S30)*(1+T$24)-1</f>
        <v>0.21665290240000035</v>
      </c>
      <c r="U30" s="105">
        <f>(1+T30)*(1+U$24)-1</f>
        <v>0.26531901849600037</v>
      </c>
      <c r="V30" s="105">
        <f t="shared" si="3"/>
        <v>0.31593177923584048</v>
      </c>
    </row>
    <row r="31" spans="2:22" x14ac:dyDescent="0.25">
      <c r="B31" s="2" t="s">
        <v>142</v>
      </c>
      <c r="F31" s="2" t="s">
        <v>132</v>
      </c>
      <c r="M31" s="19"/>
      <c r="N31" s="19"/>
      <c r="O31" s="19"/>
      <c r="P31" s="19"/>
      <c r="Q31" s="104">
        <f>Q24</f>
        <v>4.0000000000000036E-2</v>
      </c>
      <c r="R31" s="105">
        <f>(1+Q31)*(1+R$24)-1</f>
        <v>8.1600000000000117E-2</v>
      </c>
      <c r="S31" s="105">
        <f>(1+R31)*(1+S$24)-1</f>
        <v>0.12486400000000009</v>
      </c>
      <c r="T31" s="105">
        <f>(1+S31)*(1+T$24)-1</f>
        <v>0.16985856000000021</v>
      </c>
      <c r="U31" s="105">
        <f>(1+T31)*(1+U$24)-1</f>
        <v>0.21665290240000035</v>
      </c>
      <c r="V31" s="105">
        <f t="shared" si="3"/>
        <v>0.26531901849600037</v>
      </c>
    </row>
    <row r="32" spans="2:22" x14ac:dyDescent="0.25">
      <c r="B32" s="2" t="s">
        <v>141</v>
      </c>
      <c r="F32" s="2" t="s">
        <v>132</v>
      </c>
      <c r="M32" s="19"/>
      <c r="N32" s="19"/>
      <c r="O32" s="19"/>
      <c r="P32" s="19"/>
      <c r="Q32" s="19"/>
      <c r="R32" s="104">
        <f>R24</f>
        <v>4.0000000000000036E-2</v>
      </c>
      <c r="S32" s="105">
        <f>(1+R32)*(1+S$24)-1</f>
        <v>8.1600000000000117E-2</v>
      </c>
      <c r="T32" s="105">
        <f>(1+S32)*(1+T$24)-1</f>
        <v>0.12486400000000009</v>
      </c>
      <c r="U32" s="105">
        <f>(1+T32)*(1+U$24)-1</f>
        <v>0.16985856000000021</v>
      </c>
      <c r="V32" s="105">
        <f t="shared" si="3"/>
        <v>0.21665290240000035</v>
      </c>
    </row>
    <row r="33" spans="2:22" x14ac:dyDescent="0.25">
      <c r="B33" s="2" t="s">
        <v>140</v>
      </c>
      <c r="F33" s="2" t="s">
        <v>132</v>
      </c>
      <c r="M33" s="19"/>
      <c r="N33" s="19"/>
      <c r="O33" s="19"/>
      <c r="P33" s="19"/>
      <c r="Q33" s="19"/>
      <c r="R33" s="19"/>
      <c r="S33" s="104">
        <f>S24</f>
        <v>4.0000000000000036E-2</v>
      </c>
      <c r="T33" s="105">
        <f>(1+S33)*(1+T$24)-1</f>
        <v>8.1600000000000117E-2</v>
      </c>
      <c r="U33" s="105">
        <f>(1+T33)*(1+U$24)-1</f>
        <v>0.12486400000000009</v>
      </c>
      <c r="V33" s="105">
        <f t="shared" si="3"/>
        <v>0.16985856000000021</v>
      </c>
    </row>
    <row r="34" spans="2:22" x14ac:dyDescent="0.25">
      <c r="B34" s="2" t="s">
        <v>215</v>
      </c>
      <c r="F34" s="2" t="s">
        <v>132</v>
      </c>
      <c r="M34" s="19"/>
      <c r="N34" s="19"/>
      <c r="O34" s="19"/>
      <c r="P34" s="19"/>
      <c r="Q34" s="19"/>
      <c r="R34" s="19"/>
      <c r="S34" s="19"/>
      <c r="T34" s="104">
        <f>T24</f>
        <v>4.0000000000000036E-2</v>
      </c>
      <c r="U34" s="105">
        <f>(1+T34)*(1+U$24)-1</f>
        <v>8.1600000000000117E-2</v>
      </c>
      <c r="V34" s="105">
        <f t="shared" si="3"/>
        <v>0.12486400000000009</v>
      </c>
    </row>
    <row r="35" spans="2:22" x14ac:dyDescent="0.25">
      <c r="B35" s="2" t="s">
        <v>225</v>
      </c>
      <c r="F35" s="2" t="s">
        <v>132</v>
      </c>
      <c r="M35" s="19"/>
      <c r="N35" s="19"/>
      <c r="O35" s="19"/>
      <c r="P35" s="19"/>
      <c r="Q35" s="19"/>
      <c r="R35" s="19"/>
      <c r="S35" s="19"/>
      <c r="T35" s="19"/>
      <c r="U35" s="104">
        <f>U24</f>
        <v>4.0000000000000036E-2</v>
      </c>
      <c r="V35" s="105">
        <f>(1+U35)*(1+V$24)-1</f>
        <v>8.1600000000000117E-2</v>
      </c>
    </row>
    <row r="36" spans="2:22" x14ac:dyDescent="0.25">
      <c r="B36" s="2" t="s">
        <v>309</v>
      </c>
      <c r="F36" s="2" t="s">
        <v>132</v>
      </c>
      <c r="M36" s="19"/>
      <c r="N36" s="19"/>
      <c r="O36" s="19"/>
      <c r="P36" s="19"/>
      <c r="Q36" s="19"/>
      <c r="R36" s="19"/>
      <c r="S36" s="19"/>
      <c r="T36" s="19"/>
      <c r="U36" s="19"/>
      <c r="V36" s="104">
        <f>V24</f>
        <v>4.0000000000000036E-2</v>
      </c>
    </row>
  </sheetData>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U46"/>
  <sheetViews>
    <sheetView showGridLines="0" zoomScale="85" zoomScaleNormal="85" workbookViewId="0">
      <pane xSplit="6" ySplit="11" topLeftCell="G12" activePane="bottomRight" state="frozen"/>
      <selection activeCell="Q51" sqref="Q51"/>
      <selection pane="topRight" activeCell="Q51" sqref="Q51"/>
      <selection pane="bottomLeft" activeCell="Q51" sqref="Q51"/>
      <selection pane="bottomRight" activeCell="G12" sqref="G12"/>
    </sheetView>
  </sheetViews>
  <sheetFormatPr defaultRowHeight="12.75" customHeight="1" x14ac:dyDescent="0.25"/>
  <cols>
    <col min="1" max="1" width="4" style="2" customWidth="1"/>
    <col min="2" max="2" width="59.42578125" style="2" customWidth="1"/>
    <col min="3" max="4" width="4.5703125" style="2" customWidth="1"/>
    <col min="5" max="5" width="12.1406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4.7109375" style="46" bestFit="1" customWidth="1"/>
    <col min="14" max="15" width="15.85546875" style="46" bestFit="1" customWidth="1"/>
    <col min="16" max="16" width="12.5703125" style="46" customWidth="1"/>
    <col min="17" max="17" width="15.85546875" style="46" bestFit="1" customWidth="1"/>
    <col min="18" max="18" width="12.5703125" style="46" customWidth="1"/>
    <col min="19" max="20" width="2.7109375" style="2" customWidth="1"/>
    <col min="21" max="35" width="13.7109375" style="2" customWidth="1"/>
    <col min="36" max="16384" width="9.140625" style="2"/>
  </cols>
  <sheetData>
    <row r="2" spans="2:21" s="27" customFormat="1" ht="18" x14ac:dyDescent="0.25">
      <c r="B2" s="27" t="s">
        <v>312</v>
      </c>
      <c r="L2" s="45"/>
      <c r="M2" s="45"/>
      <c r="N2" s="45"/>
      <c r="O2" s="45"/>
      <c r="P2" s="45"/>
      <c r="Q2" s="45"/>
      <c r="R2" s="45"/>
    </row>
    <row r="4" spans="2:21" ht="12.75" customHeight="1" x14ac:dyDescent="0.25">
      <c r="B4" s="1" t="s">
        <v>58</v>
      </c>
      <c r="C4" s="1"/>
      <c r="D4" s="1"/>
    </row>
    <row r="5" spans="2:21" ht="12.75" customHeight="1" x14ac:dyDescent="0.2">
      <c r="B5" s="69" t="s">
        <v>313</v>
      </c>
    </row>
    <row r="6" spans="2:21" ht="12.75" customHeight="1" x14ac:dyDescent="0.2">
      <c r="B6" s="69" t="s">
        <v>436</v>
      </c>
    </row>
    <row r="7" spans="2:21" ht="12.75" customHeight="1" x14ac:dyDescent="0.2">
      <c r="B7" s="69" t="s">
        <v>437</v>
      </c>
      <c r="C7" s="3"/>
      <c r="D7" s="3"/>
      <c r="H7" s="28"/>
    </row>
    <row r="8" spans="2:21" ht="12.75" customHeight="1" x14ac:dyDescent="0.2">
      <c r="B8" s="69"/>
      <c r="C8" s="3"/>
      <c r="D8" s="3"/>
      <c r="H8" s="28"/>
    </row>
    <row r="9" spans="2:21" ht="12.75" customHeight="1" x14ac:dyDescent="0.25">
      <c r="B9" s="3"/>
    </row>
    <row r="10" spans="2:21" s="8" customFormat="1" ht="12.75" customHeight="1" x14ac:dyDescent="0.25">
      <c r="B10" s="8" t="s">
        <v>45</v>
      </c>
      <c r="F10" s="8" t="s">
        <v>27</v>
      </c>
      <c r="H10" s="8" t="s">
        <v>28</v>
      </c>
      <c r="J10" s="8" t="s">
        <v>49</v>
      </c>
      <c r="L10" s="47" t="s">
        <v>165</v>
      </c>
      <c r="M10" s="47" t="s">
        <v>65</v>
      </c>
      <c r="N10" s="47" t="s">
        <v>66</v>
      </c>
      <c r="O10" s="47" t="s">
        <v>67</v>
      </c>
      <c r="P10" s="47" t="s">
        <v>68</v>
      </c>
      <c r="Q10" s="47" t="s">
        <v>69</v>
      </c>
      <c r="R10" s="47" t="s">
        <v>70</v>
      </c>
      <c r="U10" s="8" t="s">
        <v>47</v>
      </c>
    </row>
    <row r="13" spans="2:21" s="8" customFormat="1" ht="12.75" customHeight="1" x14ac:dyDescent="0.25">
      <c r="B13" s="8" t="s">
        <v>314</v>
      </c>
    </row>
    <row r="14" spans="2:21" x14ac:dyDescent="0.25">
      <c r="L14" s="2"/>
      <c r="M14" s="2"/>
      <c r="N14" s="2"/>
      <c r="O14" s="2"/>
      <c r="P14" s="2"/>
      <c r="Q14" s="2"/>
      <c r="R14" s="2"/>
    </row>
    <row r="15" spans="2:21" x14ac:dyDescent="0.2">
      <c r="B15" s="2" t="s">
        <v>156</v>
      </c>
      <c r="F15" s="80" t="s">
        <v>132</v>
      </c>
      <c r="H15" s="104">
        <f>'Input parameters'!R19</f>
        <v>2E-3</v>
      </c>
      <c r="L15" s="2"/>
      <c r="M15" s="2"/>
      <c r="N15" s="2"/>
      <c r="O15" s="2"/>
      <c r="P15" s="2"/>
      <c r="Q15" s="2"/>
      <c r="R15" s="2"/>
    </row>
    <row r="16" spans="2:21" x14ac:dyDescent="0.2">
      <c r="B16" s="2" t="s">
        <v>157</v>
      </c>
      <c r="F16" s="80" t="s">
        <v>132</v>
      </c>
      <c r="H16" s="104">
        <f>'Input parameters'!S19</f>
        <v>1.4E-2</v>
      </c>
      <c r="L16" s="2"/>
      <c r="M16" s="2"/>
      <c r="N16" s="2"/>
      <c r="O16" s="2"/>
      <c r="P16" s="2"/>
      <c r="Q16" s="2"/>
      <c r="R16" s="2"/>
    </row>
    <row r="17" spans="2:18" x14ac:dyDescent="0.2">
      <c r="B17" s="2" t="s">
        <v>160</v>
      </c>
      <c r="F17" s="80" t="s">
        <v>132</v>
      </c>
      <c r="H17" s="104">
        <f>'Input parameters'!T19</f>
        <v>2.1000000000000001E-2</v>
      </c>
      <c r="L17" s="2"/>
      <c r="M17" s="2"/>
      <c r="N17" s="2"/>
      <c r="O17" s="2"/>
      <c r="P17" s="2"/>
      <c r="Q17" s="2"/>
      <c r="R17" s="2"/>
    </row>
    <row r="18" spans="2:18" x14ac:dyDescent="0.2">
      <c r="F18" s="80"/>
      <c r="L18" s="2"/>
      <c r="M18" s="2"/>
      <c r="N18" s="2"/>
      <c r="O18" s="2"/>
      <c r="P18" s="2"/>
      <c r="Q18" s="2"/>
      <c r="R18" s="2"/>
    </row>
    <row r="19" spans="2:18" s="9" customFormat="1" x14ac:dyDescent="0.2">
      <c r="B19" s="78" t="s">
        <v>347</v>
      </c>
    </row>
    <row r="20" spans="2:18" x14ac:dyDescent="0.2">
      <c r="B20" s="2" t="s">
        <v>154</v>
      </c>
      <c r="F20" s="80" t="s">
        <v>176</v>
      </c>
      <c r="L20" s="97">
        <f>'Input x-factor, begininkomsten'!L14</f>
        <v>20487191.093370512</v>
      </c>
      <c r="M20" s="97">
        <f>'Input x-factor, begininkomsten'!M14</f>
        <v>28978029.685308009</v>
      </c>
      <c r="N20" s="97">
        <f>'Input x-factor, begininkomsten'!N14</f>
        <v>334771366.90920109</v>
      </c>
      <c r="O20" s="97">
        <f>'Input x-factor, begininkomsten'!O14</f>
        <v>385758605.7230584</v>
      </c>
      <c r="P20" s="97">
        <f>'Input x-factor, begininkomsten'!P14</f>
        <v>17302363.273569763</v>
      </c>
      <c r="Q20" s="97">
        <f>'Input x-factor, begininkomsten'!Q14</f>
        <v>286427922.36313856</v>
      </c>
      <c r="R20" s="97">
        <f>'Input x-factor, begininkomsten'!R14</f>
        <v>16388953.367710022</v>
      </c>
    </row>
    <row r="21" spans="2:18" x14ac:dyDescent="0.2">
      <c r="B21" s="2" t="s">
        <v>155</v>
      </c>
      <c r="F21" s="80" t="s">
        <v>76</v>
      </c>
      <c r="L21" s="63">
        <f>'Input x-factor, begininkomsten'!L17</f>
        <v>1.76</v>
      </c>
      <c r="M21" s="63">
        <f>'Input x-factor, begininkomsten'!M17</f>
        <v>1.74</v>
      </c>
      <c r="N21" s="63">
        <f>'Input x-factor, begininkomsten'!N17</f>
        <v>1.76</v>
      </c>
      <c r="O21" s="63">
        <f>'Input x-factor, begininkomsten'!O17</f>
        <v>1.63</v>
      </c>
      <c r="P21" s="63">
        <f>'Input x-factor, begininkomsten'!P17</f>
        <v>1.65</v>
      </c>
      <c r="Q21" s="63">
        <f>'Input x-factor, begininkomsten'!Q17</f>
        <v>1.67</v>
      </c>
      <c r="R21" s="63">
        <f>'Input x-factor, begininkomsten'!R17</f>
        <v>2.02</v>
      </c>
    </row>
    <row r="22" spans="2:18" x14ac:dyDescent="0.25">
      <c r="L22" s="2"/>
      <c r="M22" s="2"/>
      <c r="N22" s="2"/>
      <c r="O22" s="2"/>
      <c r="P22" s="2"/>
      <c r="Q22" s="2"/>
      <c r="R22" s="2"/>
    </row>
    <row r="23" spans="2:18" x14ac:dyDescent="0.2">
      <c r="B23" s="2" t="s">
        <v>161</v>
      </c>
      <c r="F23" s="80" t="s">
        <v>177</v>
      </c>
      <c r="J23" s="68">
        <f>SUM(L23:R23)</f>
        <v>1075084952.8271549</v>
      </c>
      <c r="L23" s="98">
        <f>L20*(1-L21/100+$H$15)*(1-L21/100+$H$16)*(1-L21/100+$H$17)</f>
        <v>20163310.542818706</v>
      </c>
      <c r="M23" s="98">
        <f t="shared" ref="M23:R23" si="0">M20*(1-M21/100+$H$15)*(1-M21/100+$H$16)*(1-M21/100+$H$17)</f>
        <v>28537125.152919233</v>
      </c>
      <c r="N23" s="98">
        <f t="shared" si="0"/>
        <v>329478990.11975342</v>
      </c>
      <c r="O23" s="98">
        <f t="shared" si="0"/>
        <v>381150728.66080028</v>
      </c>
      <c r="P23" s="98">
        <f t="shared" si="0"/>
        <v>17085390.134976387</v>
      </c>
      <c r="Q23" s="98">
        <f t="shared" si="0"/>
        <v>282665703.25106299</v>
      </c>
      <c r="R23" s="98">
        <f t="shared" si="0"/>
        <v>16003704.964823937</v>
      </c>
    </row>
    <row r="24" spans="2:18" s="9" customFormat="1" x14ac:dyDescent="0.2">
      <c r="B24" s="78"/>
    </row>
    <row r="25" spans="2:18" ht="12.75" customHeight="1" x14ac:dyDescent="0.25">
      <c r="B25" s="1" t="s">
        <v>287</v>
      </c>
    </row>
    <row r="26" spans="2:18" ht="12.75" customHeight="1" x14ac:dyDescent="0.2">
      <c r="B26" s="85" t="s">
        <v>170</v>
      </c>
      <c r="C26" s="9"/>
      <c r="D26" s="9"/>
      <c r="E26" s="9"/>
      <c r="F26" s="85" t="s">
        <v>176</v>
      </c>
      <c r="G26" s="9"/>
      <c r="H26" s="9"/>
      <c r="I26" s="9"/>
      <c r="J26" s="64"/>
      <c r="K26" s="9"/>
      <c r="L26" s="97">
        <f>'Input lokale heffingen 2019'!L45</f>
        <v>20486481.42662188</v>
      </c>
      <c r="M26" s="97">
        <f>'Input lokale heffingen 2019'!M45</f>
        <v>28956854.314480409</v>
      </c>
      <c r="N26" s="97">
        <f>'Input lokale heffingen 2019'!N45</f>
        <v>337289721.93822908</v>
      </c>
      <c r="O26" s="97">
        <f>'Input lokale heffingen 2019'!O45</f>
        <v>414286710.20999938</v>
      </c>
      <c r="P26" s="97">
        <f>'Input lokale heffingen 2019'!P45</f>
        <v>15212650.263365157</v>
      </c>
      <c r="Q26" s="97">
        <f>'Input lokale heffingen 2019'!Q45</f>
        <v>295607737.54690635</v>
      </c>
      <c r="R26" s="97">
        <f>'Input lokale heffingen 2019'!R45</f>
        <v>16410876.304802706</v>
      </c>
    </row>
    <row r="27" spans="2:18" ht="12.75" customHeight="1" x14ac:dyDescent="0.2">
      <c r="B27" s="85" t="s">
        <v>171</v>
      </c>
      <c r="C27" s="9"/>
      <c r="D27" s="9"/>
      <c r="E27" s="9"/>
      <c r="F27" s="85" t="s">
        <v>76</v>
      </c>
      <c r="G27" s="9"/>
      <c r="H27" s="9"/>
      <c r="I27" s="9"/>
      <c r="J27" s="9"/>
      <c r="K27" s="9"/>
      <c r="L27" s="63">
        <f>'Input lokale heffingen 2019'!L46</f>
        <v>1.76</v>
      </c>
      <c r="M27" s="63">
        <f>'Input lokale heffingen 2019'!M46</f>
        <v>1.74</v>
      </c>
      <c r="N27" s="63">
        <f>'Input lokale heffingen 2019'!N46</f>
        <v>1.74</v>
      </c>
      <c r="O27" s="63">
        <f>'Input lokale heffingen 2019'!O46</f>
        <v>1.51</v>
      </c>
      <c r="P27" s="63">
        <f>'Input lokale heffingen 2019'!P46</f>
        <v>1.74</v>
      </c>
      <c r="Q27" s="63">
        <f>'Input lokale heffingen 2019'!Q46</f>
        <v>1.62</v>
      </c>
      <c r="R27" s="63">
        <f>'Input lokale heffingen 2019'!R46</f>
        <v>2.02</v>
      </c>
    </row>
    <row r="28" spans="2:18" ht="12.75" customHeight="1" x14ac:dyDescent="0.2">
      <c r="B28" s="88"/>
      <c r="C28" s="89"/>
      <c r="D28" s="89"/>
      <c r="E28" s="89"/>
      <c r="F28" s="88"/>
      <c r="G28" s="89"/>
      <c r="H28" s="89"/>
      <c r="I28" s="89"/>
      <c r="J28" s="89"/>
      <c r="K28" s="89"/>
      <c r="L28" s="89"/>
      <c r="M28" s="89"/>
      <c r="N28" s="89"/>
      <c r="O28" s="89"/>
      <c r="P28" s="89"/>
      <c r="Q28" s="89"/>
      <c r="R28" s="89"/>
    </row>
    <row r="29" spans="2:18" ht="12.75" customHeight="1" x14ac:dyDescent="0.2">
      <c r="B29" s="70" t="s">
        <v>317</v>
      </c>
      <c r="C29" s="9"/>
      <c r="D29" s="9"/>
      <c r="E29" s="9"/>
      <c r="F29" s="69" t="s">
        <v>177</v>
      </c>
      <c r="G29" s="9"/>
      <c r="H29" s="9"/>
      <c r="I29" s="9"/>
      <c r="J29" s="68">
        <f>SUM(L29:R29)</f>
        <v>1114827122.2161543</v>
      </c>
      <c r="K29" s="9"/>
      <c r="L29" s="98">
        <f>L26*(1-L27/100+$H$15)*(1-L27/100+$H$16)*(1-L27/100+$H$17)</f>
        <v>20162612.095141355</v>
      </c>
      <c r="M29" s="98">
        <f t="shared" ref="M29:R29" si="1">M26*(1-M27/100+$H$15)*(1-M27/100+$H$16)*(1-M27/100+$H$17)</f>
        <v>28516271.968143422</v>
      </c>
      <c r="N29" s="98">
        <f t="shared" si="1"/>
        <v>332157814.46399134</v>
      </c>
      <c r="O29" s="98">
        <f t="shared" si="1"/>
        <v>410819426.6684109</v>
      </c>
      <c r="P29" s="98">
        <f t="shared" si="1"/>
        <v>14981187.789083697</v>
      </c>
      <c r="Q29" s="98">
        <f t="shared" si="1"/>
        <v>292164696.66295493</v>
      </c>
      <c r="R29" s="98">
        <f t="shared" si="1"/>
        <v>16025112.568428751</v>
      </c>
    </row>
    <row r="30" spans="2:18" ht="12.75" customHeight="1" x14ac:dyDescent="0.2">
      <c r="B30" s="9"/>
      <c r="C30" s="9"/>
      <c r="D30" s="9"/>
      <c r="E30" s="9"/>
      <c r="F30" s="57"/>
      <c r="G30" s="9"/>
      <c r="H30" s="9"/>
      <c r="I30" s="9"/>
      <c r="J30" s="64"/>
      <c r="K30" s="9"/>
      <c r="L30" s="58"/>
      <c r="M30" s="58"/>
      <c r="N30" s="58"/>
      <c r="O30" s="58"/>
      <c r="P30" s="58"/>
      <c r="Q30" s="58"/>
      <c r="R30" s="58"/>
    </row>
    <row r="31" spans="2:18" s="8" customFormat="1" ht="12.75" customHeight="1" x14ac:dyDescent="0.25">
      <c r="B31" s="8" t="s">
        <v>118</v>
      </c>
    </row>
    <row r="32" spans="2:18" s="82" customFormat="1" ht="12.75" customHeight="1" x14ac:dyDescent="0.2">
      <c r="G32" s="99"/>
      <c r="H32" s="99"/>
      <c r="I32" s="100"/>
      <c r="J32" s="99"/>
      <c r="K32" s="99"/>
      <c r="L32" s="99"/>
      <c r="M32" s="99"/>
      <c r="N32" s="99"/>
      <c r="P32" s="101"/>
    </row>
    <row r="33" spans="1:19" s="70" customFormat="1" ht="12.75" customHeight="1" x14ac:dyDescent="0.2">
      <c r="A33" s="69"/>
      <c r="B33" s="70" t="s">
        <v>318</v>
      </c>
      <c r="F33" s="69" t="s">
        <v>177</v>
      </c>
      <c r="L33" s="68">
        <f t="shared" ref="L33:R33" si="2">L29-L23</f>
        <v>-698.44767735153437</v>
      </c>
      <c r="M33" s="68">
        <f t="shared" si="2"/>
        <v>-20853.184775810689</v>
      </c>
      <c r="N33" s="68">
        <f t="shared" si="2"/>
        <v>2678824.3442379236</v>
      </c>
      <c r="O33" s="68">
        <f t="shared" si="2"/>
        <v>29668698.007610619</v>
      </c>
      <c r="P33" s="68">
        <f t="shared" si="2"/>
        <v>-2104202.3458926901</v>
      </c>
      <c r="Q33" s="68">
        <f t="shared" si="2"/>
        <v>9498993.4118919373</v>
      </c>
      <c r="R33" s="68">
        <f t="shared" si="2"/>
        <v>21407.603604814038</v>
      </c>
    </row>
    <row r="35" spans="1:19" ht="12.75" customHeight="1" x14ac:dyDescent="0.2">
      <c r="B35" s="81" t="s">
        <v>315</v>
      </c>
      <c r="C35" s="57"/>
      <c r="D35" s="57"/>
      <c r="E35" s="57"/>
      <c r="F35" s="102" t="s">
        <v>132</v>
      </c>
      <c r="H35" s="104">
        <f>Parameters!V35</f>
        <v>8.1600000000000117E-2</v>
      </c>
    </row>
    <row r="37" spans="1:19" ht="12.75" customHeight="1" x14ac:dyDescent="0.2">
      <c r="B37" s="70" t="s">
        <v>316</v>
      </c>
      <c r="F37" s="41" t="s">
        <v>265</v>
      </c>
      <c r="L37" s="67">
        <f t="shared" ref="L37:R37" si="3">L33*(1+$H$35)</f>
        <v>-755.44100782341968</v>
      </c>
      <c r="M37" s="67">
        <f t="shared" si="3"/>
        <v>-22554.804653516843</v>
      </c>
      <c r="N37" s="67">
        <f t="shared" si="3"/>
        <v>2897416.4107277384</v>
      </c>
      <c r="O37" s="67">
        <f t="shared" si="3"/>
        <v>32089663.765031651</v>
      </c>
      <c r="P37" s="67">
        <f t="shared" si="3"/>
        <v>-2275905.2573175337</v>
      </c>
      <c r="Q37" s="67">
        <f t="shared" si="3"/>
        <v>10274111.274302321</v>
      </c>
      <c r="R37" s="67">
        <f t="shared" si="3"/>
        <v>23154.464058966867</v>
      </c>
    </row>
    <row r="41" spans="1:19" ht="12.75" customHeight="1" x14ac:dyDescent="0.25">
      <c r="S41" s="46">
        <f t="shared" ref="S41" si="4">S39-S37</f>
        <v>0</v>
      </c>
    </row>
    <row r="44" spans="1:19" ht="12.75" customHeight="1" x14ac:dyDescent="0.25">
      <c r="N44" s="2"/>
    </row>
    <row r="46" spans="1:19" ht="12.75" customHeight="1" x14ac:dyDescent="0.25">
      <c r="S46" s="46"/>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V93"/>
  <sheetViews>
    <sheetView showGridLines="0" zoomScale="85" zoomScaleNormal="85" workbookViewId="0">
      <pane xSplit="6" ySplit="11" topLeftCell="G12" activePane="bottomRight" state="frozen"/>
      <selection activeCell="Q51" sqref="Q51"/>
      <selection pane="topRight" activeCell="Q51" sqref="Q51"/>
      <selection pane="bottomLeft" activeCell="Q51" sqref="Q51"/>
      <selection pane="bottomRight" activeCell="G12" sqref="G12"/>
    </sheetView>
  </sheetViews>
  <sheetFormatPr defaultRowHeight="12.75" x14ac:dyDescent="0.25"/>
  <cols>
    <col min="1" max="1" width="4" style="2" customWidth="1"/>
    <col min="2" max="2" width="73.85546875" style="2" customWidth="1"/>
    <col min="3" max="5" width="4.5703125" style="2" customWidth="1"/>
    <col min="6" max="6" width="20"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2.5703125" style="46" customWidth="1"/>
    <col min="19" max="21" width="2.7109375" style="2" customWidth="1"/>
    <col min="22" max="36" width="13.7109375" style="2" customWidth="1"/>
    <col min="37" max="16384" width="9.140625" style="2"/>
  </cols>
  <sheetData>
    <row r="2" spans="2:22" s="27" customFormat="1" ht="18" x14ac:dyDescent="0.25">
      <c r="B2" s="27" t="s">
        <v>108</v>
      </c>
      <c r="L2" s="45"/>
      <c r="M2" s="45"/>
      <c r="N2" s="45"/>
      <c r="O2" s="45"/>
      <c r="P2" s="45"/>
      <c r="Q2" s="45"/>
      <c r="R2" s="45"/>
    </row>
    <row r="4" spans="2:22" ht="15" x14ac:dyDescent="0.25">
      <c r="B4" s="1" t="s">
        <v>58</v>
      </c>
      <c r="C4" s="1"/>
      <c r="D4" s="1"/>
      <c r="L4" s="39"/>
    </row>
    <row r="5" spans="2:22" x14ac:dyDescent="0.25">
      <c r="B5" s="2" t="s">
        <v>71</v>
      </c>
    </row>
    <row r="6" spans="2:22" x14ac:dyDescent="0.25">
      <c r="B6" s="2" t="s">
        <v>72</v>
      </c>
    </row>
    <row r="7" spans="2:22" x14ac:dyDescent="0.25">
      <c r="B7" s="34" t="s">
        <v>216</v>
      </c>
      <c r="C7" s="3"/>
      <c r="D7" s="3"/>
      <c r="H7" s="28"/>
    </row>
    <row r="8" spans="2:22" x14ac:dyDescent="0.25">
      <c r="B8" s="34" t="s">
        <v>311</v>
      </c>
      <c r="C8" s="3"/>
      <c r="D8" s="3"/>
      <c r="H8" s="28"/>
    </row>
    <row r="10" spans="2:22" s="8" customFormat="1" x14ac:dyDescent="0.25">
      <c r="B10" s="8" t="s">
        <v>45</v>
      </c>
      <c r="F10" s="8" t="s">
        <v>27</v>
      </c>
      <c r="H10" s="8" t="s">
        <v>28</v>
      </c>
      <c r="J10" s="8" t="s">
        <v>49</v>
      </c>
      <c r="L10" s="47" t="s">
        <v>165</v>
      </c>
      <c r="M10" s="47" t="s">
        <v>65</v>
      </c>
      <c r="N10" s="47" t="s">
        <v>66</v>
      </c>
      <c r="O10" s="47" t="s">
        <v>67</v>
      </c>
      <c r="P10" s="47" t="s">
        <v>68</v>
      </c>
      <c r="Q10" s="47" t="s">
        <v>69</v>
      </c>
      <c r="R10" s="47" t="s">
        <v>70</v>
      </c>
      <c r="V10" s="8" t="s">
        <v>47</v>
      </c>
    </row>
    <row r="13" spans="2:22" s="8" customFormat="1" x14ac:dyDescent="0.25">
      <c r="B13" s="48" t="s">
        <v>107</v>
      </c>
      <c r="L13" s="47"/>
      <c r="M13" s="47"/>
      <c r="N13" s="47"/>
      <c r="O13" s="47"/>
      <c r="P13" s="47"/>
      <c r="Q13" s="47"/>
      <c r="R13" s="47"/>
    </row>
    <row r="14" spans="2:22" customFormat="1" ht="15" x14ac:dyDescent="0.25">
      <c r="B14" s="49"/>
      <c r="C14" s="41"/>
      <c r="D14" s="41"/>
      <c r="E14" s="41"/>
      <c r="F14" s="43"/>
      <c r="G14" s="41"/>
      <c r="H14" s="42"/>
      <c r="I14" s="42"/>
      <c r="J14" s="42"/>
      <c r="K14" s="42"/>
      <c r="L14" s="42"/>
      <c r="M14" s="42"/>
      <c r="N14" s="42"/>
    </row>
    <row r="15" spans="2:22" customFormat="1" ht="15" x14ac:dyDescent="0.25">
      <c r="B15" s="49" t="s">
        <v>73</v>
      </c>
      <c r="C15" s="41"/>
      <c r="D15" s="41"/>
      <c r="E15" s="41"/>
      <c r="F15" s="43"/>
      <c r="G15" s="41"/>
      <c r="H15" s="42"/>
      <c r="I15" s="42"/>
      <c r="J15" s="42"/>
      <c r="K15" s="42"/>
      <c r="L15" s="42"/>
      <c r="M15" s="42"/>
      <c r="N15" s="42"/>
    </row>
    <row r="16" spans="2:22" customFormat="1" ht="15" x14ac:dyDescent="0.25">
      <c r="B16" s="41"/>
      <c r="C16" s="41"/>
      <c r="D16" s="41"/>
      <c r="E16" s="41"/>
      <c r="F16" s="43"/>
      <c r="G16" s="41"/>
      <c r="H16" s="42"/>
      <c r="I16" s="42"/>
      <c r="J16" s="42"/>
      <c r="K16" s="42"/>
      <c r="L16" s="42"/>
      <c r="M16" s="42"/>
      <c r="N16" s="42"/>
    </row>
    <row r="17" spans="2:22" customFormat="1" ht="15" x14ac:dyDescent="0.25">
      <c r="B17" s="49" t="s">
        <v>74</v>
      </c>
      <c r="C17" s="41"/>
      <c r="D17" s="41"/>
      <c r="E17" s="41"/>
      <c r="F17" s="43"/>
      <c r="G17" s="41"/>
      <c r="H17" s="42"/>
      <c r="I17" s="42"/>
      <c r="J17" s="42"/>
      <c r="K17" s="42"/>
      <c r="L17" s="42"/>
      <c r="M17" s="42"/>
      <c r="N17" s="42"/>
    </row>
    <row r="18" spans="2:22" customFormat="1" ht="15" x14ac:dyDescent="0.25">
      <c r="B18" s="41" t="s">
        <v>75</v>
      </c>
      <c r="C18" s="2"/>
      <c r="D18" s="2"/>
      <c r="E18" s="41"/>
      <c r="F18" s="41" t="s">
        <v>76</v>
      </c>
      <c r="G18" s="2"/>
      <c r="H18" s="2"/>
      <c r="I18" s="2"/>
      <c r="J18" s="56"/>
      <c r="K18" s="41"/>
      <c r="L18" s="97">
        <f>'Input invoeding groen gas 2020'!L122</f>
        <v>0</v>
      </c>
      <c r="M18" s="97">
        <f>'Input invoeding groen gas 2020'!M122</f>
        <v>0</v>
      </c>
      <c r="N18" s="97">
        <f>'Input invoeding groen gas 2020'!N122</f>
        <v>0</v>
      </c>
      <c r="O18" s="97">
        <f>'Input invoeding groen gas 2020'!O122</f>
        <v>0</v>
      </c>
      <c r="P18" s="97">
        <f>'Input invoeding groen gas 2020'!P122</f>
        <v>0</v>
      </c>
      <c r="Q18" s="97">
        <f>'Input invoeding groen gas 2020'!Q122</f>
        <v>0</v>
      </c>
      <c r="R18" s="97">
        <f>'Input invoeding groen gas 2020'!R122</f>
        <v>0</v>
      </c>
    </row>
    <row r="19" spans="2:22" customFormat="1" ht="15" x14ac:dyDescent="0.25">
      <c r="B19" s="41" t="s">
        <v>77</v>
      </c>
      <c r="C19" s="2"/>
      <c r="D19" s="2"/>
      <c r="E19" s="41"/>
      <c r="F19" s="41" t="s">
        <v>76</v>
      </c>
      <c r="G19" s="2"/>
      <c r="H19" s="2"/>
      <c r="I19" s="2"/>
      <c r="J19" s="56"/>
      <c r="K19" s="41"/>
      <c r="L19" s="97">
        <f>'Input invoeding groen gas 2020'!L123</f>
        <v>0</v>
      </c>
      <c r="M19" s="97">
        <f>'Input invoeding groen gas 2020'!M123</f>
        <v>0</v>
      </c>
      <c r="N19" s="97">
        <f>'Input invoeding groen gas 2020'!N123</f>
        <v>0</v>
      </c>
      <c r="O19" s="97">
        <f>'Input invoeding groen gas 2020'!O123</f>
        <v>0</v>
      </c>
      <c r="P19" s="97">
        <f>'Input invoeding groen gas 2020'!P123</f>
        <v>0</v>
      </c>
      <c r="Q19" s="97">
        <f>'Input invoeding groen gas 2020'!Q123</f>
        <v>0</v>
      </c>
      <c r="R19" s="97">
        <f>'Input invoeding groen gas 2020'!R123</f>
        <v>0</v>
      </c>
    </row>
    <row r="20" spans="2:22" customFormat="1" ht="15" x14ac:dyDescent="0.25">
      <c r="B20" s="41" t="s">
        <v>78</v>
      </c>
      <c r="C20" s="2"/>
      <c r="D20" s="2"/>
      <c r="E20" s="41"/>
      <c r="F20" s="41" t="s">
        <v>76</v>
      </c>
      <c r="G20" s="2"/>
      <c r="H20" s="2"/>
      <c r="I20" s="2"/>
      <c r="J20" s="56"/>
      <c r="K20" s="41"/>
      <c r="L20" s="97">
        <f>'Input invoeding groen gas 2020'!L124</f>
        <v>0</v>
      </c>
      <c r="M20" s="97">
        <f>'Input invoeding groen gas 2020'!M124</f>
        <v>0</v>
      </c>
      <c r="N20" s="97">
        <f>'Input invoeding groen gas 2020'!N124</f>
        <v>0</v>
      </c>
      <c r="O20" s="97">
        <f>'Input invoeding groen gas 2020'!O124</f>
        <v>0</v>
      </c>
      <c r="P20" s="97">
        <f>'Input invoeding groen gas 2020'!P124</f>
        <v>0</v>
      </c>
      <c r="Q20" s="97">
        <f>'Input invoeding groen gas 2020'!Q124</f>
        <v>0</v>
      </c>
      <c r="R20" s="97">
        <f>'Input invoeding groen gas 2020'!R124</f>
        <v>0</v>
      </c>
    </row>
    <row r="21" spans="2:22" customFormat="1" ht="15" x14ac:dyDescent="0.25">
      <c r="B21" s="41" t="s">
        <v>79</v>
      </c>
      <c r="C21" s="2"/>
      <c r="D21" s="2"/>
      <c r="E21" s="41"/>
      <c r="F21" s="41" t="s">
        <v>76</v>
      </c>
      <c r="G21" s="2"/>
      <c r="H21" s="2"/>
      <c r="I21" s="2"/>
      <c r="J21" s="56"/>
      <c r="K21" s="41"/>
      <c r="L21" s="97">
        <f>'Input invoeding groen gas 2020'!L125</f>
        <v>0</v>
      </c>
      <c r="M21" s="97">
        <f>'Input invoeding groen gas 2020'!M125</f>
        <v>0</v>
      </c>
      <c r="N21" s="97">
        <f>'Input invoeding groen gas 2020'!N125</f>
        <v>0</v>
      </c>
      <c r="O21" s="97">
        <f>'Input invoeding groen gas 2020'!O125</f>
        <v>0</v>
      </c>
      <c r="P21" s="97">
        <f>'Input invoeding groen gas 2020'!P125</f>
        <v>0</v>
      </c>
      <c r="Q21" s="97">
        <f>'Input invoeding groen gas 2020'!Q125</f>
        <v>0</v>
      </c>
      <c r="R21" s="97">
        <f>'Input invoeding groen gas 2020'!R125</f>
        <v>0</v>
      </c>
    </row>
    <row r="22" spans="2:22" customFormat="1" ht="15" x14ac:dyDescent="0.25">
      <c r="B22" s="41" t="s">
        <v>80</v>
      </c>
      <c r="C22" s="2"/>
      <c r="D22" s="2"/>
      <c r="E22" s="41"/>
      <c r="F22" s="41" t="s">
        <v>76</v>
      </c>
      <c r="G22" s="2"/>
      <c r="H22" s="2"/>
      <c r="I22" s="2"/>
      <c r="J22" s="56"/>
      <c r="K22" s="41"/>
      <c r="L22" s="97">
        <f>'Input invoeding groen gas 2020'!L126</f>
        <v>0</v>
      </c>
      <c r="M22" s="97">
        <f>'Input invoeding groen gas 2020'!M126</f>
        <v>0</v>
      </c>
      <c r="N22" s="97">
        <f>'Input invoeding groen gas 2020'!N126</f>
        <v>0</v>
      </c>
      <c r="O22" s="97">
        <f>'Input invoeding groen gas 2020'!O126</f>
        <v>0</v>
      </c>
      <c r="P22" s="97">
        <f>'Input invoeding groen gas 2020'!P126</f>
        <v>0</v>
      </c>
      <c r="Q22" s="97">
        <f>'Input invoeding groen gas 2020'!Q126</f>
        <v>0</v>
      </c>
      <c r="R22" s="97">
        <f>'Input invoeding groen gas 2020'!R126</f>
        <v>0</v>
      </c>
    </row>
    <row r="23" spans="2:22" customFormat="1" ht="15" x14ac:dyDescent="0.25">
      <c r="B23" s="41" t="s">
        <v>81</v>
      </c>
      <c r="C23" s="2"/>
      <c r="D23" s="2"/>
      <c r="E23" s="41"/>
      <c r="F23" s="41" t="s">
        <v>76</v>
      </c>
      <c r="G23" s="2"/>
      <c r="H23" s="2"/>
      <c r="I23" s="2"/>
      <c r="J23" s="56"/>
      <c r="K23" s="41"/>
      <c r="L23" s="97">
        <f>'Input invoeding groen gas 2020'!L127</f>
        <v>0</v>
      </c>
      <c r="M23" s="97">
        <f>'Input invoeding groen gas 2020'!M127</f>
        <v>0</v>
      </c>
      <c r="N23" s="97">
        <f>'Input invoeding groen gas 2020'!N127</f>
        <v>0</v>
      </c>
      <c r="O23" s="97">
        <f>'Input invoeding groen gas 2020'!O127</f>
        <v>0</v>
      </c>
      <c r="P23" s="97">
        <f>'Input invoeding groen gas 2020'!P127</f>
        <v>0</v>
      </c>
      <c r="Q23" s="97">
        <f>'Input invoeding groen gas 2020'!Q127</f>
        <v>0.1050228310502283</v>
      </c>
      <c r="R23" s="97">
        <f>'Input invoeding groen gas 2020'!R127</f>
        <v>0</v>
      </c>
    </row>
    <row r="24" spans="2:22" customFormat="1" ht="15" x14ac:dyDescent="0.25">
      <c r="B24" s="41"/>
      <c r="C24" s="2"/>
      <c r="D24" s="2"/>
      <c r="E24" s="41"/>
      <c r="F24" s="41"/>
      <c r="G24" s="2"/>
      <c r="H24" s="2"/>
      <c r="I24" s="2"/>
      <c r="J24" s="56"/>
      <c r="K24" s="57"/>
      <c r="L24" s="58"/>
      <c r="M24" s="58"/>
      <c r="N24" s="58"/>
      <c r="O24" s="58"/>
      <c r="P24" s="58"/>
      <c r="Q24" s="58"/>
      <c r="R24" s="58"/>
    </row>
    <row r="25" spans="2:22" customFormat="1" ht="15" x14ac:dyDescent="0.25">
      <c r="B25" s="49" t="s">
        <v>82</v>
      </c>
      <c r="C25" s="2"/>
      <c r="D25" s="2"/>
      <c r="E25" s="41"/>
      <c r="F25" s="41"/>
      <c r="G25" s="2"/>
      <c r="H25" s="2"/>
      <c r="I25" s="2"/>
      <c r="J25" s="56"/>
      <c r="K25" s="57"/>
      <c r="L25" s="58"/>
      <c r="M25" s="58"/>
      <c r="N25" s="58"/>
      <c r="O25" s="58"/>
      <c r="P25" s="58"/>
      <c r="Q25" s="58"/>
      <c r="R25" s="58"/>
    </row>
    <row r="26" spans="2:22" customFormat="1" ht="15" x14ac:dyDescent="0.25">
      <c r="B26" s="41" t="s">
        <v>83</v>
      </c>
      <c r="C26" s="2"/>
      <c r="D26" s="2"/>
      <c r="E26" s="41"/>
      <c r="F26" s="41" t="s">
        <v>76</v>
      </c>
      <c r="G26" s="2"/>
      <c r="H26" s="2"/>
      <c r="I26" s="2"/>
      <c r="J26" s="56"/>
      <c r="K26" s="41"/>
      <c r="L26" s="97">
        <f>'Input invoeding groen gas 2020'!L130</f>
        <v>0</v>
      </c>
      <c r="M26" s="97">
        <f>'Input invoeding groen gas 2020'!M130</f>
        <v>0</v>
      </c>
      <c r="N26" s="97">
        <f>'Input invoeding groen gas 2020'!N130</f>
        <v>0</v>
      </c>
      <c r="O26" s="97">
        <f>'Input invoeding groen gas 2020'!O130</f>
        <v>0</v>
      </c>
      <c r="P26" s="97">
        <f>'Input invoeding groen gas 2020'!P130</f>
        <v>0</v>
      </c>
      <c r="Q26" s="97">
        <f>'Input invoeding groen gas 2020'!Q130</f>
        <v>0</v>
      </c>
      <c r="R26" s="97">
        <f>'Input invoeding groen gas 2020'!R130</f>
        <v>0</v>
      </c>
    </row>
    <row r="27" spans="2:22" customFormat="1" ht="15" x14ac:dyDescent="0.25">
      <c r="B27" s="41" t="s">
        <v>84</v>
      </c>
      <c r="C27" s="2"/>
      <c r="D27" s="2"/>
      <c r="E27" s="41"/>
      <c r="F27" s="41" t="s">
        <v>76</v>
      </c>
      <c r="G27" s="2"/>
      <c r="H27" s="2"/>
      <c r="I27" s="2"/>
      <c r="J27" s="56"/>
      <c r="K27" s="41"/>
      <c r="L27" s="97">
        <f>'Input invoeding groen gas 2020'!L131</f>
        <v>0</v>
      </c>
      <c r="M27" s="97">
        <f>'Input invoeding groen gas 2020'!M131</f>
        <v>0</v>
      </c>
      <c r="N27" s="97">
        <f>'Input invoeding groen gas 2020'!N131</f>
        <v>0</v>
      </c>
      <c r="O27" s="97">
        <f>'Input invoeding groen gas 2020'!O131</f>
        <v>0.33333333333333331</v>
      </c>
      <c r="P27" s="97">
        <f>'Input invoeding groen gas 2020'!P131</f>
        <v>0</v>
      </c>
      <c r="Q27" s="97">
        <f>'Input invoeding groen gas 2020'!Q131</f>
        <v>0</v>
      </c>
      <c r="R27" s="97">
        <f>'Input invoeding groen gas 2020'!R131</f>
        <v>0</v>
      </c>
    </row>
    <row r="28" spans="2:22" customFormat="1" ht="15" x14ac:dyDescent="0.25">
      <c r="B28" s="41" t="s">
        <v>85</v>
      </c>
      <c r="C28" s="2"/>
      <c r="D28" s="2"/>
      <c r="E28" s="41"/>
      <c r="F28" s="41" t="s">
        <v>76</v>
      </c>
      <c r="G28" s="2"/>
      <c r="H28" s="2"/>
      <c r="I28" s="2"/>
      <c r="J28" s="56"/>
      <c r="K28" s="41"/>
      <c r="L28" s="97">
        <f>'Input invoeding groen gas 2020'!L132</f>
        <v>0</v>
      </c>
      <c r="M28" s="97">
        <f>'Input invoeding groen gas 2020'!M132</f>
        <v>0</v>
      </c>
      <c r="N28" s="97">
        <f>'Input invoeding groen gas 2020'!N132</f>
        <v>0</v>
      </c>
      <c r="O28" s="97">
        <f>'Input invoeding groen gas 2020'!O132</f>
        <v>0</v>
      </c>
      <c r="P28" s="97">
        <f>'Input invoeding groen gas 2020'!P132</f>
        <v>0</v>
      </c>
      <c r="Q28" s="97">
        <f>'Input invoeding groen gas 2020'!Q132</f>
        <v>0</v>
      </c>
      <c r="R28" s="97">
        <f>'Input invoeding groen gas 2020'!R132</f>
        <v>0</v>
      </c>
    </row>
    <row r="29" spans="2:22" customFormat="1" ht="15" x14ac:dyDescent="0.25">
      <c r="B29" s="41" t="s">
        <v>86</v>
      </c>
      <c r="C29" s="2"/>
      <c r="D29" s="2"/>
      <c r="E29" s="41"/>
      <c r="F29" s="41" t="s">
        <v>76</v>
      </c>
      <c r="G29" s="2"/>
      <c r="H29" s="2"/>
      <c r="I29" s="2"/>
      <c r="J29" s="56"/>
      <c r="K29" s="41"/>
      <c r="L29" s="97">
        <f>'Input invoeding groen gas 2020'!L133</f>
        <v>0</v>
      </c>
      <c r="M29" s="97">
        <f>'Input invoeding groen gas 2020'!M133</f>
        <v>0</v>
      </c>
      <c r="N29" s="97">
        <f>'Input invoeding groen gas 2020'!N133</f>
        <v>0</v>
      </c>
      <c r="O29" s="97">
        <f>'Input invoeding groen gas 2020'!O133</f>
        <v>0</v>
      </c>
      <c r="P29" s="97">
        <f>'Input invoeding groen gas 2020'!P133</f>
        <v>0</v>
      </c>
      <c r="Q29" s="97">
        <f>'Input invoeding groen gas 2020'!Q133</f>
        <v>0</v>
      </c>
      <c r="R29" s="97">
        <f>'Input invoeding groen gas 2020'!R133</f>
        <v>0</v>
      </c>
    </row>
    <row r="30" spans="2:22" customFormat="1" ht="15" x14ac:dyDescent="0.25">
      <c r="B30" s="41" t="s">
        <v>87</v>
      </c>
      <c r="C30" s="2"/>
      <c r="D30" s="2"/>
      <c r="E30" s="41"/>
      <c r="F30" s="41" t="s">
        <v>76</v>
      </c>
      <c r="G30" s="2"/>
      <c r="H30" s="2"/>
      <c r="I30" s="2"/>
      <c r="J30" s="56"/>
      <c r="K30" s="41"/>
      <c r="L30" s="97">
        <f>'Input invoeding groen gas 2020'!L134</f>
        <v>0</v>
      </c>
      <c r="M30" s="97">
        <f>'Input invoeding groen gas 2020'!M134</f>
        <v>0</v>
      </c>
      <c r="N30" s="97">
        <f>'Input invoeding groen gas 2020'!N134</f>
        <v>0</v>
      </c>
      <c r="O30" s="97">
        <f>'Input invoeding groen gas 2020'!O134</f>
        <v>0</v>
      </c>
      <c r="P30" s="97">
        <f>'Input invoeding groen gas 2020'!P134</f>
        <v>0</v>
      </c>
      <c r="Q30" s="97">
        <f>'Input invoeding groen gas 2020'!Q134</f>
        <v>0</v>
      </c>
      <c r="R30" s="97">
        <f>'Input invoeding groen gas 2020'!R134</f>
        <v>0</v>
      </c>
    </row>
    <row r="31" spans="2:22" customFormat="1" ht="15" x14ac:dyDescent="0.25">
      <c r="B31" s="41"/>
      <c r="C31" s="2"/>
      <c r="D31" s="2"/>
      <c r="E31" s="41"/>
      <c r="F31" s="41"/>
      <c r="G31" s="2"/>
      <c r="H31" s="2"/>
      <c r="I31" s="2"/>
      <c r="J31" s="56"/>
      <c r="K31" s="57"/>
      <c r="L31" s="58"/>
      <c r="M31" s="58"/>
      <c r="N31" s="58"/>
      <c r="O31" s="58"/>
      <c r="P31" s="58"/>
      <c r="Q31" s="58"/>
      <c r="R31" s="58"/>
      <c r="S31" s="59"/>
      <c r="T31" s="59"/>
      <c r="U31" s="59"/>
      <c r="V31" s="59"/>
    </row>
    <row r="32" spans="2:22" customFormat="1" ht="15" x14ac:dyDescent="0.25">
      <c r="B32" s="49" t="s">
        <v>88</v>
      </c>
      <c r="C32" s="2"/>
      <c r="D32" s="2"/>
      <c r="E32" s="41"/>
      <c r="F32" s="41"/>
      <c r="G32" s="2"/>
      <c r="H32" s="2"/>
      <c r="I32" s="2"/>
      <c r="J32" s="56"/>
      <c r="K32" s="57"/>
      <c r="L32" s="58"/>
      <c r="M32" s="58"/>
      <c r="N32" s="58"/>
      <c r="O32" s="58"/>
      <c r="P32" s="58"/>
      <c r="Q32" s="58"/>
      <c r="R32" s="58"/>
      <c r="S32" s="59"/>
      <c r="T32" s="59"/>
      <c r="U32" s="59"/>
      <c r="V32" s="59"/>
    </row>
    <row r="33" spans="2:22" customFormat="1" ht="15" x14ac:dyDescent="0.25">
      <c r="B33" s="41"/>
      <c r="C33" s="2"/>
      <c r="D33" s="2"/>
      <c r="E33" s="41"/>
      <c r="F33" s="41"/>
      <c r="G33" s="2"/>
      <c r="H33" s="2"/>
      <c r="I33" s="2"/>
      <c r="J33" s="56"/>
      <c r="K33" s="57"/>
      <c r="L33" s="58"/>
      <c r="M33" s="58"/>
      <c r="N33" s="58"/>
      <c r="O33" s="58"/>
      <c r="P33" s="58"/>
      <c r="Q33" s="58"/>
      <c r="R33" s="58"/>
      <c r="S33" s="59"/>
      <c r="T33" s="59"/>
      <c r="U33" s="59"/>
      <c r="V33" s="59"/>
    </row>
    <row r="34" spans="2:22" customFormat="1" ht="15" x14ac:dyDescent="0.25">
      <c r="B34" s="49" t="s">
        <v>89</v>
      </c>
      <c r="C34" s="2"/>
      <c r="D34" s="2"/>
      <c r="E34" s="41"/>
      <c r="F34" s="41"/>
      <c r="G34" s="2"/>
      <c r="H34" s="2"/>
      <c r="I34" s="2"/>
      <c r="J34" s="59"/>
      <c r="K34" s="57"/>
      <c r="L34" s="58"/>
      <c r="M34" s="58"/>
      <c r="N34" s="58"/>
      <c r="O34" s="58"/>
      <c r="P34" s="58"/>
      <c r="Q34" s="58"/>
      <c r="R34" s="58"/>
      <c r="S34" s="59"/>
      <c r="T34" s="59"/>
      <c r="U34" s="59"/>
      <c r="V34" s="59"/>
    </row>
    <row r="35" spans="2:22" customFormat="1" ht="15" x14ac:dyDescent="0.25">
      <c r="B35" s="41" t="s">
        <v>90</v>
      </c>
      <c r="C35" s="2"/>
      <c r="D35" s="2"/>
      <c r="E35" s="41"/>
      <c r="F35" s="41" t="s">
        <v>76</v>
      </c>
      <c r="G35" s="2"/>
      <c r="H35" s="2"/>
      <c r="I35" s="2"/>
      <c r="J35" s="56"/>
      <c r="K35" s="41"/>
      <c r="L35" s="97">
        <f>'Input invoeding groen gas 2020'!L139</f>
        <v>1</v>
      </c>
      <c r="M35" s="97">
        <f>'Input invoeding groen gas 2020'!M139</f>
        <v>0</v>
      </c>
      <c r="N35" s="97">
        <f>'Input invoeding groen gas 2020'!N139</f>
        <v>0</v>
      </c>
      <c r="O35" s="97">
        <f>'Input invoeding groen gas 2020'!O139</f>
        <v>0</v>
      </c>
      <c r="P35" s="97">
        <f>'Input invoeding groen gas 2020'!P139</f>
        <v>0.47333333333333333</v>
      </c>
      <c r="Q35" s="97">
        <f>'Input invoeding groen gas 2020'!Q139</f>
        <v>0</v>
      </c>
      <c r="R35" s="97">
        <f>'Input invoeding groen gas 2020'!R139</f>
        <v>0</v>
      </c>
    </row>
    <row r="36" spans="2:22" customFormat="1" ht="15" x14ac:dyDescent="0.25">
      <c r="B36" s="41" t="s">
        <v>91</v>
      </c>
      <c r="C36" s="2"/>
      <c r="D36" s="2"/>
      <c r="E36" s="41"/>
      <c r="F36" s="41" t="s">
        <v>76</v>
      </c>
      <c r="G36" s="2"/>
      <c r="H36" s="2"/>
      <c r="I36" s="2"/>
      <c r="J36" s="56"/>
      <c r="K36" s="41"/>
      <c r="L36" s="97">
        <f>'Input invoeding groen gas 2020'!L140</f>
        <v>0</v>
      </c>
      <c r="M36" s="97">
        <f>'Input invoeding groen gas 2020'!M140</f>
        <v>0</v>
      </c>
      <c r="N36" s="97">
        <f>'Input invoeding groen gas 2020'!N140</f>
        <v>0</v>
      </c>
      <c r="O36" s="97">
        <f>'Input invoeding groen gas 2020'!O140</f>
        <v>0</v>
      </c>
      <c r="P36" s="97">
        <f>'Input invoeding groen gas 2020'!P140</f>
        <v>0</v>
      </c>
      <c r="Q36" s="97">
        <f>'Input invoeding groen gas 2020'!Q140</f>
        <v>0</v>
      </c>
      <c r="R36" s="97">
        <f>'Input invoeding groen gas 2020'!R140</f>
        <v>0</v>
      </c>
    </row>
    <row r="37" spans="2:22" customFormat="1" ht="15" x14ac:dyDescent="0.25">
      <c r="C37" s="2"/>
      <c r="D37" s="2"/>
      <c r="E37" s="41"/>
      <c r="F37" s="41"/>
      <c r="G37" s="2"/>
      <c r="H37" s="2"/>
      <c r="I37" s="2"/>
      <c r="J37" s="56"/>
      <c r="K37" s="57"/>
      <c r="L37" s="58"/>
      <c r="M37" s="58"/>
      <c r="N37" s="58"/>
      <c r="O37" s="58"/>
      <c r="P37" s="58"/>
      <c r="Q37" s="58"/>
      <c r="R37" s="58"/>
      <c r="S37" s="59"/>
      <c r="T37" s="59"/>
    </row>
    <row r="38" spans="2:22" customFormat="1" ht="15" x14ac:dyDescent="0.25">
      <c r="B38" s="41" t="s">
        <v>92</v>
      </c>
      <c r="C38" s="2"/>
      <c r="D38" s="2"/>
      <c r="E38" s="41"/>
      <c r="F38" s="41" t="s">
        <v>76</v>
      </c>
      <c r="G38" s="2"/>
      <c r="H38" s="2"/>
      <c r="I38" s="2"/>
      <c r="J38" s="56"/>
      <c r="K38" s="41"/>
      <c r="L38" s="97">
        <f>'Input invoeding groen gas 2020'!L142</f>
        <v>0</v>
      </c>
      <c r="M38" s="97">
        <f>'Input invoeding groen gas 2020'!M142</f>
        <v>0</v>
      </c>
      <c r="N38" s="97">
        <f>'Input invoeding groen gas 2020'!N142</f>
        <v>11.967943271851601</v>
      </c>
      <c r="O38" s="97">
        <f>'Input invoeding groen gas 2020'!O142</f>
        <v>6.583333333333333</v>
      </c>
      <c r="P38" s="97">
        <f>'Input invoeding groen gas 2020'!P142</f>
        <v>0</v>
      </c>
      <c r="Q38" s="97">
        <f>'Input invoeding groen gas 2020'!Q142</f>
        <v>3</v>
      </c>
      <c r="R38" s="97">
        <f>'Input invoeding groen gas 2020'!R142</f>
        <v>0</v>
      </c>
    </row>
    <row r="39" spans="2:22" customFormat="1" ht="15" x14ac:dyDescent="0.25">
      <c r="B39" s="41"/>
      <c r="C39" s="2"/>
      <c r="D39" s="2"/>
      <c r="E39" s="41"/>
      <c r="F39" s="41"/>
      <c r="G39" s="2"/>
      <c r="H39" s="2"/>
      <c r="I39" s="2"/>
      <c r="J39" s="56"/>
      <c r="K39" s="57"/>
      <c r="L39" s="58"/>
      <c r="M39" s="58"/>
      <c r="N39" s="58"/>
      <c r="O39" s="58"/>
      <c r="P39" s="58"/>
      <c r="Q39" s="58"/>
      <c r="R39" s="58"/>
      <c r="S39" s="59"/>
      <c r="T39" s="59"/>
    </row>
    <row r="40" spans="2:22" customFormat="1" ht="15" x14ac:dyDescent="0.25">
      <c r="B40" s="49" t="s">
        <v>93</v>
      </c>
      <c r="C40" s="2"/>
      <c r="D40" s="2"/>
      <c r="E40" s="41"/>
      <c r="F40" s="41"/>
      <c r="G40" s="2"/>
      <c r="H40" s="2"/>
      <c r="I40" s="2"/>
      <c r="J40" s="56"/>
      <c r="K40" s="57"/>
      <c r="L40" s="58"/>
      <c r="M40" s="58"/>
      <c r="N40" s="58"/>
      <c r="O40" s="58"/>
      <c r="P40" s="58"/>
      <c r="Q40" s="58"/>
      <c r="R40" s="58"/>
      <c r="S40" s="59"/>
      <c r="T40" s="59"/>
    </row>
    <row r="41" spans="2:22" customFormat="1" ht="15" x14ac:dyDescent="0.25">
      <c r="B41" s="41"/>
      <c r="C41" s="2"/>
      <c r="D41" s="2"/>
      <c r="E41" s="41"/>
      <c r="F41" s="41"/>
      <c r="G41" s="2"/>
      <c r="H41" s="2"/>
      <c r="I41" s="2"/>
      <c r="J41" s="56"/>
      <c r="K41" s="57"/>
      <c r="L41" s="58"/>
      <c r="M41" s="58"/>
      <c r="N41" s="58"/>
      <c r="O41" s="58"/>
      <c r="P41" s="58"/>
      <c r="Q41" s="58"/>
      <c r="R41" s="58"/>
      <c r="S41" s="59"/>
      <c r="T41" s="59"/>
    </row>
    <row r="42" spans="2:22" customFormat="1" ht="15" x14ac:dyDescent="0.25">
      <c r="B42" s="49" t="s">
        <v>89</v>
      </c>
      <c r="C42" s="2"/>
      <c r="D42" s="2"/>
      <c r="E42" s="41"/>
      <c r="F42" s="41"/>
      <c r="G42" s="2"/>
      <c r="H42" s="2"/>
      <c r="I42" s="2"/>
      <c r="J42" s="56"/>
      <c r="K42" s="57"/>
      <c r="L42" s="58"/>
      <c r="M42" s="58"/>
      <c r="N42" s="58"/>
      <c r="O42" s="58"/>
      <c r="P42" s="58"/>
      <c r="Q42" s="58"/>
      <c r="R42" s="58"/>
      <c r="S42" s="59"/>
      <c r="T42" s="59"/>
    </row>
    <row r="43" spans="2:22" customFormat="1" ht="15" x14ac:dyDescent="0.25">
      <c r="B43" s="41" t="s">
        <v>90</v>
      </c>
      <c r="C43" s="2"/>
      <c r="D43" s="2"/>
      <c r="E43" s="41"/>
      <c r="F43" s="41" t="s">
        <v>76</v>
      </c>
      <c r="G43" s="2"/>
      <c r="H43" s="2"/>
      <c r="I43" s="2"/>
      <c r="J43" s="56"/>
      <c r="K43" s="41"/>
      <c r="L43" s="97">
        <f>'Input invoeding groen gas 2020'!L147</f>
        <v>0</v>
      </c>
      <c r="M43" s="97">
        <f>'Input invoeding groen gas 2020'!M147</f>
        <v>0</v>
      </c>
      <c r="N43" s="97">
        <f>'Input invoeding groen gas 2020'!N147</f>
        <v>0</v>
      </c>
      <c r="O43" s="97">
        <f>'Input invoeding groen gas 2020'!O147</f>
        <v>0</v>
      </c>
      <c r="P43" s="97">
        <f>'Input invoeding groen gas 2020'!P147</f>
        <v>714.33333333333337</v>
      </c>
      <c r="Q43" s="97">
        <f>'Input invoeding groen gas 2020'!Q147</f>
        <v>0</v>
      </c>
      <c r="R43" s="97">
        <f>'Input invoeding groen gas 2020'!R147</f>
        <v>0</v>
      </c>
    </row>
    <row r="44" spans="2:22" customFormat="1" ht="15" x14ac:dyDescent="0.25">
      <c r="B44" s="41" t="s">
        <v>91</v>
      </c>
      <c r="C44" s="2"/>
      <c r="D44" s="2"/>
      <c r="E44" s="41"/>
      <c r="F44" s="41" t="s">
        <v>76</v>
      </c>
      <c r="G44" s="2"/>
      <c r="H44" s="2"/>
      <c r="I44" s="2"/>
      <c r="J44" s="56"/>
      <c r="K44" s="41"/>
      <c r="L44" s="97">
        <f>'Input invoeding groen gas 2020'!L148</f>
        <v>0</v>
      </c>
      <c r="M44" s="97">
        <f>'Input invoeding groen gas 2020'!M148</f>
        <v>0</v>
      </c>
      <c r="N44" s="97">
        <f>'Input invoeding groen gas 2020'!N148</f>
        <v>0</v>
      </c>
      <c r="O44" s="97">
        <f>'Input invoeding groen gas 2020'!O148</f>
        <v>0</v>
      </c>
      <c r="P44" s="97">
        <f>'Input invoeding groen gas 2020'!P148</f>
        <v>0</v>
      </c>
      <c r="Q44" s="97">
        <f>'Input invoeding groen gas 2020'!Q148</f>
        <v>0</v>
      </c>
      <c r="R44" s="97">
        <f>'Input invoeding groen gas 2020'!R148</f>
        <v>0</v>
      </c>
    </row>
    <row r="45" spans="2:22" customFormat="1" ht="15" x14ac:dyDescent="0.25">
      <c r="B45" s="41"/>
      <c r="C45" s="2"/>
      <c r="D45" s="2"/>
      <c r="E45" s="41"/>
      <c r="F45" s="41"/>
      <c r="G45" s="2"/>
      <c r="H45" s="2"/>
      <c r="I45" s="2"/>
      <c r="J45" s="56"/>
      <c r="K45" s="57"/>
      <c r="L45" s="58"/>
      <c r="M45" s="58"/>
      <c r="N45" s="58"/>
      <c r="O45" s="58"/>
      <c r="P45" s="58"/>
      <c r="Q45" s="58"/>
      <c r="R45" s="58"/>
      <c r="S45" s="59"/>
      <c r="T45" s="59"/>
    </row>
    <row r="46" spans="2:22" customFormat="1" ht="15" x14ac:dyDescent="0.25">
      <c r="B46" s="41" t="s">
        <v>94</v>
      </c>
      <c r="C46" s="2"/>
      <c r="D46" s="2"/>
      <c r="E46" s="41"/>
      <c r="F46" s="41" t="s">
        <v>76</v>
      </c>
      <c r="G46" s="2"/>
      <c r="H46" s="2"/>
      <c r="I46" s="2"/>
      <c r="J46" s="56"/>
      <c r="K46" s="41"/>
      <c r="L46" s="97">
        <f>'Input invoeding groen gas 2020'!L150</f>
        <v>0</v>
      </c>
      <c r="M46" s="97">
        <f>'Input invoeding groen gas 2020'!M150</f>
        <v>0</v>
      </c>
      <c r="N46" s="97">
        <f>'Input invoeding groen gas 2020'!N150</f>
        <v>10672.483623519271</v>
      </c>
      <c r="O46" s="97">
        <f>'Input invoeding groen gas 2020'!O150</f>
        <v>2648.3333333333335</v>
      </c>
      <c r="P46" s="97">
        <f>'Input invoeding groen gas 2020'!P150</f>
        <v>0</v>
      </c>
      <c r="Q46" s="97">
        <f>'Input invoeding groen gas 2020'!Q150</f>
        <v>523.99964898424821</v>
      </c>
      <c r="R46" s="97">
        <f>'Input invoeding groen gas 2020'!R150</f>
        <v>0</v>
      </c>
    </row>
    <row r="47" spans="2:22" customFormat="1" ht="15" x14ac:dyDescent="0.25">
      <c r="C47" s="2"/>
      <c r="D47" s="2"/>
    </row>
    <row r="48" spans="2:22" s="8" customFormat="1" x14ac:dyDescent="0.25">
      <c r="B48" s="8" t="s">
        <v>438</v>
      </c>
    </row>
    <row r="49" spans="1:18" customFormat="1" ht="15" x14ac:dyDescent="0.25">
      <c r="A49" s="41"/>
      <c r="B49" s="41"/>
      <c r="C49" s="41"/>
      <c r="D49" s="41"/>
      <c r="E49" s="41"/>
      <c r="F49" s="43"/>
      <c r="G49" s="41"/>
      <c r="H49" s="42"/>
      <c r="I49" s="42"/>
      <c r="J49" s="42"/>
      <c r="K49" s="42"/>
      <c r="L49" s="42"/>
      <c r="M49" s="42"/>
      <c r="N49" s="42"/>
    </row>
    <row r="50" spans="1:18" customFormat="1" ht="15" x14ac:dyDescent="0.25">
      <c r="B50" s="49" t="s">
        <v>96</v>
      </c>
      <c r="C50" s="41"/>
      <c r="D50" s="41"/>
      <c r="E50" s="41"/>
      <c r="F50" s="43"/>
      <c r="G50" s="41"/>
      <c r="H50" s="42"/>
      <c r="I50" s="42"/>
      <c r="J50" s="42"/>
      <c r="K50" s="42"/>
      <c r="L50" s="42"/>
      <c r="M50" s="42"/>
      <c r="N50" s="42"/>
    </row>
    <row r="51" spans="1:18" customFormat="1" ht="15" x14ac:dyDescent="0.25">
      <c r="B51" s="41"/>
      <c r="C51" s="41"/>
      <c r="D51" s="41"/>
      <c r="E51" s="41"/>
      <c r="F51" s="43"/>
      <c r="G51" s="41"/>
      <c r="H51" s="42"/>
      <c r="I51" s="42"/>
      <c r="J51" s="42"/>
      <c r="K51" s="42"/>
      <c r="L51" s="42"/>
      <c r="M51" s="42"/>
      <c r="N51" s="42"/>
    </row>
    <row r="52" spans="1:18" customFormat="1" ht="15" x14ac:dyDescent="0.25">
      <c r="B52" s="49" t="s">
        <v>97</v>
      </c>
      <c r="C52" s="41"/>
      <c r="D52" s="41"/>
      <c r="E52" s="41"/>
      <c r="F52" s="43"/>
      <c r="G52" s="41"/>
      <c r="H52" s="42"/>
      <c r="I52" s="42"/>
      <c r="J52" s="42"/>
      <c r="K52" s="42"/>
      <c r="L52" s="42"/>
      <c r="M52" s="42"/>
      <c r="N52" s="42"/>
    </row>
    <row r="53" spans="1:18" customFormat="1" ht="15" x14ac:dyDescent="0.25">
      <c r="B53" s="41" t="s">
        <v>98</v>
      </c>
      <c r="C53" s="41"/>
      <c r="D53" s="2"/>
      <c r="E53" s="41"/>
      <c r="F53" s="41" t="s">
        <v>223</v>
      </c>
      <c r="G53" s="41"/>
      <c r="H53" s="2"/>
      <c r="I53" s="2"/>
      <c r="J53" s="2"/>
      <c r="K53" s="2"/>
      <c r="L53" s="60"/>
      <c r="M53" s="60"/>
      <c r="N53" s="60"/>
      <c r="O53" s="60"/>
      <c r="P53" s="60"/>
      <c r="Q53" s="118">
        <f>'Input invoeding groen gas 2020'!Q157</f>
        <v>18</v>
      </c>
      <c r="R53" s="134"/>
    </row>
    <row r="54" spans="1:18" customFormat="1" ht="15" x14ac:dyDescent="0.25">
      <c r="B54" s="41" t="s">
        <v>99</v>
      </c>
      <c r="C54" s="41"/>
      <c r="D54" s="2"/>
      <c r="E54" s="41"/>
      <c r="F54" s="41" t="s">
        <v>223</v>
      </c>
      <c r="G54" s="41"/>
      <c r="H54" s="2"/>
      <c r="I54" s="2"/>
      <c r="J54" s="2"/>
      <c r="K54" s="2"/>
      <c r="L54" s="60"/>
      <c r="M54" s="60"/>
      <c r="N54" s="60"/>
      <c r="O54" s="60"/>
      <c r="P54" s="60"/>
      <c r="Q54" s="118">
        <f>'Input invoeding groen gas 2020'!Q158</f>
        <v>28.565000000000001</v>
      </c>
      <c r="R54" s="134"/>
    </row>
    <row r="55" spans="1:18" customFormat="1" ht="15" x14ac:dyDescent="0.25">
      <c r="B55" s="41"/>
      <c r="C55" s="41"/>
      <c r="D55" s="2"/>
      <c r="E55" s="41"/>
      <c r="F55" s="41"/>
      <c r="G55" s="41"/>
      <c r="H55" s="2"/>
      <c r="I55" s="2"/>
      <c r="J55" s="2"/>
      <c r="K55" s="2"/>
      <c r="L55" s="44"/>
      <c r="M55" s="44"/>
      <c r="N55" s="44"/>
      <c r="O55" s="44"/>
      <c r="P55" s="44"/>
      <c r="Q55" s="44"/>
      <c r="R55" s="44"/>
    </row>
    <row r="56" spans="1:18" customFormat="1" ht="15" x14ac:dyDescent="0.25">
      <c r="B56" s="49" t="s">
        <v>100</v>
      </c>
      <c r="C56" s="41"/>
      <c r="D56" s="2"/>
      <c r="E56" s="41"/>
      <c r="F56" s="41"/>
      <c r="G56" s="41"/>
      <c r="H56" s="2"/>
      <c r="I56" s="2"/>
      <c r="J56" s="2"/>
      <c r="K56" s="2"/>
      <c r="L56" s="44"/>
      <c r="M56" s="44"/>
      <c r="N56" s="44"/>
      <c r="O56" s="44"/>
      <c r="P56" s="44"/>
      <c r="Q56" s="44"/>
      <c r="R56" s="44"/>
    </row>
    <row r="57" spans="1:18" customFormat="1" ht="15" x14ac:dyDescent="0.25">
      <c r="B57" s="41" t="s">
        <v>98</v>
      </c>
      <c r="C57" s="41"/>
      <c r="D57" s="2"/>
      <c r="E57" s="41"/>
      <c r="F57" s="41" t="s">
        <v>223</v>
      </c>
      <c r="G57" s="41"/>
      <c r="H57" s="2"/>
      <c r="I57" s="2"/>
      <c r="J57" s="2"/>
      <c r="K57" s="2"/>
      <c r="L57" s="134"/>
      <c r="M57" s="134"/>
      <c r="N57" s="134"/>
      <c r="O57" s="118">
        <f>'Input invoeding groen gas 2020'!O161</f>
        <v>18</v>
      </c>
      <c r="P57" s="134"/>
      <c r="Q57" s="134"/>
      <c r="R57" s="134"/>
    </row>
    <row r="58" spans="1:18" customFormat="1" ht="15" x14ac:dyDescent="0.25">
      <c r="B58" s="41" t="s">
        <v>99</v>
      </c>
      <c r="C58" s="41"/>
      <c r="D58" s="2"/>
      <c r="E58" s="41"/>
      <c r="F58" s="41" t="s">
        <v>223</v>
      </c>
      <c r="G58" s="41"/>
      <c r="H58" s="2"/>
      <c r="I58" s="2"/>
      <c r="J58" s="2"/>
      <c r="K58" s="2"/>
      <c r="L58" s="134"/>
      <c r="M58" s="134"/>
      <c r="N58" s="134"/>
      <c r="O58" s="118">
        <f>'Input invoeding groen gas 2020'!O162</f>
        <v>31.200000000000003</v>
      </c>
      <c r="P58" s="134"/>
      <c r="Q58" s="134"/>
      <c r="R58" s="134"/>
    </row>
    <row r="59" spans="1:18" customFormat="1" ht="15" x14ac:dyDescent="0.25">
      <c r="B59" s="41"/>
      <c r="C59" s="41"/>
      <c r="D59" s="2"/>
      <c r="E59" s="41"/>
      <c r="F59" s="41"/>
      <c r="G59" s="41"/>
      <c r="H59" s="2"/>
      <c r="I59" s="2"/>
      <c r="J59" s="2"/>
      <c r="K59" s="2"/>
      <c r="L59" s="44"/>
      <c r="M59" s="44"/>
      <c r="N59" s="44"/>
      <c r="O59" s="44"/>
      <c r="P59" s="44"/>
      <c r="Q59" s="44"/>
      <c r="R59" s="44"/>
    </row>
    <row r="60" spans="1:18" customFormat="1" ht="15" x14ac:dyDescent="0.25">
      <c r="B60" s="49" t="s">
        <v>101</v>
      </c>
      <c r="C60" s="41"/>
      <c r="D60" s="2"/>
      <c r="E60" s="41"/>
      <c r="F60" s="41"/>
      <c r="G60" s="43"/>
      <c r="H60" s="2"/>
      <c r="I60" s="2"/>
      <c r="J60" s="2"/>
      <c r="K60" s="2"/>
      <c r="L60" s="51"/>
      <c r="M60" s="51"/>
      <c r="N60" s="51"/>
      <c r="O60" s="51"/>
      <c r="P60" s="51"/>
      <c r="Q60" s="51"/>
      <c r="R60" s="44"/>
    </row>
    <row r="61" spans="1:18" customFormat="1" ht="15" x14ac:dyDescent="0.25">
      <c r="B61" s="41" t="s">
        <v>98</v>
      </c>
      <c r="C61" s="41"/>
      <c r="D61" s="2"/>
      <c r="E61" s="41"/>
      <c r="F61" s="41" t="s">
        <v>223</v>
      </c>
      <c r="G61" s="41"/>
      <c r="H61" s="2"/>
      <c r="I61" s="2"/>
      <c r="J61" s="2"/>
      <c r="K61" s="2"/>
      <c r="L61" s="118">
        <f>'Input invoeding groen gas 2020'!L165</f>
        <v>514</v>
      </c>
      <c r="M61" s="134"/>
      <c r="N61" s="118">
        <f>'Input invoeding groen gas 2020'!N165</f>
        <v>1000.22</v>
      </c>
      <c r="O61" s="118">
        <f>'Input invoeding groen gas 2020'!O165</f>
        <v>855</v>
      </c>
      <c r="P61" s="118">
        <f>'Input invoeding groen gas 2020'!P165</f>
        <v>596.25</v>
      </c>
      <c r="Q61" s="118">
        <f>'Input invoeding groen gas 2020'!Q165</f>
        <v>766.2</v>
      </c>
      <c r="R61" s="134"/>
    </row>
    <row r="62" spans="1:18" customFormat="1" ht="15" x14ac:dyDescent="0.25">
      <c r="B62" s="41" t="s">
        <v>90</v>
      </c>
      <c r="C62" s="41"/>
      <c r="D62" s="2"/>
      <c r="E62" s="41"/>
      <c r="F62" s="41" t="s">
        <v>223</v>
      </c>
      <c r="G62" s="41"/>
      <c r="H62" s="2"/>
      <c r="I62" s="2"/>
      <c r="J62" s="2"/>
      <c r="K62" s="2"/>
      <c r="L62" s="134"/>
      <c r="M62" s="134"/>
      <c r="N62" s="134"/>
      <c r="O62" s="134"/>
      <c r="P62" s="118">
        <f>'Input invoeding groen gas 2020'!P166</f>
        <v>32.33</v>
      </c>
      <c r="Q62" s="134"/>
      <c r="R62" s="134"/>
    </row>
    <row r="63" spans="1:18" customFormat="1" ht="15" x14ac:dyDescent="0.25">
      <c r="B63" s="41" t="s">
        <v>91</v>
      </c>
      <c r="C63" s="41"/>
      <c r="D63" s="2"/>
      <c r="E63" s="41"/>
      <c r="F63" s="41" t="s">
        <v>223</v>
      </c>
      <c r="G63" s="41"/>
      <c r="H63" s="2"/>
      <c r="I63" s="2"/>
      <c r="J63" s="2"/>
      <c r="K63" s="2"/>
      <c r="L63" s="134"/>
      <c r="M63" s="134"/>
      <c r="N63" s="134"/>
      <c r="O63" s="134"/>
      <c r="P63" s="134"/>
      <c r="Q63" s="134"/>
      <c r="R63" s="134"/>
    </row>
    <row r="64" spans="1:18" customFormat="1" ht="15" x14ac:dyDescent="0.25">
      <c r="B64" s="41" t="s">
        <v>102</v>
      </c>
      <c r="C64" s="41"/>
      <c r="D64" s="2"/>
      <c r="E64" s="41"/>
      <c r="F64" s="41" t="s">
        <v>223</v>
      </c>
      <c r="G64" s="41"/>
      <c r="H64" s="2"/>
      <c r="I64" s="2"/>
      <c r="J64" s="2"/>
      <c r="K64" s="2"/>
      <c r="L64" s="134"/>
      <c r="M64" s="134"/>
      <c r="N64" s="118">
        <f>'Input invoeding groen gas 2020'!N168</f>
        <v>22.9986</v>
      </c>
      <c r="O64" s="118">
        <f>'Input invoeding groen gas 2020'!O168</f>
        <v>21.6</v>
      </c>
      <c r="P64" s="134"/>
      <c r="Q64" s="118">
        <f>'Input invoeding groen gas 2020'!Q168</f>
        <v>24.35</v>
      </c>
      <c r="R64" s="134"/>
    </row>
    <row r="65" spans="1:18" customFormat="1" ht="15" x14ac:dyDescent="0.25">
      <c r="D65" s="2"/>
      <c r="H65" s="2"/>
      <c r="I65" s="2"/>
      <c r="J65" s="2"/>
      <c r="K65" s="2"/>
      <c r="L65" s="52"/>
      <c r="M65" s="52"/>
      <c r="N65" s="52"/>
      <c r="O65" s="52"/>
      <c r="P65" s="52"/>
      <c r="Q65" s="52"/>
      <c r="R65" s="52"/>
    </row>
    <row r="66" spans="1:18" customFormat="1" ht="15" x14ac:dyDescent="0.25">
      <c r="B66" s="53" t="s">
        <v>103</v>
      </c>
      <c r="D66" s="2"/>
      <c r="H66" s="2"/>
      <c r="I66" s="2"/>
      <c r="J66" s="2"/>
      <c r="K66" s="2"/>
      <c r="L66" s="52"/>
      <c r="M66" s="52"/>
      <c r="N66" s="52"/>
      <c r="O66" s="52"/>
      <c r="P66" s="52"/>
      <c r="Q66" s="52"/>
      <c r="R66" s="52"/>
    </row>
    <row r="67" spans="1:18" customFormat="1" ht="15" x14ac:dyDescent="0.25">
      <c r="D67" s="2"/>
      <c r="H67" s="2"/>
      <c r="I67" s="2"/>
      <c r="J67" s="2"/>
      <c r="K67" s="2"/>
      <c r="L67" s="52"/>
      <c r="M67" s="52"/>
      <c r="N67" s="52"/>
      <c r="O67" s="52"/>
      <c r="P67" s="52"/>
      <c r="Q67" s="52"/>
      <c r="R67" s="52"/>
    </row>
    <row r="68" spans="1:18" customFormat="1" ht="15" x14ac:dyDescent="0.25">
      <c r="B68" t="s">
        <v>81</v>
      </c>
      <c r="D68" s="2"/>
      <c r="F68" s="86" t="s">
        <v>201</v>
      </c>
      <c r="H68" s="2"/>
      <c r="I68" s="2"/>
      <c r="J68" s="2"/>
      <c r="K68" s="2"/>
      <c r="L68" s="134"/>
      <c r="M68" s="134"/>
      <c r="N68" s="134"/>
      <c r="O68" s="134"/>
      <c r="P68" s="134"/>
      <c r="Q68" s="118">
        <f>'Input invoeding groen gas 2020'!Q172</f>
        <v>25</v>
      </c>
      <c r="R68" s="134"/>
    </row>
    <row r="69" spans="1:18" customFormat="1" ht="15" x14ac:dyDescent="0.25">
      <c r="B69" t="s">
        <v>84</v>
      </c>
      <c r="D69" s="2"/>
      <c r="F69" s="86" t="s">
        <v>201</v>
      </c>
      <c r="H69" s="2"/>
      <c r="I69" s="2"/>
      <c r="J69" s="2"/>
      <c r="K69" s="2"/>
      <c r="L69" s="134"/>
      <c r="M69" s="134"/>
      <c r="N69" s="134"/>
      <c r="O69" s="118">
        <f>'Input invoeding groen gas 2020'!O173</f>
        <v>65</v>
      </c>
      <c r="P69" s="134"/>
      <c r="Q69" s="134"/>
      <c r="R69" s="134"/>
    </row>
    <row r="70" spans="1:18" customFormat="1" ht="15" x14ac:dyDescent="0.25">
      <c r="D70" s="2"/>
      <c r="F70" s="41"/>
      <c r="H70" s="2"/>
      <c r="I70" s="2"/>
      <c r="J70" s="2"/>
      <c r="K70" s="2"/>
      <c r="L70" s="117"/>
      <c r="M70" s="117"/>
      <c r="N70" s="117"/>
      <c r="O70" s="58"/>
      <c r="P70" s="117"/>
      <c r="Q70" s="117"/>
      <c r="R70" s="117"/>
    </row>
    <row r="71" spans="1:18" s="8" customFormat="1" x14ac:dyDescent="0.25">
      <c r="B71" s="48" t="s">
        <v>227</v>
      </c>
      <c r="L71" s="47"/>
      <c r="M71" s="47"/>
      <c r="N71" s="47"/>
      <c r="O71" s="47"/>
      <c r="P71" s="47"/>
      <c r="Q71" s="47"/>
      <c r="R71" s="47"/>
    </row>
    <row r="72" spans="1:18" customFormat="1" ht="15" x14ac:dyDescent="0.25">
      <c r="A72" s="41"/>
      <c r="B72" s="41"/>
      <c r="C72" s="41"/>
      <c r="D72" s="41"/>
      <c r="E72" s="41"/>
      <c r="F72" s="43"/>
      <c r="G72" s="41"/>
      <c r="H72" s="42"/>
      <c r="I72" s="42"/>
      <c r="J72" s="42"/>
      <c r="K72" s="42"/>
      <c r="L72" s="42"/>
      <c r="M72" s="42"/>
      <c r="N72" s="42"/>
    </row>
    <row r="73" spans="1:18" customFormat="1" ht="15" x14ac:dyDescent="0.25">
      <c r="B73" s="49" t="s">
        <v>97</v>
      </c>
      <c r="C73" s="41"/>
      <c r="D73" s="41"/>
      <c r="E73" s="41"/>
      <c r="F73" s="43"/>
      <c r="G73" s="41"/>
      <c r="H73" s="42"/>
      <c r="I73" s="42"/>
      <c r="J73" s="58"/>
      <c r="K73" s="42"/>
      <c r="L73" s="42"/>
      <c r="M73" s="42"/>
      <c r="N73" s="42"/>
    </row>
    <row r="74" spans="1:18" customFormat="1" ht="15" x14ac:dyDescent="0.25">
      <c r="B74" s="41" t="s">
        <v>98</v>
      </c>
      <c r="C74" s="41"/>
      <c r="D74" s="2"/>
      <c r="E74" s="2"/>
      <c r="F74" s="41" t="s">
        <v>223</v>
      </c>
      <c r="G74" s="2"/>
      <c r="H74" s="2"/>
      <c r="I74" s="2"/>
      <c r="J74" s="56"/>
      <c r="K74" s="41"/>
      <c r="L74" s="60"/>
      <c r="M74" s="60"/>
      <c r="N74" s="60"/>
      <c r="O74" s="60"/>
      <c r="P74" s="60"/>
      <c r="Q74" s="68">
        <f>Q53*Q23</f>
        <v>1.8904109589041096</v>
      </c>
      <c r="R74" s="60"/>
    </row>
    <row r="75" spans="1:18" customFormat="1" ht="15" x14ac:dyDescent="0.25">
      <c r="B75" s="41" t="s">
        <v>99</v>
      </c>
      <c r="C75" s="41"/>
      <c r="D75" s="2"/>
      <c r="E75" s="2"/>
      <c r="F75" s="41" t="s">
        <v>223</v>
      </c>
      <c r="G75" s="2"/>
      <c r="H75" s="2"/>
      <c r="I75" s="2"/>
      <c r="J75" s="56"/>
      <c r="K75" s="41"/>
      <c r="L75" s="60"/>
      <c r="M75" s="60"/>
      <c r="N75" s="60"/>
      <c r="O75" s="60"/>
      <c r="P75" s="60"/>
      <c r="Q75" s="68">
        <f>Q23*Q54*Q68</f>
        <v>74.999429223744301</v>
      </c>
      <c r="R75" s="60"/>
    </row>
    <row r="76" spans="1:18" customFormat="1" ht="15" x14ac:dyDescent="0.25">
      <c r="B76" s="41"/>
      <c r="C76" s="41"/>
      <c r="D76" s="2"/>
      <c r="E76" s="2"/>
      <c r="F76" s="41"/>
      <c r="G76" s="2"/>
      <c r="H76" s="2"/>
      <c r="I76" s="2"/>
      <c r="J76" s="57"/>
      <c r="K76" s="41"/>
      <c r="L76" s="42"/>
      <c r="M76" s="42"/>
      <c r="N76" s="42"/>
      <c r="O76" s="42"/>
      <c r="P76" s="42"/>
      <c r="Q76" s="42"/>
      <c r="R76" s="42"/>
    </row>
    <row r="77" spans="1:18" customFormat="1" ht="15" x14ac:dyDescent="0.25">
      <c r="B77" s="49" t="s">
        <v>100</v>
      </c>
      <c r="C77" s="41"/>
      <c r="D77" s="2"/>
      <c r="E77" s="2"/>
      <c r="F77" s="41"/>
      <c r="G77" s="2"/>
      <c r="H77" s="2"/>
      <c r="I77" s="2"/>
      <c r="J77" s="57"/>
      <c r="K77" s="41"/>
      <c r="L77" s="42"/>
      <c r="M77" s="42"/>
      <c r="N77" s="42"/>
      <c r="O77" s="42"/>
      <c r="P77" s="42"/>
      <c r="Q77" s="42"/>
      <c r="R77" s="42"/>
    </row>
    <row r="78" spans="1:18" customFormat="1" ht="15" x14ac:dyDescent="0.25">
      <c r="B78" s="41" t="s">
        <v>98</v>
      </c>
      <c r="C78" s="41"/>
      <c r="D78" s="2"/>
      <c r="E78" s="2"/>
      <c r="F78" s="41" t="s">
        <v>223</v>
      </c>
      <c r="G78" s="2"/>
      <c r="H78" s="2"/>
      <c r="I78" s="2"/>
      <c r="J78" s="56"/>
      <c r="K78" s="41"/>
      <c r="L78" s="60"/>
      <c r="M78" s="60"/>
      <c r="N78" s="60"/>
      <c r="O78" s="68">
        <f>O57*O27</f>
        <v>6</v>
      </c>
      <c r="P78" s="60"/>
      <c r="Q78" s="60"/>
      <c r="R78" s="60"/>
    </row>
    <row r="79" spans="1:18" customFormat="1" ht="15" x14ac:dyDescent="0.25">
      <c r="B79" s="41" t="s">
        <v>99</v>
      </c>
      <c r="C79" s="41"/>
      <c r="D79" s="2"/>
      <c r="E79" s="2"/>
      <c r="F79" s="41" t="s">
        <v>223</v>
      </c>
      <c r="G79" s="2"/>
      <c r="H79" s="2"/>
      <c r="I79" s="2"/>
      <c r="J79" s="56"/>
      <c r="K79" s="41"/>
      <c r="L79" s="60"/>
      <c r="M79" s="60"/>
      <c r="N79" s="60"/>
      <c r="O79" s="68">
        <f>O58*O69*O27</f>
        <v>676</v>
      </c>
      <c r="P79" s="60"/>
      <c r="Q79" s="60"/>
      <c r="R79" s="60"/>
    </row>
    <row r="80" spans="1:18" customFormat="1" ht="15" x14ac:dyDescent="0.25">
      <c r="B80" s="41"/>
      <c r="C80" s="41"/>
      <c r="D80" s="2"/>
      <c r="E80" s="2"/>
      <c r="F80" s="41"/>
      <c r="G80" s="2"/>
      <c r="H80" s="2"/>
      <c r="I80" s="2"/>
      <c r="J80" s="57"/>
      <c r="K80" s="41"/>
      <c r="L80" s="42"/>
      <c r="M80" s="42"/>
      <c r="N80" s="42"/>
      <c r="O80" s="42"/>
      <c r="P80" s="42"/>
      <c r="Q80" s="42"/>
      <c r="R80" s="42"/>
    </row>
    <row r="81" spans="2:18" customFormat="1" ht="15" x14ac:dyDescent="0.25">
      <c r="B81" s="49" t="s">
        <v>101</v>
      </c>
      <c r="C81" s="41"/>
      <c r="D81" s="2"/>
      <c r="E81" s="2"/>
      <c r="F81" s="41"/>
      <c r="G81" s="2"/>
      <c r="H81" s="2"/>
      <c r="I81" s="2"/>
      <c r="J81" s="57"/>
      <c r="K81" s="41"/>
    </row>
    <row r="82" spans="2:18" customFormat="1" ht="15" x14ac:dyDescent="0.25">
      <c r="B82" s="41" t="s">
        <v>98</v>
      </c>
      <c r="C82" s="41"/>
      <c r="D82" s="2"/>
      <c r="E82" s="2"/>
      <c r="F82" s="41" t="s">
        <v>223</v>
      </c>
      <c r="G82" s="2"/>
      <c r="H82" s="2"/>
      <c r="I82" s="2"/>
      <c r="J82" s="56"/>
      <c r="K82" s="41"/>
      <c r="L82" s="68">
        <f>L61*L35</f>
        <v>514</v>
      </c>
      <c r="M82" s="60"/>
      <c r="N82" s="68">
        <f>N61*N38</f>
        <v>11970.576219371409</v>
      </c>
      <c r="O82" s="68">
        <f>O61*O38</f>
        <v>5628.75</v>
      </c>
      <c r="P82" s="68">
        <f>P61*P35</f>
        <v>282.22500000000002</v>
      </c>
      <c r="Q82" s="68">
        <f>Q61*Q38</f>
        <v>2298.6000000000004</v>
      </c>
      <c r="R82" s="60"/>
    </row>
    <row r="83" spans="2:18" customFormat="1" ht="15" x14ac:dyDescent="0.25">
      <c r="B83" s="41" t="s">
        <v>90</v>
      </c>
      <c r="C83" s="41"/>
      <c r="D83" s="2"/>
      <c r="E83" s="2"/>
      <c r="F83" s="41" t="s">
        <v>223</v>
      </c>
      <c r="G83" s="2"/>
      <c r="H83" s="2"/>
      <c r="I83" s="2"/>
      <c r="J83" s="56"/>
      <c r="K83" s="41"/>
      <c r="L83" s="60"/>
      <c r="M83" s="60"/>
      <c r="N83" s="60"/>
      <c r="O83" s="60"/>
      <c r="P83" s="68">
        <f>P62*P43</f>
        <v>23094.396666666667</v>
      </c>
      <c r="Q83" s="60"/>
      <c r="R83" s="60"/>
    </row>
    <row r="84" spans="2:18" customFormat="1" ht="15" x14ac:dyDescent="0.25">
      <c r="B84" s="41" t="s">
        <v>91</v>
      </c>
      <c r="C84" s="41"/>
      <c r="D84" s="2"/>
      <c r="E84" s="2"/>
      <c r="F84" s="41" t="s">
        <v>223</v>
      </c>
      <c r="G84" s="2"/>
      <c r="H84" s="2"/>
      <c r="I84" s="2"/>
      <c r="J84" s="56"/>
      <c r="K84" s="41"/>
      <c r="L84" s="60"/>
      <c r="M84" s="60"/>
      <c r="N84" s="60"/>
      <c r="O84" s="60"/>
      <c r="P84" s="60"/>
      <c r="Q84" s="60"/>
      <c r="R84" s="60"/>
    </row>
    <row r="85" spans="2:18" customFormat="1" ht="15" x14ac:dyDescent="0.25">
      <c r="B85" s="41" t="s">
        <v>102</v>
      </c>
      <c r="C85" s="41"/>
      <c r="D85" s="2"/>
      <c r="E85" s="2"/>
      <c r="F85" s="41" t="s">
        <v>223</v>
      </c>
      <c r="G85" s="2"/>
      <c r="H85" s="2"/>
      <c r="I85" s="2"/>
      <c r="J85" s="56"/>
      <c r="K85" s="41"/>
      <c r="L85" s="60"/>
      <c r="M85" s="60"/>
      <c r="N85" s="68">
        <f>N64*N46</f>
        <v>245452.1818638703</v>
      </c>
      <c r="O85" s="68">
        <f>O64*O46</f>
        <v>57204.000000000007</v>
      </c>
      <c r="P85" s="60"/>
      <c r="Q85" s="68">
        <f>Q64*Q46</f>
        <v>12759.391452766446</v>
      </c>
      <c r="R85" s="60"/>
    </row>
    <row r="86" spans="2:18" customFormat="1" ht="15" x14ac:dyDescent="0.25">
      <c r="D86" s="2"/>
      <c r="E86" s="2"/>
      <c r="G86" s="2"/>
      <c r="H86" s="2"/>
      <c r="I86" s="2"/>
      <c r="J86" s="57"/>
    </row>
    <row r="87" spans="2:18" s="8" customFormat="1" x14ac:dyDescent="0.25">
      <c r="B87" s="48" t="s">
        <v>118</v>
      </c>
      <c r="L87" s="47"/>
      <c r="M87" s="47"/>
      <c r="N87" s="47"/>
      <c r="O87" s="47"/>
      <c r="P87" s="47"/>
      <c r="Q87" s="47"/>
      <c r="R87" s="47"/>
    </row>
    <row r="88" spans="2:18" customFormat="1" ht="15" x14ac:dyDescent="0.25">
      <c r="D88" s="2"/>
      <c r="E88" s="2"/>
      <c r="G88" s="2"/>
      <c r="H88" s="2"/>
      <c r="I88" s="2"/>
      <c r="J88" s="57"/>
    </row>
    <row r="89" spans="2:18" customFormat="1" ht="15" x14ac:dyDescent="0.25">
      <c r="B89" s="41" t="s">
        <v>197</v>
      </c>
      <c r="D89" s="2"/>
      <c r="E89" s="2"/>
      <c r="F89" s="41" t="s">
        <v>223</v>
      </c>
      <c r="G89" s="2"/>
      <c r="H89" s="2"/>
      <c r="I89" s="2"/>
      <c r="J89" s="56"/>
      <c r="L89" s="68">
        <f t="shared" ref="L89:R89" si="0">SUM(L74:L85)</f>
        <v>514</v>
      </c>
      <c r="M89" s="68">
        <f t="shared" si="0"/>
        <v>0</v>
      </c>
      <c r="N89" s="68">
        <f t="shared" si="0"/>
        <v>257422.7580832417</v>
      </c>
      <c r="O89" s="68">
        <f t="shared" si="0"/>
        <v>63514.750000000007</v>
      </c>
      <c r="P89" s="68">
        <f t="shared" si="0"/>
        <v>23376.621666666666</v>
      </c>
      <c r="Q89" s="68">
        <f t="shared" si="0"/>
        <v>15134.881292949094</v>
      </c>
      <c r="R89" s="68">
        <f t="shared" si="0"/>
        <v>0</v>
      </c>
    </row>
    <row r="90" spans="2:18" x14ac:dyDescent="0.25">
      <c r="B90" s="1"/>
    </row>
    <row r="91" spans="2:18" x14ac:dyDescent="0.25">
      <c r="B91" s="2" t="s">
        <v>310</v>
      </c>
      <c r="F91" s="2" t="s">
        <v>132</v>
      </c>
      <c r="H91" s="119">
        <f>Parameters!V36</f>
        <v>4.0000000000000036E-2</v>
      </c>
    </row>
    <row r="93" spans="2:18" x14ac:dyDescent="0.2">
      <c r="B93" s="41" t="s">
        <v>198</v>
      </c>
      <c r="F93" s="41" t="s">
        <v>265</v>
      </c>
      <c r="L93" s="67">
        <f>L89*(1+$H$91)</f>
        <v>534.56000000000006</v>
      </c>
      <c r="M93" s="67">
        <f t="shared" ref="M93:R93" si="1">M89*(1+$H$91)</f>
        <v>0</v>
      </c>
      <c r="N93" s="67">
        <f t="shared" si="1"/>
        <v>267719.66840657138</v>
      </c>
      <c r="O93" s="67">
        <f t="shared" si="1"/>
        <v>66055.340000000011</v>
      </c>
      <c r="P93" s="67">
        <f t="shared" si="1"/>
        <v>24311.686533333334</v>
      </c>
      <c r="Q93" s="67">
        <f t="shared" si="1"/>
        <v>15740.276544667058</v>
      </c>
      <c r="R93" s="67">
        <f t="shared" si="1"/>
        <v>0</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V23"/>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x14ac:dyDescent="0.25"/>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2.5703125" style="2" customWidth="1"/>
    <col min="19" max="19" width="2.7109375" style="2" customWidth="1"/>
    <col min="20" max="20" width="17.14062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2:22" s="27" customFormat="1" ht="18" x14ac:dyDescent="0.25">
      <c r="B2" s="27" t="s">
        <v>319</v>
      </c>
    </row>
    <row r="4" spans="2:22" x14ac:dyDescent="0.25">
      <c r="B4" s="40" t="s">
        <v>58</v>
      </c>
    </row>
    <row r="5" spans="2:22" ht="15" x14ac:dyDescent="0.25">
      <c r="B5" s="147" t="s">
        <v>238</v>
      </c>
      <c r="C5" s="1"/>
      <c r="D5" s="1"/>
      <c r="L5" s="136"/>
    </row>
    <row r="6" spans="2:22" ht="15" x14ac:dyDescent="0.25">
      <c r="B6" s="147" t="s">
        <v>273</v>
      </c>
      <c r="C6" s="1"/>
      <c r="D6" s="1"/>
      <c r="L6" s="136"/>
    </row>
    <row r="7" spans="2:22" x14ac:dyDescent="0.25">
      <c r="B7" s="147" t="s">
        <v>239</v>
      </c>
      <c r="C7" s="34"/>
      <c r="D7" s="34"/>
      <c r="H7" s="28"/>
    </row>
    <row r="10" spans="2:22" s="8" customFormat="1" x14ac:dyDescent="0.25">
      <c r="B10" s="8" t="s">
        <v>45</v>
      </c>
      <c r="F10" s="8" t="s">
        <v>27</v>
      </c>
      <c r="H10" s="8" t="s">
        <v>28</v>
      </c>
      <c r="J10" s="8" t="s">
        <v>49</v>
      </c>
      <c r="L10" s="8" t="s">
        <v>165</v>
      </c>
      <c r="M10" s="8" t="s">
        <v>65</v>
      </c>
      <c r="N10" s="8" t="s">
        <v>66</v>
      </c>
      <c r="O10" s="8" t="s">
        <v>67</v>
      </c>
      <c r="P10" s="8" t="s">
        <v>68</v>
      </c>
      <c r="Q10" s="8" t="s">
        <v>69</v>
      </c>
      <c r="R10" s="8" t="s">
        <v>70</v>
      </c>
      <c r="T10" s="8" t="s">
        <v>46</v>
      </c>
      <c r="V10" s="8" t="s">
        <v>47</v>
      </c>
    </row>
    <row r="13" spans="2:22" s="8" customFormat="1" x14ac:dyDescent="0.25">
      <c r="B13" s="8" t="s">
        <v>169</v>
      </c>
    </row>
    <row r="15" spans="2:22" x14ac:dyDescent="0.2">
      <c r="B15" s="2" t="s">
        <v>235</v>
      </c>
      <c r="F15" s="69" t="s">
        <v>177</v>
      </c>
      <c r="L15" s="97">
        <f>'Input faillissement Robin 2019'!L17</f>
        <v>4846.0600000000004</v>
      </c>
      <c r="M15" s="97">
        <f>'Input faillissement Robin 2019'!M17</f>
        <v>7157.52</v>
      </c>
      <c r="N15" s="97">
        <f>'Input faillissement Robin 2019'!N17</f>
        <v>154357.43</v>
      </c>
      <c r="O15" s="97">
        <f>'Input faillissement Robin 2019'!O17</f>
        <v>197732</v>
      </c>
      <c r="P15" s="97">
        <f>'Input faillissement Robin 2019'!P17</f>
        <v>6048</v>
      </c>
      <c r="Q15" s="97">
        <f>'Input faillissement Robin 2019'!Q17</f>
        <v>129578.15</v>
      </c>
      <c r="R15" s="97">
        <f>'Input faillissement Robin 2019'!R17</f>
        <v>2285.15</v>
      </c>
      <c r="T15" s="2" t="s">
        <v>237</v>
      </c>
    </row>
    <row r="17" spans="2:19" x14ac:dyDescent="0.25">
      <c r="B17" s="2" t="s">
        <v>272</v>
      </c>
      <c r="F17" s="2" t="s">
        <v>132</v>
      </c>
      <c r="H17" s="159">
        <f>'Input parameters'!H41</f>
        <v>0.21</v>
      </c>
    </row>
    <row r="18" spans="2:19" x14ac:dyDescent="0.2">
      <c r="B18" s="81" t="s">
        <v>315</v>
      </c>
      <c r="C18" s="57"/>
      <c r="D18" s="57"/>
      <c r="E18" s="57"/>
      <c r="F18" s="102" t="s">
        <v>132</v>
      </c>
      <c r="H18" s="104">
        <f>Parameters!V35</f>
        <v>8.1600000000000117E-2</v>
      </c>
    </row>
    <row r="20" spans="2:19" s="8" customFormat="1" x14ac:dyDescent="0.25">
      <c r="B20" s="8" t="s">
        <v>118</v>
      </c>
    </row>
    <row r="23" spans="2:19" x14ac:dyDescent="0.25">
      <c r="B23" s="2" t="s">
        <v>320</v>
      </c>
      <c r="F23" s="2" t="s">
        <v>265</v>
      </c>
      <c r="L23" s="67">
        <f>L15*(1+$H$17)*(1+$H$18)</f>
        <v>6342.2131801600008</v>
      </c>
      <c r="M23" s="67">
        <f t="shared" ref="M23:R23" si="0">M15*(1+$H$17)*(1+$H$18)</f>
        <v>9367.3040947200025</v>
      </c>
      <c r="N23" s="67">
        <f t="shared" si="0"/>
        <v>202013.12550848001</v>
      </c>
      <c r="O23" s="67">
        <f t="shared" si="0"/>
        <v>258778.98675200003</v>
      </c>
      <c r="P23" s="67">
        <f t="shared" si="0"/>
        <v>7915.2353280000007</v>
      </c>
      <c r="Q23" s="67">
        <f t="shared" si="0"/>
        <v>169583.58971840001</v>
      </c>
      <c r="R23" s="67">
        <f t="shared" si="0"/>
        <v>2990.6580704000003</v>
      </c>
      <c r="S23" s="148"/>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V84"/>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x14ac:dyDescent="0.25"/>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2.5703125" style="2" customWidth="1"/>
    <col min="19" max="19" width="2.7109375" style="2" customWidth="1"/>
    <col min="20" max="20" width="17.14062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2:22" s="27" customFormat="1" ht="18" x14ac:dyDescent="0.25">
      <c r="B2" s="27" t="s">
        <v>367</v>
      </c>
    </row>
    <row r="4" spans="2:22" x14ac:dyDescent="0.25">
      <c r="B4" s="40" t="s">
        <v>58</v>
      </c>
    </row>
    <row r="5" spans="2:22" x14ac:dyDescent="0.25">
      <c r="B5" s="2" t="s">
        <v>366</v>
      </c>
    </row>
    <row r="6" spans="2:22" x14ac:dyDescent="0.25">
      <c r="B6" s="2" t="s">
        <v>441</v>
      </c>
    </row>
    <row r="7" spans="2:22" x14ac:dyDescent="0.25">
      <c r="B7" s="2" t="s">
        <v>365</v>
      </c>
    </row>
    <row r="10" spans="2:22" s="8" customFormat="1" x14ac:dyDescent="0.25">
      <c r="B10" s="8" t="s">
        <v>45</v>
      </c>
      <c r="F10" s="8" t="s">
        <v>27</v>
      </c>
      <c r="H10" s="8" t="s">
        <v>28</v>
      </c>
      <c r="J10" s="8" t="s">
        <v>49</v>
      </c>
      <c r="L10" s="8" t="s">
        <v>165</v>
      </c>
      <c r="M10" s="8" t="s">
        <v>65</v>
      </c>
      <c r="N10" s="8" t="s">
        <v>66</v>
      </c>
      <c r="O10" s="8" t="s">
        <v>67</v>
      </c>
      <c r="P10" s="8" t="s">
        <v>68</v>
      </c>
      <c r="Q10" s="8" t="s">
        <v>69</v>
      </c>
      <c r="R10" s="8" t="s">
        <v>70</v>
      </c>
      <c r="T10" s="8" t="s">
        <v>46</v>
      </c>
      <c r="V10" s="8" t="s">
        <v>47</v>
      </c>
    </row>
    <row r="13" spans="2:22" s="8" customFormat="1" x14ac:dyDescent="0.25">
      <c r="B13" s="8" t="s">
        <v>169</v>
      </c>
    </row>
    <row r="15" spans="2:22" x14ac:dyDescent="0.25">
      <c r="B15" s="1" t="s">
        <v>374</v>
      </c>
    </row>
    <row r="16" spans="2:22" x14ac:dyDescent="0.2">
      <c r="B16" s="2" t="s">
        <v>158</v>
      </c>
      <c r="F16" s="80" t="s">
        <v>178</v>
      </c>
      <c r="J16" s="68">
        <f>SUM(L16:R16)</f>
        <v>1061451448.6256226</v>
      </c>
      <c r="L16" s="97">
        <f>'Input gewijzigde x-factoren'!L16</f>
        <v>19924881.148029286</v>
      </c>
      <c r="M16" s="97">
        <f>'Input gewijzigde x-factoren'!M16</f>
        <v>28195602.337017886</v>
      </c>
      <c r="N16" s="97">
        <f>'Input gewijzigde x-factoren'!N16</f>
        <v>325591422.80474234</v>
      </c>
      <c r="O16" s="97">
        <f>'Input gewijzigde x-factoren'!O16</f>
        <v>376018786.04688865</v>
      </c>
      <c r="P16" s="97">
        <f>'Input gewijzigde x-factoren'!P16</f>
        <v>16862366.761935793</v>
      </c>
      <c r="Q16" s="97">
        <f>'Input gewijzigde x-factoren'!Q16</f>
        <v>278984790.69003886</v>
      </c>
      <c r="R16" s="97">
        <f>'Input gewijzigde x-factoren'!R16</f>
        <v>15873598.83696973</v>
      </c>
    </row>
    <row r="17" spans="2:18" x14ac:dyDescent="0.2">
      <c r="B17" s="2" t="s">
        <v>159</v>
      </c>
      <c r="F17" s="80" t="s">
        <v>179</v>
      </c>
      <c r="J17" s="68">
        <f>SUM(L17:R17)</f>
        <v>1060622644.4634919</v>
      </c>
      <c r="L17" s="97">
        <f>'Input gewijzigde x-factoren'!L17</f>
        <v>19896986.314422045</v>
      </c>
      <c r="M17" s="97">
        <f>'Input gewijzigde x-factoren'!M17</f>
        <v>28161767.614213467</v>
      </c>
      <c r="N17" s="97">
        <f>'Input gewijzigde x-factoren'!N17</f>
        <v>325135594.81281573</v>
      </c>
      <c r="O17" s="97">
        <f>'Input gewijzigde x-factoren'!O17</f>
        <v>375943582.28967929</v>
      </c>
      <c r="P17" s="97">
        <f>'Input gewijzigde x-factoren'!P17</f>
        <v>16855621.815231018</v>
      </c>
      <c r="Q17" s="97">
        <f>'Input gewijzigde x-factoren'!Q17</f>
        <v>278817399.81562483</v>
      </c>
      <c r="R17" s="97">
        <f>'Input gewijzigde x-factoren'!R17</f>
        <v>15811691.801505547</v>
      </c>
    </row>
    <row r="18" spans="2:18" x14ac:dyDescent="0.2">
      <c r="B18" s="2" t="s">
        <v>161</v>
      </c>
      <c r="F18" s="80" t="s">
        <v>177</v>
      </c>
      <c r="J18" s="68">
        <f>SUM(L18:R18)</f>
        <v>1067219276.2369219</v>
      </c>
      <c r="L18" s="97">
        <f>'Input gewijzigde x-factoren'!L18</f>
        <v>20008409.437782809</v>
      </c>
      <c r="M18" s="97">
        <f>'Input gewijzigde x-factoren'!M18</f>
        <v>28325105.866375905</v>
      </c>
      <c r="N18" s="97">
        <f>'Input gewijzigde x-factoren'!N18</f>
        <v>326956354.14376754</v>
      </c>
      <c r="O18" s="97">
        <f>'Input gewijzigde x-factoren'!O18</f>
        <v>378499998.64924908</v>
      </c>
      <c r="P18" s="97">
        <f>'Input gewijzigde x-factoren'!P18</f>
        <v>16966868.91921154</v>
      </c>
      <c r="Q18" s="97">
        <f>'Input gewijzigde x-factoren'!Q18</f>
        <v>280601831.17444479</v>
      </c>
      <c r="R18" s="97">
        <f>'Input gewijzigde x-factoren'!R18</f>
        <v>15860708.046090212</v>
      </c>
    </row>
    <row r="19" spans="2:18" x14ac:dyDescent="0.2">
      <c r="B19" s="2" t="s">
        <v>224</v>
      </c>
      <c r="F19" s="80" t="s">
        <v>223</v>
      </c>
      <c r="J19" s="68">
        <f>SUM(L19:R19)</f>
        <v>1081327900.700803</v>
      </c>
      <c r="L19" s="97">
        <f>'Input gewijzigde x-factoren'!L19</f>
        <v>20260515.39669887</v>
      </c>
      <c r="M19" s="97">
        <f>'Input gewijzigde x-factoren'!M19</f>
        <v>28687667.221465513</v>
      </c>
      <c r="N19" s="97">
        <f>'Input gewijzigde x-factoren'!N19</f>
        <v>331076004.20597899</v>
      </c>
      <c r="O19" s="97">
        <f>'Input gewijzigde x-factoren'!O19</f>
        <v>383723298.63060874</v>
      </c>
      <c r="P19" s="97">
        <f>'Input gewijzigde x-factoren'!P19</f>
        <v>17197618.336512819</v>
      </c>
      <c r="Q19" s="97">
        <f>'Input gewijzigde x-factoren'!Q19</f>
        <v>284361895.7121824</v>
      </c>
      <c r="R19" s="97">
        <f>'Input gewijzigde x-factoren'!R19</f>
        <v>16020901.197355723</v>
      </c>
    </row>
    <row r="20" spans="2:18" x14ac:dyDescent="0.2">
      <c r="F20" s="80"/>
    </row>
    <row r="21" spans="2:18" x14ac:dyDescent="0.2">
      <c r="B21" s="40" t="s">
        <v>376</v>
      </c>
      <c r="F21" s="80"/>
    </row>
    <row r="22" spans="2:18" x14ac:dyDescent="0.2">
      <c r="B22" s="2" t="s">
        <v>407</v>
      </c>
      <c r="F22" s="166" t="s">
        <v>178</v>
      </c>
      <c r="J22" s="68">
        <f t="shared" ref="J22:J24" si="0">SUM(L22:R22)</f>
        <v>1651917.7589888643</v>
      </c>
      <c r="L22" s="97">
        <f>'Input gewijzigde x-factoren'!L22</f>
        <v>0</v>
      </c>
      <c r="M22" s="97">
        <f>'Input gewijzigde x-factoren'!M22</f>
        <v>1022669.2444810282</v>
      </c>
      <c r="N22" s="97">
        <f>'Input gewijzigde x-factoren'!N22</f>
        <v>629248.5145078362</v>
      </c>
      <c r="O22" s="97">
        <f>'Input gewijzigde x-factoren'!O22</f>
        <v>0</v>
      </c>
      <c r="P22" s="97">
        <f>'Input gewijzigde x-factoren'!P22</f>
        <v>0</v>
      </c>
      <c r="Q22" s="97">
        <f>'Input gewijzigde x-factoren'!Q22</f>
        <v>0</v>
      </c>
      <c r="R22" s="97">
        <f>'Input gewijzigde x-factoren'!R22</f>
        <v>0</v>
      </c>
    </row>
    <row r="23" spans="2:18" x14ac:dyDescent="0.2">
      <c r="B23" s="2" t="s">
        <v>408</v>
      </c>
      <c r="F23" s="166" t="s">
        <v>179</v>
      </c>
      <c r="J23" s="68">
        <f t="shared" si="0"/>
        <v>1663339.6963895415</v>
      </c>
      <c r="L23" s="97">
        <f>'Input gewijzigde x-factoren'!L23</f>
        <v>0</v>
      </c>
      <c r="M23" s="97">
        <f>'Input gewijzigde x-factoren'!M23</f>
        <v>1028007.088387119</v>
      </c>
      <c r="N23" s="97">
        <f>'Input gewijzigde x-factoren'!N23</f>
        <v>635332.60800242249</v>
      </c>
      <c r="O23" s="97">
        <f>'Input gewijzigde x-factoren'!O23</f>
        <v>0</v>
      </c>
      <c r="P23" s="97">
        <f>'Input gewijzigde x-factoren'!P23</f>
        <v>0</v>
      </c>
      <c r="Q23" s="97">
        <f>'Input gewijzigde x-factoren'!Q23</f>
        <v>0</v>
      </c>
      <c r="R23" s="97">
        <f>'Input gewijzigde x-factoren'!R23</f>
        <v>0</v>
      </c>
    </row>
    <row r="24" spans="2:18" x14ac:dyDescent="0.2">
      <c r="B24" s="2" t="s">
        <v>409</v>
      </c>
      <c r="F24" s="166" t="s">
        <v>177</v>
      </c>
      <c r="J24" s="68">
        <f t="shared" si="0"/>
        <v>1661640.3451831285</v>
      </c>
      <c r="L24" s="97">
        <f>'Input gewijzigde x-factoren'!L24</f>
        <v>0</v>
      </c>
      <c r="M24" s="97">
        <f>'Input gewijzigde x-factoren'!M24</f>
        <v>1024261.6855857448</v>
      </c>
      <c r="N24" s="97">
        <f>'Input gewijzigde x-factoren'!N24</f>
        <v>637378.6595973837</v>
      </c>
      <c r="O24" s="97">
        <f>'Input gewijzigde x-factoren'!O24</f>
        <v>0</v>
      </c>
      <c r="P24" s="97">
        <f>'Input gewijzigde x-factoren'!P24</f>
        <v>0</v>
      </c>
      <c r="Q24" s="97">
        <f>'Input gewijzigde x-factoren'!Q24</f>
        <v>0</v>
      </c>
      <c r="R24" s="97">
        <f>'Input gewijzigde x-factoren'!R24</f>
        <v>0</v>
      </c>
    </row>
    <row r="25" spans="2:18" x14ac:dyDescent="0.2">
      <c r="B25" s="2" t="s">
        <v>404</v>
      </c>
      <c r="F25" s="166" t="s">
        <v>132</v>
      </c>
      <c r="L25" s="119">
        <f>'Input gewijzigde x-factoren'!L25</f>
        <v>0</v>
      </c>
      <c r="M25" s="119">
        <f>'Input gewijzigde x-factoren'!M25</f>
        <v>3.5879423298864711E-2</v>
      </c>
      <c r="N25" s="119">
        <f>'Input gewijzigde x-factoren'!N25</f>
        <v>1.9070465116793412E-3</v>
      </c>
      <c r="O25" s="119">
        <f>'Input gewijzigde x-factoren'!O25</f>
        <v>0</v>
      </c>
      <c r="P25" s="119">
        <f>'Input gewijzigde x-factoren'!P25</f>
        <v>0</v>
      </c>
      <c r="Q25" s="119">
        <f>'Input gewijzigde x-factoren'!Q25</f>
        <v>0</v>
      </c>
      <c r="R25" s="119">
        <f>'Input gewijzigde x-factoren'!R25</f>
        <v>0</v>
      </c>
    </row>
    <row r="26" spans="2:18" x14ac:dyDescent="0.2">
      <c r="F26" s="80"/>
    </row>
    <row r="27" spans="2:18" x14ac:dyDescent="0.25">
      <c r="B27" s="40" t="s">
        <v>369</v>
      </c>
    </row>
    <row r="28" spans="2:18" x14ac:dyDescent="0.2">
      <c r="B28" s="2" t="s">
        <v>154</v>
      </c>
      <c r="F28" s="80" t="s">
        <v>176</v>
      </c>
      <c r="J28" s="68">
        <f>SUM(L28:R28)</f>
        <v>1090114432.4153564</v>
      </c>
      <c r="L28" s="97">
        <f>'Input x-factor, begininkomsten'!L14</f>
        <v>20487191.093370512</v>
      </c>
      <c r="M28" s="97">
        <f>'Input x-factor, begininkomsten'!M14</f>
        <v>28978029.685308009</v>
      </c>
      <c r="N28" s="97">
        <f>'Input x-factor, begininkomsten'!N14</f>
        <v>334771366.90920109</v>
      </c>
      <c r="O28" s="97">
        <f>'Input x-factor, begininkomsten'!O14</f>
        <v>385758605.7230584</v>
      </c>
      <c r="P28" s="97">
        <f>'Input x-factor, begininkomsten'!P14</f>
        <v>17302363.273569763</v>
      </c>
      <c r="Q28" s="97">
        <f>'Input x-factor, begininkomsten'!Q14</f>
        <v>286427922.36313856</v>
      </c>
      <c r="R28" s="97">
        <f>'Input x-factor, begininkomsten'!R14</f>
        <v>16388953.367710022</v>
      </c>
    </row>
    <row r="29" spans="2:18" x14ac:dyDescent="0.2">
      <c r="B29" s="2" t="s">
        <v>377</v>
      </c>
      <c r="F29" s="166" t="s">
        <v>176</v>
      </c>
      <c r="J29" s="68">
        <f>SUM(L29:R29)</f>
        <v>1732703.1755646085</v>
      </c>
      <c r="L29" s="97">
        <f>'Input richtbedragen'!L36</f>
        <v>0</v>
      </c>
      <c r="M29" s="97">
        <f>'Input richtbedragen'!M36</f>
        <v>1073958.6671368389</v>
      </c>
      <c r="N29" s="97">
        <f>'Input richtbedragen'!N36</f>
        <v>658744.50842776964</v>
      </c>
      <c r="O29" s="97">
        <f>'Input richtbedragen'!O36</f>
        <v>0</v>
      </c>
      <c r="P29" s="97">
        <f>'Input richtbedragen'!P36</f>
        <v>0</v>
      </c>
      <c r="Q29" s="97">
        <f>'Input richtbedragen'!Q36</f>
        <v>0</v>
      </c>
      <c r="R29" s="97">
        <f>'Input richtbedragen'!R36</f>
        <v>0</v>
      </c>
    </row>
    <row r="30" spans="2:18" x14ac:dyDescent="0.2">
      <c r="B30" s="2" t="s">
        <v>155</v>
      </c>
      <c r="F30" s="80" t="s">
        <v>76</v>
      </c>
      <c r="L30" s="63">
        <f>'Input x-factor, begininkomsten'!L17</f>
        <v>1.76</v>
      </c>
      <c r="M30" s="63">
        <f>'Input x-factor, begininkomsten'!M17</f>
        <v>1.74</v>
      </c>
      <c r="N30" s="63">
        <f>'Input x-factor, begininkomsten'!N17</f>
        <v>1.76</v>
      </c>
      <c r="O30" s="63">
        <f>'Input x-factor, begininkomsten'!O17</f>
        <v>1.63</v>
      </c>
      <c r="P30" s="63">
        <f>'Input x-factor, begininkomsten'!P17</f>
        <v>1.65</v>
      </c>
      <c r="Q30" s="63">
        <f>'Input x-factor, begininkomsten'!Q17</f>
        <v>1.67</v>
      </c>
      <c r="R30" s="63">
        <f>'Input x-factor, begininkomsten'!R17</f>
        <v>2.02</v>
      </c>
    </row>
    <row r="32" spans="2:18" x14ac:dyDescent="0.25">
      <c r="B32" s="1" t="s">
        <v>373</v>
      </c>
    </row>
    <row r="33" spans="2:8" x14ac:dyDescent="0.25">
      <c r="B33" s="2" t="s">
        <v>156</v>
      </c>
      <c r="F33" s="2" t="s">
        <v>132</v>
      </c>
      <c r="H33" s="104">
        <f>'Input parameters'!R19</f>
        <v>2E-3</v>
      </c>
    </row>
    <row r="34" spans="2:8" x14ac:dyDescent="0.25">
      <c r="B34" s="2" t="s">
        <v>157</v>
      </c>
      <c r="F34" s="2" t="s">
        <v>132</v>
      </c>
      <c r="H34" s="104">
        <f>'Input parameters'!S19</f>
        <v>1.4E-2</v>
      </c>
    </row>
    <row r="35" spans="2:8" x14ac:dyDescent="0.25">
      <c r="B35" s="34" t="s">
        <v>160</v>
      </c>
      <c r="F35" s="2" t="s">
        <v>132</v>
      </c>
      <c r="H35" s="104">
        <f>'Input parameters'!T19</f>
        <v>2.1000000000000001E-2</v>
      </c>
    </row>
    <row r="36" spans="2:8" x14ac:dyDescent="0.25">
      <c r="B36" s="2" t="s">
        <v>222</v>
      </c>
      <c r="F36" s="2" t="s">
        <v>132</v>
      </c>
      <c r="H36" s="104">
        <f>'Input parameters'!U19</f>
        <v>2.8000000000000001E-2</v>
      </c>
    </row>
    <row r="37" spans="2:8" x14ac:dyDescent="0.25">
      <c r="B37" s="34" t="s">
        <v>297</v>
      </c>
      <c r="F37" s="2" t="s">
        <v>132</v>
      </c>
      <c r="H37" s="104">
        <f>'Input parameters'!V19</f>
        <v>7.0000000000000001E-3</v>
      </c>
    </row>
    <row r="39" spans="2:8" x14ac:dyDescent="0.25">
      <c r="B39" s="1" t="s">
        <v>481</v>
      </c>
    </row>
    <row r="40" spans="2:8" x14ac:dyDescent="0.25">
      <c r="B40" s="2" t="s">
        <v>479</v>
      </c>
      <c r="F40" s="2" t="s">
        <v>132</v>
      </c>
      <c r="H40" s="104">
        <f>Parameters!V33</f>
        <v>0.16985856000000021</v>
      </c>
    </row>
    <row r="41" spans="2:8" x14ac:dyDescent="0.25">
      <c r="B41" s="2" t="s">
        <v>480</v>
      </c>
      <c r="F41" s="2" t="s">
        <v>132</v>
      </c>
      <c r="H41" s="104">
        <f>Parameters!V34</f>
        <v>0.12486400000000009</v>
      </c>
    </row>
    <row r="42" spans="2:8" x14ac:dyDescent="0.25">
      <c r="B42" s="2" t="s">
        <v>315</v>
      </c>
      <c r="F42" s="2" t="s">
        <v>132</v>
      </c>
      <c r="H42" s="104">
        <f>Parameters!V35</f>
        <v>8.1600000000000117E-2</v>
      </c>
    </row>
    <row r="43" spans="2:8" x14ac:dyDescent="0.25">
      <c r="B43" s="2" t="s">
        <v>310</v>
      </c>
      <c r="F43" s="2" t="s">
        <v>132</v>
      </c>
      <c r="H43" s="104">
        <f>Parameters!V36</f>
        <v>4.0000000000000036E-2</v>
      </c>
    </row>
    <row r="45" spans="2:8" x14ac:dyDescent="0.25">
      <c r="B45" s="40" t="s">
        <v>424</v>
      </c>
    </row>
    <row r="46" spans="2:8" x14ac:dyDescent="0.25">
      <c r="B46" s="2" t="s">
        <v>379</v>
      </c>
      <c r="H46" s="119">
        <f>'Input x-factor, begininkomsten'!H21</f>
        <v>1.0770378277281506E-2</v>
      </c>
    </row>
    <row r="48" spans="2:8" s="8" customFormat="1" x14ac:dyDescent="0.25">
      <c r="B48" s="8" t="s">
        <v>31</v>
      </c>
    </row>
    <row r="50" spans="2:18" x14ac:dyDescent="0.25">
      <c r="B50" s="40" t="s">
        <v>403</v>
      </c>
    </row>
    <row r="51" spans="2:18" x14ac:dyDescent="0.2">
      <c r="B51" s="2" t="s">
        <v>400</v>
      </c>
      <c r="F51" s="166" t="s">
        <v>178</v>
      </c>
      <c r="J51" s="68">
        <f t="shared" ref="J51:J54" si="1">SUM(L51:R51)</f>
        <v>1059799530.8666338</v>
      </c>
      <c r="L51" s="68">
        <f t="shared" ref="L51:R53" si="2">L16-L22</f>
        <v>19924881.148029286</v>
      </c>
      <c r="M51" s="68">
        <f t="shared" si="2"/>
        <v>27172933.092536859</v>
      </c>
      <c r="N51" s="68">
        <f t="shared" si="2"/>
        <v>324962174.29023451</v>
      </c>
      <c r="O51" s="68">
        <f t="shared" si="2"/>
        <v>376018786.04688865</v>
      </c>
      <c r="P51" s="68">
        <f t="shared" si="2"/>
        <v>16862366.761935793</v>
      </c>
      <c r="Q51" s="68">
        <f t="shared" si="2"/>
        <v>278984790.69003886</v>
      </c>
      <c r="R51" s="68">
        <f t="shared" si="2"/>
        <v>15873598.83696973</v>
      </c>
    </row>
    <row r="52" spans="2:18" x14ac:dyDescent="0.2">
      <c r="B52" s="2" t="s">
        <v>425</v>
      </c>
      <c r="F52" s="166" t="s">
        <v>179</v>
      </c>
      <c r="J52" s="68">
        <f t="shared" si="1"/>
        <v>1058959304.7671024</v>
      </c>
      <c r="L52" s="68">
        <f t="shared" si="2"/>
        <v>19896986.314422045</v>
      </c>
      <c r="M52" s="68">
        <f t="shared" si="2"/>
        <v>27133760.525826346</v>
      </c>
      <c r="N52" s="68">
        <f t="shared" si="2"/>
        <v>324500262.2048133</v>
      </c>
      <c r="O52" s="68">
        <f t="shared" si="2"/>
        <v>375943582.28967929</v>
      </c>
      <c r="P52" s="68">
        <f t="shared" si="2"/>
        <v>16855621.815231018</v>
      </c>
      <c r="Q52" s="68">
        <f t="shared" si="2"/>
        <v>278817399.81562483</v>
      </c>
      <c r="R52" s="68">
        <f t="shared" si="2"/>
        <v>15811691.801505547</v>
      </c>
    </row>
    <row r="53" spans="2:18" x14ac:dyDescent="0.2">
      <c r="B53" s="2" t="s">
        <v>426</v>
      </c>
      <c r="F53" s="166" t="s">
        <v>177</v>
      </c>
      <c r="J53" s="68">
        <f t="shared" si="1"/>
        <v>1065557635.8917388</v>
      </c>
      <c r="L53" s="68">
        <f t="shared" si="2"/>
        <v>20008409.437782809</v>
      </c>
      <c r="M53" s="68">
        <f t="shared" si="2"/>
        <v>27300844.18079016</v>
      </c>
      <c r="N53" s="68">
        <f t="shared" si="2"/>
        <v>326318975.48417014</v>
      </c>
      <c r="O53" s="68">
        <f t="shared" si="2"/>
        <v>378499998.64924908</v>
      </c>
      <c r="P53" s="68">
        <f t="shared" si="2"/>
        <v>16966868.91921154</v>
      </c>
      <c r="Q53" s="68">
        <f t="shared" si="2"/>
        <v>280601831.17444479</v>
      </c>
      <c r="R53" s="68">
        <f t="shared" si="2"/>
        <v>15860708.046090212</v>
      </c>
    </row>
    <row r="54" spans="2:18" x14ac:dyDescent="0.2">
      <c r="B54" s="2" t="s">
        <v>427</v>
      </c>
      <c r="F54" s="166" t="s">
        <v>223</v>
      </c>
      <c r="J54" s="68">
        <f t="shared" si="1"/>
        <v>1079667226.4061852</v>
      </c>
      <c r="L54" s="68">
        <f t="shared" ref="L54:R54" si="3">L19*(1-L25)</f>
        <v>20260515.39669887</v>
      </c>
      <c r="M54" s="68">
        <f t="shared" si="3"/>
        <v>27658370.265769586</v>
      </c>
      <c r="N54" s="68">
        <f t="shared" si="3"/>
        <v>330444626.8670572</v>
      </c>
      <c r="O54" s="68">
        <f t="shared" si="3"/>
        <v>383723298.63060874</v>
      </c>
      <c r="P54" s="68">
        <f t="shared" si="3"/>
        <v>17197618.336512819</v>
      </c>
      <c r="Q54" s="68">
        <f t="shared" si="3"/>
        <v>284361895.7121824</v>
      </c>
      <c r="R54" s="68">
        <f t="shared" si="3"/>
        <v>16020901.197355723</v>
      </c>
    </row>
    <row r="56" spans="2:18" x14ac:dyDescent="0.25">
      <c r="B56" s="1" t="s">
        <v>375</v>
      </c>
    </row>
    <row r="57" spans="2:18" x14ac:dyDescent="0.2">
      <c r="B57" s="2" t="s">
        <v>400</v>
      </c>
      <c r="F57" s="80" t="s">
        <v>178</v>
      </c>
      <c r="J57" s="68">
        <f>SUM(L57:R57)</f>
        <v>1072144247.7162663</v>
      </c>
      <c r="L57" s="68">
        <f t="shared" ref="L57:R57" si="4">(L28-L29)*(1-L$30/100+$H33)</f>
        <v>20167590.912313934</v>
      </c>
      <c r="M57" s="68">
        <f t="shared" si="4"/>
        <v>27474348.324491333</v>
      </c>
      <c r="N57" s="68">
        <f t="shared" si="4"/>
        <v>328900465.49132127</v>
      </c>
      <c r="O57" s="68">
        <f t="shared" si="4"/>
        <v>380242257.6612187</v>
      </c>
      <c r="P57" s="68">
        <f t="shared" si="4"/>
        <v>17051479.006103002</v>
      </c>
      <c r="Q57" s="68">
        <f t="shared" si="4"/>
        <v>282217431.90440041</v>
      </c>
      <c r="R57" s="68">
        <f t="shared" si="4"/>
        <v>16090674.416417699</v>
      </c>
    </row>
    <row r="58" spans="2:18" x14ac:dyDescent="0.2">
      <c r="B58" s="2" t="s">
        <v>425</v>
      </c>
      <c r="F58" s="80" t="s">
        <v>179</v>
      </c>
      <c r="J58" s="68">
        <f>SUM(L58:R58)</f>
        <v>1069015254.7912502</v>
      </c>
      <c r="L58" s="68">
        <f t="shared" ref="L58:R60" si="5">L57*(1-L$30/100+$H34)</f>
        <v>20094987.585029606</v>
      </c>
      <c r="M58" s="68">
        <f t="shared" si="5"/>
        <v>27380935.540188063</v>
      </c>
      <c r="N58" s="68">
        <f t="shared" si="5"/>
        <v>327716423.81555253</v>
      </c>
      <c r="O58" s="68">
        <f t="shared" si="5"/>
        <v>379367700.46859789</v>
      </c>
      <c r="P58" s="68">
        <f t="shared" si="5"/>
        <v>17008850.308587745</v>
      </c>
      <c r="Q58" s="68">
        <f t="shared" si="5"/>
        <v>281455444.8382585</v>
      </c>
      <c r="R58" s="68">
        <f t="shared" si="5"/>
        <v>15990912.235035909</v>
      </c>
    </row>
    <row r="59" spans="2:18" x14ac:dyDescent="0.2">
      <c r="B59" s="2" t="s">
        <v>426</v>
      </c>
      <c r="F59" s="80" t="s">
        <v>177</v>
      </c>
      <c r="J59" s="68">
        <f>SUM(L59:R59)</f>
        <v>1073379004.1191405</v>
      </c>
      <c r="L59" s="68">
        <f t="shared" si="5"/>
        <v>20163310.542818706</v>
      </c>
      <c r="M59" s="68">
        <f t="shared" si="5"/>
        <v>27479506.908132743</v>
      </c>
      <c r="N59" s="68">
        <f t="shared" si="5"/>
        <v>328830659.65652543</v>
      </c>
      <c r="O59" s="68">
        <f t="shared" si="5"/>
        <v>381150728.66080028</v>
      </c>
      <c r="P59" s="68">
        <f t="shared" si="5"/>
        <v>17085390.134976387</v>
      </c>
      <c r="Q59" s="68">
        <f t="shared" si="5"/>
        <v>282665703.25106299</v>
      </c>
      <c r="R59" s="68">
        <f t="shared" si="5"/>
        <v>16003704.964823937</v>
      </c>
    </row>
    <row r="60" spans="2:18" x14ac:dyDescent="0.2">
      <c r="B60" s="2" t="s">
        <v>427</v>
      </c>
      <c r="F60" s="80" t="s">
        <v>223</v>
      </c>
      <c r="J60" s="68">
        <f>SUM(L60:R60)</f>
        <v>1085274721.0397859</v>
      </c>
      <c r="L60" s="68">
        <f t="shared" si="5"/>
        <v>20373008.972464021</v>
      </c>
      <c r="M60" s="68">
        <f t="shared" si="5"/>
        <v>27770789.681358948</v>
      </c>
      <c r="N60" s="68">
        <f t="shared" si="5"/>
        <v>332250498.51695329</v>
      </c>
      <c r="O60" s="68">
        <f t="shared" si="5"/>
        <v>385610192.18613166</v>
      </c>
      <c r="P60" s="68">
        <f t="shared" si="5"/>
        <v>17281872.121528618</v>
      </c>
      <c r="Q60" s="68">
        <f t="shared" si="5"/>
        <v>285859825.69779998</v>
      </c>
      <c r="R60" s="68">
        <f t="shared" si="5"/>
        <v>16128533.863549564</v>
      </c>
    </row>
    <row r="62" spans="2:18" x14ac:dyDescent="0.25">
      <c r="B62" s="1" t="s">
        <v>383</v>
      </c>
    </row>
    <row r="63" spans="2:18" x14ac:dyDescent="0.2">
      <c r="B63" s="2" t="s">
        <v>384</v>
      </c>
      <c r="F63" s="166" t="s">
        <v>178</v>
      </c>
      <c r="J63" s="68">
        <f>SUM(L63:R63)</f>
        <v>12344716.849632662</v>
      </c>
      <c r="L63" s="68">
        <f>L57-L51</f>
        <v>242709.764284648</v>
      </c>
      <c r="M63" s="68">
        <f t="shared" ref="M63:R63" si="6">M57-M51</f>
        <v>301415.231954474</v>
      </c>
      <c r="N63" s="68">
        <f t="shared" si="6"/>
        <v>3938291.2010867596</v>
      </c>
      <c r="O63" s="68">
        <f t="shared" si="6"/>
        <v>4223471.6143300533</v>
      </c>
      <c r="P63" s="68">
        <f t="shared" si="6"/>
        <v>189112.24416720867</v>
      </c>
      <c r="Q63" s="68">
        <f t="shared" si="6"/>
        <v>3232641.2143615484</v>
      </c>
      <c r="R63" s="68">
        <f t="shared" si="6"/>
        <v>217075.57944796979</v>
      </c>
    </row>
    <row r="64" spans="2:18" x14ac:dyDescent="0.2">
      <c r="B64" s="2" t="s">
        <v>385</v>
      </c>
      <c r="F64" s="166" t="s">
        <v>179</v>
      </c>
      <c r="J64" s="68">
        <f>SUM(L64:R64)</f>
        <v>10055950.02414787</v>
      </c>
      <c r="L64" s="68">
        <f t="shared" ref="L64:R66" si="7">L58-L52</f>
        <v>198001.27060756087</v>
      </c>
      <c r="M64" s="68">
        <f t="shared" si="7"/>
        <v>247175.01436171681</v>
      </c>
      <c r="N64" s="68">
        <f t="shared" si="7"/>
        <v>3216161.6107392311</v>
      </c>
      <c r="O64" s="68">
        <f t="shared" si="7"/>
        <v>3424118.1789186001</v>
      </c>
      <c r="P64" s="68">
        <f t="shared" si="7"/>
        <v>153228.49335672706</v>
      </c>
      <c r="Q64" s="68">
        <f t="shared" si="7"/>
        <v>2638045.0226336718</v>
      </c>
      <c r="R64" s="68">
        <f t="shared" si="7"/>
        <v>179220.43353036232</v>
      </c>
    </row>
    <row r="65" spans="2:18" x14ac:dyDescent="0.2">
      <c r="B65" s="2" t="s">
        <v>386</v>
      </c>
      <c r="F65" s="166" t="s">
        <v>177</v>
      </c>
      <c r="J65" s="68">
        <f>SUM(L65:R65)</f>
        <v>7821368.2274017427</v>
      </c>
      <c r="L65" s="68">
        <f t="shared" si="7"/>
        <v>154901.10503589734</v>
      </c>
      <c r="M65" s="68">
        <f t="shared" si="7"/>
        <v>178662.72734258324</v>
      </c>
      <c r="N65" s="68">
        <f t="shared" si="7"/>
        <v>2511684.1723552942</v>
      </c>
      <c r="O65" s="68">
        <f t="shared" si="7"/>
        <v>2650730.0115512013</v>
      </c>
      <c r="P65" s="68">
        <f t="shared" si="7"/>
        <v>118521.21576484665</v>
      </c>
      <c r="Q65" s="68">
        <f t="shared" si="7"/>
        <v>2063872.0766181946</v>
      </c>
      <c r="R65" s="68">
        <f t="shared" si="7"/>
        <v>142996.91873372532</v>
      </c>
    </row>
    <row r="66" spans="2:18" x14ac:dyDescent="0.2">
      <c r="B66" s="2" t="s">
        <v>387</v>
      </c>
      <c r="F66" s="166" t="s">
        <v>223</v>
      </c>
      <c r="J66" s="68">
        <f>SUM(L66:R66)</f>
        <v>5607494.633600736</v>
      </c>
      <c r="L66" s="68">
        <f t="shared" si="7"/>
        <v>112493.57576515153</v>
      </c>
      <c r="M66" s="68">
        <f t="shared" si="7"/>
        <v>112419.41558936238</v>
      </c>
      <c r="N66" s="68">
        <f t="shared" si="7"/>
        <v>1805871.6498960853</v>
      </c>
      <c r="O66" s="68">
        <f t="shared" si="7"/>
        <v>1886893.5555229187</v>
      </c>
      <c r="P66" s="68">
        <f t="shared" si="7"/>
        <v>84253.785015799105</v>
      </c>
      <c r="Q66" s="68">
        <f t="shared" si="7"/>
        <v>1497929.985617578</v>
      </c>
      <c r="R66" s="68">
        <f t="shared" si="7"/>
        <v>107632.66619384103</v>
      </c>
    </row>
    <row r="68" spans="2:18" x14ac:dyDescent="0.2">
      <c r="B68" s="164" t="s">
        <v>378</v>
      </c>
      <c r="F68" s="165" t="s">
        <v>178</v>
      </c>
      <c r="J68" s="68">
        <f>SUM(L68:R68)</f>
        <v>0</v>
      </c>
      <c r="L68" s="163"/>
      <c r="M68" s="163"/>
      <c r="N68" s="68">
        <f>Q63*($H$46)*0.5</f>
        <v>17408.384356702263</v>
      </c>
      <c r="O68" s="163"/>
      <c r="P68" s="163"/>
      <c r="Q68" s="68">
        <f>Q63*-($H$46)*0.5</f>
        <v>-17408.384356702263</v>
      </c>
      <c r="R68" s="163"/>
    </row>
    <row r="69" spans="2:18" x14ac:dyDescent="0.2">
      <c r="B69" s="164" t="s">
        <v>380</v>
      </c>
      <c r="F69" s="165" t="s">
        <v>179</v>
      </c>
      <c r="J69" s="68">
        <f>SUM(L69:R69)</f>
        <v>0</v>
      </c>
      <c r="L69" s="163"/>
      <c r="M69" s="163"/>
      <c r="N69" s="68">
        <f>Q64*($H$46)</f>
        <v>28412.742806264298</v>
      </c>
      <c r="O69" s="163"/>
      <c r="P69" s="163"/>
      <c r="Q69" s="68">
        <f>Q64*-($H$46)</f>
        <v>-28412.742806264298</v>
      </c>
      <c r="R69" s="163"/>
    </row>
    <row r="70" spans="2:18" x14ac:dyDescent="0.2">
      <c r="B70" s="164" t="s">
        <v>381</v>
      </c>
      <c r="F70" s="165" t="s">
        <v>177</v>
      </c>
      <c r="J70" s="68">
        <f>SUM(L70:R70)</f>
        <v>0</v>
      </c>
      <c r="L70" s="163"/>
      <c r="M70" s="163"/>
      <c r="N70" s="68">
        <f>Q65*($H$46)</f>
        <v>22228.682981096474</v>
      </c>
      <c r="O70" s="163"/>
      <c r="P70" s="163"/>
      <c r="Q70" s="68">
        <f t="shared" ref="Q70:Q71" si="8">Q65*-($H$46)</f>
        <v>-22228.682981096474</v>
      </c>
      <c r="R70" s="163"/>
    </row>
    <row r="71" spans="2:18" x14ac:dyDescent="0.2">
      <c r="B71" s="164" t="s">
        <v>382</v>
      </c>
      <c r="F71" s="165" t="s">
        <v>223</v>
      </c>
      <c r="J71" s="68">
        <f>SUM(L71:R71)</f>
        <v>0</v>
      </c>
      <c r="L71" s="163"/>
      <c r="M71" s="163"/>
      <c r="N71" s="68">
        <f>Q66*($H$46)</f>
        <v>16133.27257798416</v>
      </c>
      <c r="O71" s="163"/>
      <c r="P71" s="163"/>
      <c r="Q71" s="68">
        <f t="shared" si="8"/>
        <v>-16133.27257798416</v>
      </c>
      <c r="R71" s="163"/>
    </row>
    <row r="73" spans="2:18" x14ac:dyDescent="0.2">
      <c r="B73" s="2" t="s">
        <v>388</v>
      </c>
      <c r="F73" s="166" t="s">
        <v>178</v>
      </c>
      <c r="J73" s="68">
        <f>SUM(L73:R73)</f>
        <v>12344716.849632662</v>
      </c>
      <c r="L73" s="68">
        <f>L63+L68</f>
        <v>242709.764284648</v>
      </c>
      <c r="M73" s="68">
        <f t="shared" ref="M73:R73" si="9">M63+M68</f>
        <v>301415.231954474</v>
      </c>
      <c r="N73" s="68">
        <f t="shared" si="9"/>
        <v>3955699.5854434618</v>
      </c>
      <c r="O73" s="68">
        <f t="shared" si="9"/>
        <v>4223471.6143300533</v>
      </c>
      <c r="P73" s="68">
        <f t="shared" si="9"/>
        <v>189112.24416720867</v>
      </c>
      <c r="Q73" s="68">
        <f t="shared" si="9"/>
        <v>3215232.8300048462</v>
      </c>
      <c r="R73" s="68">
        <f t="shared" si="9"/>
        <v>217075.57944796979</v>
      </c>
    </row>
    <row r="74" spans="2:18" x14ac:dyDescent="0.2">
      <c r="B74" s="2" t="s">
        <v>389</v>
      </c>
      <c r="F74" s="166" t="s">
        <v>179</v>
      </c>
      <c r="J74" s="68">
        <f>SUM(L74:R74)</f>
        <v>10055950.02414787</v>
      </c>
      <c r="L74" s="68">
        <f t="shared" ref="L74:R76" si="10">L64+L69</f>
        <v>198001.27060756087</v>
      </c>
      <c r="M74" s="68">
        <f t="shared" si="10"/>
        <v>247175.01436171681</v>
      </c>
      <c r="N74" s="68">
        <f t="shared" si="10"/>
        <v>3244574.3535454953</v>
      </c>
      <c r="O74" s="68">
        <f t="shared" si="10"/>
        <v>3424118.1789186001</v>
      </c>
      <c r="P74" s="68">
        <f t="shared" si="10"/>
        <v>153228.49335672706</v>
      </c>
      <c r="Q74" s="68">
        <f t="shared" si="10"/>
        <v>2609632.2798274076</v>
      </c>
      <c r="R74" s="68">
        <f t="shared" si="10"/>
        <v>179220.43353036232</v>
      </c>
    </row>
    <row r="75" spans="2:18" x14ac:dyDescent="0.2">
      <c r="B75" s="2" t="s">
        <v>390</v>
      </c>
      <c r="F75" s="166" t="s">
        <v>177</v>
      </c>
      <c r="J75" s="68">
        <f>SUM(L75:R75)</f>
        <v>7821368.2274017427</v>
      </c>
      <c r="L75" s="68">
        <f t="shared" si="10"/>
        <v>154901.10503589734</v>
      </c>
      <c r="M75" s="68">
        <f t="shared" si="10"/>
        <v>178662.72734258324</v>
      </c>
      <c r="N75" s="68">
        <f t="shared" si="10"/>
        <v>2533912.8553363909</v>
      </c>
      <c r="O75" s="68">
        <f t="shared" si="10"/>
        <v>2650730.0115512013</v>
      </c>
      <c r="P75" s="68">
        <f t="shared" si="10"/>
        <v>118521.21576484665</v>
      </c>
      <c r="Q75" s="68">
        <f t="shared" si="10"/>
        <v>2041643.3936370981</v>
      </c>
      <c r="R75" s="68">
        <f t="shared" si="10"/>
        <v>142996.91873372532</v>
      </c>
    </row>
    <row r="76" spans="2:18" x14ac:dyDescent="0.2">
      <c r="B76" s="2" t="s">
        <v>391</v>
      </c>
      <c r="F76" s="166" t="s">
        <v>223</v>
      </c>
      <c r="J76" s="68">
        <f>SUM(L76:R76)</f>
        <v>5607494.633600736</v>
      </c>
      <c r="L76" s="68">
        <f t="shared" si="10"/>
        <v>112493.57576515153</v>
      </c>
      <c r="M76" s="68">
        <f t="shared" si="10"/>
        <v>112419.41558936238</v>
      </c>
      <c r="N76" s="68">
        <f t="shared" si="10"/>
        <v>1822004.9224740695</v>
      </c>
      <c r="O76" s="68">
        <f t="shared" si="10"/>
        <v>1886893.5555229187</v>
      </c>
      <c r="P76" s="68">
        <f t="shared" si="10"/>
        <v>84253.785015799105</v>
      </c>
      <c r="Q76" s="68">
        <f t="shared" si="10"/>
        <v>1481796.7130395938</v>
      </c>
      <c r="R76" s="68">
        <f t="shared" si="10"/>
        <v>107632.66619384103</v>
      </c>
    </row>
    <row r="78" spans="2:18" x14ac:dyDescent="0.25">
      <c r="B78" s="1" t="s">
        <v>392</v>
      </c>
    </row>
    <row r="79" spans="2:18" x14ac:dyDescent="0.2">
      <c r="B79" s="2" t="s">
        <v>388</v>
      </c>
      <c r="F79" s="166" t="s">
        <v>265</v>
      </c>
      <c r="J79" s="68">
        <f>SUM(L79:R79)</f>
        <v>14441572.677319007</v>
      </c>
      <c r="L79" s="67">
        <f>L73*(1+$H40)</f>
        <v>283936.09534397779</v>
      </c>
      <c r="M79" s="67">
        <f t="shared" ref="M79:R79" si="11">M73*(1+$H40)</f>
        <v>352613.18921632698</v>
      </c>
      <c r="N79" s="67">
        <f t="shared" si="11"/>
        <v>4627609.0208194861</v>
      </c>
      <c r="O79" s="67">
        <f t="shared" si="11"/>
        <v>4940864.4209410325</v>
      </c>
      <c r="P79" s="67">
        <f t="shared" si="11"/>
        <v>221234.57763981918</v>
      </c>
      <c r="Q79" s="67">
        <f t="shared" si="11"/>
        <v>3761367.6485741949</v>
      </c>
      <c r="R79" s="67">
        <f t="shared" si="11"/>
        <v>253947.72478416757</v>
      </c>
    </row>
    <row r="80" spans="2:18" x14ac:dyDescent="0.2">
      <c r="B80" s="2" t="s">
        <v>389</v>
      </c>
      <c r="F80" s="166" t="s">
        <v>265</v>
      </c>
      <c r="J80" s="68">
        <f>SUM(L80:R80)</f>
        <v>11311576.167963069</v>
      </c>
      <c r="L80" s="67">
        <f>L74*(1+$H41)</f>
        <v>222724.50126070337</v>
      </c>
      <c r="M80" s="67">
        <f t="shared" ref="M80:R80" si="12">M74*(1+$H41)</f>
        <v>278038.27535497822</v>
      </c>
      <c r="N80" s="67">
        <f t="shared" si="12"/>
        <v>3649704.8856266001</v>
      </c>
      <c r="O80" s="67">
        <f t="shared" si="12"/>
        <v>3851667.2712110924</v>
      </c>
      <c r="P80" s="67">
        <f t="shared" si="12"/>
        <v>172361.21595122144</v>
      </c>
      <c r="Q80" s="67">
        <f t="shared" si="12"/>
        <v>2935481.4048157772</v>
      </c>
      <c r="R80" s="67">
        <f t="shared" si="12"/>
        <v>201598.61374269749</v>
      </c>
    </row>
    <row r="81" spans="2:18" x14ac:dyDescent="0.2">
      <c r="B81" s="2" t="s">
        <v>390</v>
      </c>
      <c r="F81" s="166" t="s">
        <v>265</v>
      </c>
      <c r="J81" s="68">
        <f>SUM(L81:R81)</f>
        <v>8459591.8747577257</v>
      </c>
      <c r="L81" s="67">
        <f>L75*(1+$H42)</f>
        <v>167541.03520682658</v>
      </c>
      <c r="M81" s="67">
        <f t="shared" ref="M81:R81" si="13">M75*(1+$H42)</f>
        <v>193241.60589373804</v>
      </c>
      <c r="N81" s="67">
        <f t="shared" si="13"/>
        <v>2740680.1443318408</v>
      </c>
      <c r="O81" s="67">
        <f t="shared" si="13"/>
        <v>2867029.5804937799</v>
      </c>
      <c r="P81" s="67">
        <f t="shared" si="13"/>
        <v>128192.54697125815</v>
      </c>
      <c r="Q81" s="67">
        <f t="shared" si="13"/>
        <v>2208241.4945578855</v>
      </c>
      <c r="R81" s="67">
        <f t="shared" si="13"/>
        <v>154665.46730239733</v>
      </c>
    </row>
    <row r="82" spans="2:18" x14ac:dyDescent="0.2">
      <c r="B82" s="2" t="s">
        <v>391</v>
      </c>
      <c r="F82" s="166" t="s">
        <v>265</v>
      </c>
      <c r="J82" s="68">
        <f>SUM(L82:R82)</f>
        <v>5831794.4189447649</v>
      </c>
      <c r="L82" s="67">
        <f>L76*(1+$H43)</f>
        <v>116993.3187957576</v>
      </c>
      <c r="M82" s="67">
        <f t="shared" ref="M82:R82" si="14">M76*(1+$H43)</f>
        <v>116916.19221293688</v>
      </c>
      <c r="N82" s="67">
        <f t="shared" si="14"/>
        <v>1894885.1193730324</v>
      </c>
      <c r="O82" s="67">
        <f t="shared" si="14"/>
        <v>1962369.2977438355</v>
      </c>
      <c r="P82" s="67">
        <f t="shared" si="14"/>
        <v>87623.936416431068</v>
      </c>
      <c r="Q82" s="67">
        <f t="shared" si="14"/>
        <v>1541068.5815611775</v>
      </c>
      <c r="R82" s="67">
        <f t="shared" si="14"/>
        <v>111937.97284159467</v>
      </c>
    </row>
    <row r="84" spans="2:18" x14ac:dyDescent="0.2">
      <c r="B84" s="1" t="s">
        <v>393</v>
      </c>
      <c r="F84" s="166" t="s">
        <v>265</v>
      </c>
      <c r="J84" s="68">
        <f>SUM(L84:R84)</f>
        <v>40044535.138984568</v>
      </c>
      <c r="L84" s="67">
        <f>SUM(L79:L82)</f>
        <v>791194.95060726535</v>
      </c>
      <c r="M84" s="67">
        <f t="shared" ref="M84:R84" si="15">SUM(M79:M82)</f>
        <v>940809.26267798012</v>
      </c>
      <c r="N84" s="67">
        <f t="shared" si="15"/>
        <v>12912879.17015096</v>
      </c>
      <c r="O84" s="67">
        <f t="shared" si="15"/>
        <v>13621930.57038974</v>
      </c>
      <c r="P84" s="67">
        <f t="shared" si="15"/>
        <v>609412.27697872987</v>
      </c>
      <c r="Q84" s="67">
        <f t="shared" si="15"/>
        <v>10446159.129509035</v>
      </c>
      <c r="R84" s="67">
        <f t="shared" si="15"/>
        <v>722149.77867085708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R56"/>
  <sheetViews>
    <sheetView showGridLines="0" zoomScale="85" zoomScaleNormal="85" workbookViewId="0">
      <pane ySplit="3" topLeftCell="A4" activePane="bottomLeft" state="frozen"/>
      <selection activeCell="A4" sqref="A4"/>
      <selection pane="bottomLeft" activeCell="A4" sqref="A4"/>
    </sheetView>
  </sheetViews>
  <sheetFormatPr defaultRowHeight="12.75" x14ac:dyDescent="0.25"/>
  <cols>
    <col min="1" max="7" width="9.140625" style="2" customWidth="1"/>
    <col min="8" max="16384" width="9.140625" style="2"/>
  </cols>
  <sheetData>
    <row r="2" spans="2:18" s="14" customFormat="1" ht="18" x14ac:dyDescent="0.25">
      <c r="B2" s="4" t="s">
        <v>53</v>
      </c>
      <c r="D2" s="36"/>
    </row>
    <row r="4" spans="2:18" s="8" customFormat="1" x14ac:dyDescent="0.25">
      <c r="B4" s="8" t="s">
        <v>14</v>
      </c>
    </row>
    <row r="6" spans="2:18" x14ac:dyDescent="0.2">
      <c r="B6" s="81" t="s">
        <v>280</v>
      </c>
    </row>
    <row r="7" spans="2:18" x14ac:dyDescent="0.2">
      <c r="B7" s="41" t="s">
        <v>281</v>
      </c>
    </row>
    <row r="8" spans="2:18" x14ac:dyDescent="0.2">
      <c r="B8" s="122" t="s">
        <v>282</v>
      </c>
    </row>
    <row r="9" spans="2:18" x14ac:dyDescent="0.2">
      <c r="B9" s="122"/>
    </row>
    <row r="10" spans="2:18" s="8" customFormat="1" x14ac:dyDescent="0.25">
      <c r="B10" s="8" t="s">
        <v>61</v>
      </c>
    </row>
    <row r="12" spans="2:18" s="123" customFormat="1" ht="15" x14ac:dyDescent="0.25"/>
    <row r="13" spans="2:18" s="123" customFormat="1" ht="15" x14ac:dyDescent="0.25">
      <c r="B13" s="124"/>
      <c r="C13" s="124"/>
      <c r="D13" s="124"/>
      <c r="E13" s="124"/>
      <c r="F13" s="124"/>
      <c r="G13" s="124"/>
      <c r="H13" s="124"/>
      <c r="I13" s="124"/>
      <c r="J13" s="124"/>
      <c r="K13" s="124"/>
      <c r="L13" s="124"/>
      <c r="M13" s="124"/>
      <c r="N13" s="124"/>
      <c r="O13" s="124"/>
      <c r="P13" s="124"/>
      <c r="Q13" s="124"/>
      <c r="R13" s="125"/>
    </row>
    <row r="14" spans="2:18" s="123" customFormat="1" ht="15" x14ac:dyDescent="0.25">
      <c r="B14" s="124"/>
      <c r="C14" s="124"/>
      <c r="D14" s="124"/>
      <c r="E14" s="124"/>
      <c r="F14" s="124"/>
      <c r="G14" s="124"/>
      <c r="H14" s="124"/>
      <c r="I14" s="124"/>
      <c r="J14" s="124"/>
      <c r="K14" s="124"/>
      <c r="L14" s="124"/>
      <c r="M14" s="124"/>
      <c r="N14" s="124"/>
      <c r="O14" s="124"/>
      <c r="P14" s="124"/>
      <c r="Q14" s="124"/>
      <c r="R14" s="125"/>
    </row>
    <row r="15" spans="2:18" s="123" customFormat="1" ht="15" x14ac:dyDescent="0.25">
      <c r="B15" s="124"/>
      <c r="C15" s="124"/>
      <c r="D15" s="124"/>
      <c r="E15" s="124"/>
      <c r="F15" s="124"/>
      <c r="G15" s="124"/>
      <c r="H15" s="124"/>
      <c r="I15" s="124"/>
      <c r="J15" s="124"/>
      <c r="K15" s="124"/>
      <c r="L15" s="124"/>
      <c r="M15" s="124"/>
      <c r="N15" s="124"/>
      <c r="O15" s="124"/>
      <c r="P15" s="124"/>
      <c r="Q15" s="124"/>
      <c r="R15" s="125"/>
    </row>
    <row r="16" spans="2:18" s="123" customFormat="1" ht="15" x14ac:dyDescent="0.25">
      <c r="B16" s="124"/>
      <c r="C16" s="124"/>
      <c r="D16" s="124"/>
      <c r="E16" s="124"/>
      <c r="F16" s="124"/>
      <c r="G16" s="124"/>
      <c r="H16" s="124"/>
      <c r="I16" s="124"/>
      <c r="J16" s="124"/>
      <c r="K16" s="124"/>
      <c r="L16" s="124"/>
      <c r="M16" s="124"/>
      <c r="N16" s="124"/>
      <c r="O16" s="124"/>
      <c r="P16" s="124"/>
      <c r="Q16" s="124"/>
      <c r="R16" s="125"/>
    </row>
    <row r="17" spans="2:18" s="123" customFormat="1" ht="15" x14ac:dyDescent="0.25">
      <c r="B17" s="124"/>
      <c r="C17" s="124"/>
      <c r="D17" s="124"/>
      <c r="E17" s="124"/>
      <c r="F17" s="124"/>
      <c r="G17" s="124"/>
      <c r="H17" s="124"/>
      <c r="I17" s="124"/>
      <c r="J17" s="124"/>
      <c r="K17" s="124"/>
      <c r="L17" s="124"/>
      <c r="M17" s="124"/>
      <c r="N17" s="124"/>
      <c r="O17" s="124"/>
      <c r="P17" s="124"/>
      <c r="Q17" s="124"/>
      <c r="R17" s="125"/>
    </row>
    <row r="18" spans="2:18" s="123" customFormat="1" ht="15" x14ac:dyDescent="0.25">
      <c r="B18" s="124"/>
      <c r="C18" s="124"/>
      <c r="D18" s="124"/>
      <c r="E18" s="124"/>
      <c r="F18" s="124"/>
      <c r="G18" s="124"/>
      <c r="H18" s="124"/>
      <c r="I18" s="124"/>
      <c r="J18" s="124"/>
      <c r="K18" s="124"/>
      <c r="L18" s="124"/>
      <c r="M18" s="124"/>
      <c r="N18" s="124"/>
      <c r="O18" s="124"/>
      <c r="P18" s="124"/>
      <c r="Q18" s="124"/>
      <c r="R18" s="125"/>
    </row>
    <row r="19" spans="2:18" s="123" customFormat="1" ht="15" x14ac:dyDescent="0.25">
      <c r="B19" s="124"/>
      <c r="C19" s="124"/>
      <c r="D19" s="124"/>
      <c r="E19" s="124"/>
      <c r="F19" s="124"/>
      <c r="G19" s="124"/>
      <c r="H19" s="124"/>
      <c r="I19" s="124"/>
      <c r="J19" s="124"/>
      <c r="K19" s="124"/>
      <c r="L19" s="124"/>
      <c r="M19" s="124"/>
      <c r="N19" s="124"/>
      <c r="O19" s="124"/>
      <c r="P19" s="124"/>
      <c r="Q19" s="124"/>
      <c r="R19" s="125"/>
    </row>
    <row r="20" spans="2:18" s="123" customFormat="1" ht="15" x14ac:dyDescent="0.25">
      <c r="B20" s="124"/>
      <c r="C20" s="124"/>
      <c r="D20" s="124"/>
      <c r="E20" s="124"/>
      <c r="F20" s="124"/>
      <c r="G20" s="124"/>
      <c r="H20" s="124"/>
      <c r="I20" s="124"/>
      <c r="J20" s="124"/>
      <c r="K20" s="124"/>
      <c r="L20" s="124"/>
      <c r="M20" s="124"/>
      <c r="N20" s="124"/>
      <c r="O20" s="124"/>
      <c r="P20" s="124"/>
      <c r="Q20" s="124"/>
      <c r="R20" s="125"/>
    </row>
    <row r="21" spans="2:18" s="123" customFormat="1" ht="15" x14ac:dyDescent="0.25">
      <c r="B21" s="124"/>
      <c r="C21" s="124"/>
      <c r="D21" s="124"/>
      <c r="E21" s="124"/>
      <c r="F21" s="124"/>
      <c r="G21" s="124"/>
      <c r="H21" s="124"/>
      <c r="I21" s="124"/>
      <c r="J21" s="124"/>
      <c r="K21" s="124"/>
      <c r="L21" s="124"/>
      <c r="M21" s="124"/>
      <c r="N21" s="124"/>
      <c r="O21" s="124"/>
      <c r="P21" s="124"/>
      <c r="Q21" s="124"/>
      <c r="R21" s="125"/>
    </row>
    <row r="22" spans="2:18" s="123" customFormat="1" ht="15" x14ac:dyDescent="0.25">
      <c r="B22" s="124"/>
      <c r="C22" s="124"/>
      <c r="D22" s="124"/>
      <c r="E22" s="124"/>
      <c r="F22" s="124"/>
      <c r="G22" s="124"/>
      <c r="H22" s="124"/>
      <c r="I22" s="124"/>
      <c r="J22" s="124"/>
      <c r="K22" s="124"/>
      <c r="L22" s="124"/>
      <c r="M22" s="124"/>
      <c r="N22" s="124"/>
      <c r="O22" s="124"/>
      <c r="P22" s="124"/>
      <c r="Q22" s="124"/>
      <c r="R22" s="125"/>
    </row>
    <row r="23" spans="2:18" s="123" customFormat="1" ht="15" x14ac:dyDescent="0.25">
      <c r="B23" s="124"/>
      <c r="C23" s="124"/>
      <c r="D23" s="124"/>
      <c r="E23" s="124"/>
      <c r="F23" s="124"/>
      <c r="G23" s="124"/>
      <c r="H23" s="124"/>
      <c r="I23" s="124"/>
      <c r="J23" s="124"/>
      <c r="K23" s="124"/>
      <c r="L23" s="124"/>
      <c r="M23" s="124"/>
      <c r="N23" s="124"/>
      <c r="O23" s="124"/>
      <c r="P23" s="124"/>
      <c r="Q23" s="124"/>
      <c r="R23" s="125"/>
    </row>
    <row r="24" spans="2:18" s="123" customFormat="1" ht="15" x14ac:dyDescent="0.25">
      <c r="B24" s="124"/>
      <c r="C24" s="124"/>
      <c r="D24" s="124"/>
      <c r="E24" s="124"/>
      <c r="F24" s="124"/>
      <c r="G24" s="124"/>
      <c r="H24" s="124"/>
      <c r="I24" s="124"/>
      <c r="J24" s="124"/>
      <c r="K24" s="124"/>
      <c r="L24" s="124"/>
      <c r="M24" s="124"/>
      <c r="N24" s="124"/>
      <c r="O24" s="124"/>
      <c r="P24" s="124"/>
      <c r="Q24" s="124"/>
      <c r="R24" s="125"/>
    </row>
    <row r="26" spans="2:18" s="8" customFormat="1" x14ac:dyDescent="0.25">
      <c r="B26" s="8" t="s">
        <v>15</v>
      </c>
    </row>
    <row r="27" spans="2:18" x14ac:dyDescent="0.25">
      <c r="C27" s="9"/>
    </row>
    <row r="28" spans="2:18" x14ac:dyDescent="0.25">
      <c r="B28" s="1" t="s">
        <v>38</v>
      </c>
      <c r="C28" s="9"/>
      <c r="D28" s="1" t="s">
        <v>16</v>
      </c>
      <c r="F28" s="15"/>
    </row>
    <row r="29" spans="2:18" x14ac:dyDescent="0.25">
      <c r="C29" s="9"/>
    </row>
    <row r="30" spans="2:18" x14ac:dyDescent="0.25">
      <c r="B30" s="138">
        <v>123</v>
      </c>
      <c r="C30" s="9"/>
      <c r="D30" s="34" t="s">
        <v>231</v>
      </c>
    </row>
    <row r="31" spans="2:18" x14ac:dyDescent="0.25">
      <c r="B31" s="16">
        <f>B30</f>
        <v>123</v>
      </c>
      <c r="C31" s="9"/>
      <c r="D31" s="2" t="s">
        <v>17</v>
      </c>
    </row>
    <row r="32" spans="2:18" x14ac:dyDescent="0.25">
      <c r="B32" s="17">
        <f>B31+B30</f>
        <v>246</v>
      </c>
      <c r="C32" s="9"/>
      <c r="D32" s="2" t="s">
        <v>18</v>
      </c>
    </row>
    <row r="33" spans="2:7" x14ac:dyDescent="0.25">
      <c r="B33" s="18">
        <f>B31+B32</f>
        <v>369</v>
      </c>
      <c r="C33" s="9"/>
      <c r="D33" s="34" t="s">
        <v>54</v>
      </c>
      <c r="E33" s="15"/>
      <c r="F33" s="6"/>
    </row>
    <row r="34" spans="2:7" x14ac:dyDescent="0.25">
      <c r="B34" s="19"/>
      <c r="C34" s="9"/>
      <c r="D34" s="3" t="s">
        <v>19</v>
      </c>
      <c r="E34" s="15"/>
    </row>
    <row r="35" spans="2:7" x14ac:dyDescent="0.25">
      <c r="B35" s="9"/>
      <c r="C35" s="9"/>
    </row>
    <row r="36" spans="2:7" x14ac:dyDescent="0.25">
      <c r="B36" s="20" t="s">
        <v>20</v>
      </c>
      <c r="C36" s="9"/>
    </row>
    <row r="37" spans="2:7" x14ac:dyDescent="0.25">
      <c r="B37" s="141">
        <f>B33+16</f>
        <v>385</v>
      </c>
      <c r="C37" s="9"/>
      <c r="D37" s="2" t="s">
        <v>21</v>
      </c>
    </row>
    <row r="38" spans="2:7" x14ac:dyDescent="0.25">
      <c r="B38" s="21">
        <f>B31*PI()</f>
        <v>386.41589639154455</v>
      </c>
      <c r="C38" s="22"/>
      <c r="D38" s="2" t="s">
        <v>22</v>
      </c>
    </row>
    <row r="39" spans="2:7" x14ac:dyDescent="0.25">
      <c r="B39" s="22"/>
      <c r="C39" s="22"/>
    </row>
    <row r="40" spans="2:7" x14ac:dyDescent="0.25">
      <c r="B40" s="137" t="s">
        <v>23</v>
      </c>
      <c r="C40" s="23"/>
    </row>
    <row r="41" spans="2:7" x14ac:dyDescent="0.25">
      <c r="B41" s="140">
        <v>123</v>
      </c>
      <c r="C41" s="23"/>
      <c r="D41" s="34" t="s">
        <v>229</v>
      </c>
      <c r="G41" s="15"/>
    </row>
    <row r="42" spans="2:7" x14ac:dyDescent="0.25">
      <c r="B42" s="145">
        <v>124</v>
      </c>
      <c r="C42" s="23"/>
      <c r="D42" s="34" t="s">
        <v>230</v>
      </c>
    </row>
    <row r="43" spans="2:7" x14ac:dyDescent="0.25">
      <c r="B43" s="146">
        <f>B41-B42</f>
        <v>-1</v>
      </c>
      <c r="C43" s="24"/>
      <c r="D43" s="2" t="s">
        <v>60</v>
      </c>
    </row>
    <row r="46" spans="2:7" x14ac:dyDescent="0.25">
      <c r="B46" s="1" t="s">
        <v>33</v>
      </c>
    </row>
    <row r="47" spans="2:7" x14ac:dyDescent="0.25">
      <c r="B47" s="1"/>
    </row>
    <row r="48" spans="2:7" x14ac:dyDescent="0.25">
      <c r="B48" s="5" t="s">
        <v>39</v>
      </c>
    </row>
    <row r="49" spans="2:4" x14ac:dyDescent="0.25">
      <c r="B49" s="31" t="s">
        <v>32</v>
      </c>
      <c r="C49" s="9"/>
      <c r="D49" s="3" t="s">
        <v>42</v>
      </c>
    </row>
    <row r="50" spans="2:4" x14ac:dyDescent="0.25">
      <c r="B50" s="29" t="s">
        <v>30</v>
      </c>
      <c r="C50" s="9"/>
      <c r="D50" s="3" t="s">
        <v>34</v>
      </c>
    </row>
    <row r="51" spans="2:4" x14ac:dyDescent="0.25">
      <c r="B51" s="30" t="s">
        <v>31</v>
      </c>
      <c r="C51" s="9"/>
      <c r="D51" s="3" t="s">
        <v>35</v>
      </c>
    </row>
    <row r="52" spans="2:4" x14ac:dyDescent="0.25">
      <c r="B52" s="21" t="s">
        <v>31</v>
      </c>
      <c r="C52" s="9"/>
      <c r="D52" s="3" t="s">
        <v>37</v>
      </c>
    </row>
    <row r="53" spans="2:4" x14ac:dyDescent="0.25">
      <c r="C53" s="9"/>
      <c r="D53" s="3"/>
    </row>
    <row r="54" spans="2:4" x14ac:dyDescent="0.25">
      <c r="B54" s="5" t="s">
        <v>41</v>
      </c>
      <c r="C54" s="9"/>
      <c r="D54" s="3"/>
    </row>
    <row r="55" spans="2:4" x14ac:dyDescent="0.25">
      <c r="B55" s="32" t="s">
        <v>36</v>
      </c>
      <c r="C55" s="9"/>
      <c r="D55" s="3" t="s">
        <v>43</v>
      </c>
    </row>
    <row r="56" spans="2:4" x14ac:dyDescent="0.25">
      <c r="B56" s="33" t="s">
        <v>40</v>
      </c>
      <c r="D56" s="3" t="s">
        <v>44</v>
      </c>
    </row>
  </sheetData>
  <pageMargins left="0.75" right="0.75" top="1" bottom="1" header="0.5" footer="0.5"/>
  <pageSetup paperSize="9"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V29"/>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x14ac:dyDescent="0.25"/>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2.5703125" style="2" customWidth="1"/>
    <col min="19" max="19" width="2.7109375" style="2" customWidth="1"/>
    <col min="20" max="20" width="17.14062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2:22" s="27" customFormat="1" ht="18" x14ac:dyDescent="0.25">
      <c r="B2" s="27" t="s">
        <v>353</v>
      </c>
    </row>
    <row r="4" spans="2:22" x14ac:dyDescent="0.25">
      <c r="B4" s="1" t="s">
        <v>29</v>
      </c>
    </row>
    <row r="5" spans="2:22" ht="12.75" customHeight="1" x14ac:dyDescent="0.25">
      <c r="B5" s="147" t="s">
        <v>350</v>
      </c>
      <c r="C5" s="1"/>
      <c r="D5" s="1"/>
      <c r="L5" s="136"/>
    </row>
    <row r="6" spans="2:22" ht="12.75" customHeight="1" x14ac:dyDescent="0.25">
      <c r="B6" s="34" t="s">
        <v>351</v>
      </c>
      <c r="C6" s="34"/>
      <c r="D6" s="34"/>
      <c r="H6" s="28"/>
    </row>
    <row r="7" spans="2:22" x14ac:dyDescent="0.25">
      <c r="B7" s="2" t="s">
        <v>352</v>
      </c>
      <c r="C7" s="34"/>
      <c r="D7" s="34"/>
      <c r="H7" s="28"/>
    </row>
    <row r="8" spans="2:22" x14ac:dyDescent="0.25">
      <c r="B8" s="139" t="s">
        <v>363</v>
      </c>
      <c r="C8" s="34"/>
      <c r="D8" s="34"/>
      <c r="H8" s="28"/>
    </row>
    <row r="10" spans="2:22" s="8" customFormat="1" x14ac:dyDescent="0.25">
      <c r="B10" s="8" t="s">
        <v>45</v>
      </c>
      <c r="F10" s="8" t="s">
        <v>27</v>
      </c>
      <c r="H10" s="8" t="s">
        <v>28</v>
      </c>
      <c r="J10" s="8" t="s">
        <v>49</v>
      </c>
      <c r="L10" s="8" t="s">
        <v>165</v>
      </c>
      <c r="M10" s="8" t="s">
        <v>65</v>
      </c>
      <c r="N10" s="8" t="s">
        <v>66</v>
      </c>
      <c r="O10" s="8" t="s">
        <v>67</v>
      </c>
      <c r="P10" s="8" t="s">
        <v>68</v>
      </c>
      <c r="Q10" s="8" t="s">
        <v>69</v>
      </c>
      <c r="R10" s="8" t="s">
        <v>70</v>
      </c>
      <c r="T10" s="8" t="s">
        <v>46</v>
      </c>
      <c r="V10" s="8" t="s">
        <v>47</v>
      </c>
    </row>
    <row r="13" spans="2:22" s="8" customFormat="1" x14ac:dyDescent="0.25">
      <c r="B13" s="8" t="s">
        <v>349</v>
      </c>
    </row>
    <row r="15" spans="2:22" ht="12.75" customHeight="1" x14ac:dyDescent="0.2">
      <c r="B15" s="40" t="s">
        <v>354</v>
      </c>
      <c r="F15" s="96"/>
      <c r="T15" s="34"/>
    </row>
    <row r="16" spans="2:22" ht="12.75" customHeight="1" x14ac:dyDescent="0.2">
      <c r="B16" s="2" t="s">
        <v>355</v>
      </c>
      <c r="F16" s="96" t="s">
        <v>177</v>
      </c>
      <c r="L16" s="163"/>
      <c r="M16" s="163"/>
      <c r="N16" s="163"/>
      <c r="O16" s="163"/>
      <c r="P16" s="143">
        <v>16749527.496850763</v>
      </c>
      <c r="Q16" s="163"/>
      <c r="R16" s="163"/>
      <c r="T16" s="162" t="s">
        <v>357</v>
      </c>
    </row>
    <row r="17" spans="2:20" ht="12.75" customHeight="1" x14ac:dyDescent="0.2">
      <c r="B17" s="2" t="s">
        <v>356</v>
      </c>
      <c r="F17" s="96" t="s">
        <v>177</v>
      </c>
      <c r="L17" s="163"/>
      <c r="M17" s="163"/>
      <c r="N17" s="163"/>
      <c r="O17" s="163"/>
      <c r="P17" s="143">
        <v>14965846.876018427</v>
      </c>
      <c r="Q17" s="163"/>
      <c r="R17" s="163"/>
      <c r="T17" s="162" t="s">
        <v>358</v>
      </c>
    </row>
    <row r="18" spans="2:20" ht="12.75" customHeight="1" x14ac:dyDescent="0.25">
      <c r="F18" s="96"/>
      <c r="T18" s="136"/>
    </row>
    <row r="19" spans="2:20" x14ac:dyDescent="0.2">
      <c r="B19" s="2" t="s">
        <v>359</v>
      </c>
      <c r="F19" s="96" t="s">
        <v>177</v>
      </c>
      <c r="L19" s="163"/>
      <c r="M19" s="163"/>
      <c r="N19" s="163"/>
      <c r="O19" s="163"/>
      <c r="P19" s="68">
        <f>P16-P17</f>
        <v>1783680.6208323352</v>
      </c>
      <c r="Q19" s="163"/>
      <c r="R19" s="163"/>
    </row>
    <row r="21" spans="2:20" x14ac:dyDescent="0.25">
      <c r="B21" s="40" t="s">
        <v>360</v>
      </c>
    </row>
    <row r="22" spans="2:20" x14ac:dyDescent="0.25">
      <c r="B22" s="2" t="s">
        <v>361</v>
      </c>
      <c r="F22" s="2" t="s">
        <v>177</v>
      </c>
      <c r="L22" s="163"/>
      <c r="M22" s="163"/>
      <c r="N22" s="163"/>
      <c r="O22" s="163"/>
      <c r="P22" s="97">
        <f>'Lokale heffingen 2019'!P33</f>
        <v>-2104202.3458926901</v>
      </c>
      <c r="Q22" s="163"/>
      <c r="R22" s="163"/>
    </row>
    <row r="24" spans="2:20" x14ac:dyDescent="0.25">
      <c r="B24" s="40" t="s">
        <v>362</v>
      </c>
    </row>
    <row r="25" spans="2:20" x14ac:dyDescent="0.25">
      <c r="B25" s="2" t="s">
        <v>353</v>
      </c>
      <c r="F25" s="2" t="s">
        <v>177</v>
      </c>
      <c r="L25" s="163"/>
      <c r="M25" s="163"/>
      <c r="N25" s="163"/>
      <c r="O25" s="163"/>
      <c r="P25" s="68">
        <f>IF(P22&gt;0,0,IF(ABS(P22)&gt;P19,P19,ABS(P22)))</f>
        <v>1783680.6208323352</v>
      </c>
      <c r="Q25" s="163"/>
      <c r="R25" s="163"/>
    </row>
    <row r="27" spans="2:20" x14ac:dyDescent="0.2">
      <c r="B27" s="96" t="s">
        <v>315</v>
      </c>
      <c r="C27" s="80"/>
      <c r="D27" s="80"/>
      <c r="E27" s="80"/>
      <c r="F27" s="102" t="s">
        <v>132</v>
      </c>
      <c r="H27" s="104">
        <f>Parameters!V35</f>
        <v>8.1600000000000117E-2</v>
      </c>
    </row>
    <row r="29" spans="2:20" x14ac:dyDescent="0.25">
      <c r="B29" s="2" t="s">
        <v>353</v>
      </c>
      <c r="F29" s="2" t="s">
        <v>265</v>
      </c>
      <c r="L29" s="163"/>
      <c r="M29" s="163"/>
      <c r="N29" s="163"/>
      <c r="O29" s="163"/>
      <c r="P29" s="67">
        <f>P25*(1+H27)</f>
        <v>1929228.9594922541</v>
      </c>
      <c r="Q29" s="163"/>
      <c r="R29" s="163"/>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W38"/>
  <sheetViews>
    <sheetView showGridLines="0" zoomScale="85" zoomScaleNormal="85" workbookViewId="0">
      <pane xSplit="6" ySplit="11" topLeftCell="G12" activePane="bottomRight" state="frozen"/>
      <selection activeCell="Q51" sqref="Q51"/>
      <selection pane="topRight" activeCell="Q51" sqref="Q51"/>
      <selection pane="bottomLeft" activeCell="Q51" sqref="Q51"/>
      <selection pane="bottomRight" activeCell="G12" sqref="G12"/>
    </sheetView>
  </sheetViews>
  <sheetFormatPr defaultRowHeight="12.75" customHeight="1"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2.5703125" style="46" customWidth="1"/>
    <col min="19" max="20" width="2.7109375" style="2" customWidth="1"/>
    <col min="21" max="21" width="13.7109375" style="2" customWidth="1"/>
    <col min="22" max="22" width="2.7109375" style="2" customWidth="1"/>
    <col min="23" max="36" width="13.7109375" style="2" customWidth="1"/>
    <col min="37" max="16384" width="9.140625" style="2"/>
  </cols>
  <sheetData>
    <row r="1" spans="1:23" ht="12.75" customHeight="1" x14ac:dyDescent="0.25">
      <c r="A1" s="9"/>
    </row>
    <row r="2" spans="1:23" s="27" customFormat="1" ht="18" x14ac:dyDescent="0.25">
      <c r="B2" s="27" t="s">
        <v>450</v>
      </c>
      <c r="L2" s="45"/>
      <c r="M2" s="45"/>
      <c r="N2" s="45"/>
      <c r="O2" s="45"/>
      <c r="P2" s="45"/>
      <c r="Q2" s="45"/>
      <c r="R2" s="45"/>
    </row>
    <row r="4" spans="1:23" ht="12.75" customHeight="1" x14ac:dyDescent="0.25">
      <c r="B4" s="1" t="s">
        <v>29</v>
      </c>
      <c r="C4" s="1"/>
      <c r="D4" s="1"/>
      <c r="J4" s="136"/>
    </row>
    <row r="5" spans="1:23" ht="12.75" customHeight="1" x14ac:dyDescent="0.25">
      <c r="B5" s="2" t="s">
        <v>366</v>
      </c>
      <c r="L5" s="2"/>
      <c r="M5" s="2"/>
      <c r="N5" s="2"/>
      <c r="O5" s="2"/>
      <c r="P5" s="2"/>
      <c r="Q5" s="2"/>
      <c r="R5" s="2"/>
    </row>
    <row r="6" spans="1:23" ht="12.75" customHeight="1" x14ac:dyDescent="0.25">
      <c r="B6" s="2" t="s">
        <v>441</v>
      </c>
      <c r="L6" s="2"/>
      <c r="M6" s="2"/>
      <c r="N6" s="2"/>
      <c r="O6" s="2"/>
      <c r="P6" s="2"/>
      <c r="Q6" s="2"/>
      <c r="R6" s="2"/>
    </row>
    <row r="7" spans="1:23" ht="12.75" customHeight="1" x14ac:dyDescent="0.2">
      <c r="B7" s="86" t="s">
        <v>449</v>
      </c>
      <c r="C7" s="3"/>
      <c r="D7" s="3"/>
      <c r="H7" s="28"/>
    </row>
    <row r="8" spans="1:23" ht="12.75" customHeight="1" x14ac:dyDescent="0.2">
      <c r="B8" s="86"/>
      <c r="C8" s="3"/>
      <c r="D8" s="3"/>
      <c r="H8" s="28"/>
    </row>
    <row r="10" spans="1:23" s="8" customFormat="1" ht="12.75" customHeight="1" x14ac:dyDescent="0.25">
      <c r="B10" s="8" t="s">
        <v>45</v>
      </c>
      <c r="F10" s="8" t="s">
        <v>27</v>
      </c>
      <c r="H10" s="8" t="s">
        <v>28</v>
      </c>
      <c r="J10" s="8" t="s">
        <v>49</v>
      </c>
      <c r="L10" s="47" t="s">
        <v>165</v>
      </c>
      <c r="M10" s="47" t="s">
        <v>65</v>
      </c>
      <c r="N10" s="47" t="s">
        <v>66</v>
      </c>
      <c r="O10" s="47" t="s">
        <v>67</v>
      </c>
      <c r="P10" s="47" t="s">
        <v>68</v>
      </c>
      <c r="Q10" s="47" t="s">
        <v>69</v>
      </c>
      <c r="R10" s="47" t="s">
        <v>70</v>
      </c>
      <c r="U10" s="8" t="s">
        <v>46</v>
      </c>
      <c r="W10" s="8" t="s">
        <v>47</v>
      </c>
    </row>
    <row r="12" spans="1:23" ht="12.75" customHeight="1" x14ac:dyDescent="0.25">
      <c r="L12" s="2"/>
      <c r="M12" s="2"/>
      <c r="N12" s="2"/>
      <c r="O12" s="2"/>
      <c r="P12" s="2"/>
      <c r="Q12" s="2"/>
      <c r="R12" s="2"/>
    </row>
    <row r="13" spans="1:23" s="8" customFormat="1" ht="12.75" customHeight="1" x14ac:dyDescent="0.25">
      <c r="B13" s="8" t="s">
        <v>452</v>
      </c>
    </row>
    <row r="15" spans="1:23" ht="12.75" customHeight="1" x14ac:dyDescent="0.25">
      <c r="B15" s="2" t="s">
        <v>310</v>
      </c>
      <c r="F15" s="2" t="s">
        <v>132</v>
      </c>
      <c r="H15" s="104">
        <f>Parameters!V36</f>
        <v>4.0000000000000036E-2</v>
      </c>
    </row>
    <row r="17" spans="2:21" s="40" customFormat="1" ht="12.75" customHeight="1" x14ac:dyDescent="0.25">
      <c r="B17" s="40" t="s">
        <v>267</v>
      </c>
    </row>
    <row r="18" spans="2:21" s="40" customFormat="1" ht="12.75" customHeight="1" x14ac:dyDescent="0.25">
      <c r="B18" s="137" t="s">
        <v>440</v>
      </c>
    </row>
    <row r="19" spans="2:21" ht="12.75" customHeight="1" x14ac:dyDescent="0.25">
      <c r="B19" s="2" t="s">
        <v>270</v>
      </c>
      <c r="F19" s="2" t="s">
        <v>223</v>
      </c>
      <c r="J19" s="68">
        <f>SUM(L19:R19)</f>
        <v>15442279.329263948</v>
      </c>
      <c r="L19" s="143">
        <v>164237.35020746524</v>
      </c>
      <c r="M19" s="143">
        <v>328110.94258486771</v>
      </c>
      <c r="N19" s="143">
        <v>4897775.1602981715</v>
      </c>
      <c r="O19" s="143">
        <v>5473439.6628916403</v>
      </c>
      <c r="P19" s="143">
        <v>149121.35877188097</v>
      </c>
      <c r="Q19" s="143">
        <v>3533466.1432848517</v>
      </c>
      <c r="R19" s="143">
        <v>896128.71122506948</v>
      </c>
      <c r="U19" s="34" t="s">
        <v>395</v>
      </c>
    </row>
    <row r="20" spans="2:21" ht="12.75" customHeight="1" x14ac:dyDescent="0.25">
      <c r="B20" s="2" t="s">
        <v>271</v>
      </c>
      <c r="F20" s="2" t="s">
        <v>223</v>
      </c>
      <c r="J20" s="68">
        <f>SUM(L20:R20)</f>
        <v>5578322.7217234457</v>
      </c>
      <c r="L20" s="143">
        <v>266845.35312346061</v>
      </c>
      <c r="M20" s="143">
        <v>86673.023462579993</v>
      </c>
      <c r="N20" s="143">
        <v>1777283.5428935299</v>
      </c>
      <c r="O20" s="143">
        <v>1519796.5786638465</v>
      </c>
      <c r="P20" s="143">
        <v>123343.83574021969</v>
      </c>
      <c r="Q20" s="143">
        <v>1698471.3933386588</v>
      </c>
      <c r="R20" s="143">
        <v>105908.99450114986</v>
      </c>
      <c r="U20" s="34" t="s">
        <v>396</v>
      </c>
    </row>
    <row r="21" spans="2:21" ht="12.75" customHeight="1" x14ac:dyDescent="0.25">
      <c r="B21" s="2" t="s">
        <v>267</v>
      </c>
      <c r="F21" s="2" t="s">
        <v>223</v>
      </c>
      <c r="J21" s="68">
        <f>SUM(L21:R21)</f>
        <v>21020602.050987393</v>
      </c>
      <c r="L21" s="68">
        <f>L19+L20</f>
        <v>431082.70333092584</v>
      </c>
      <c r="M21" s="68">
        <f t="shared" ref="M21:R21" si="0">M19+M20</f>
        <v>414783.9660474477</v>
      </c>
      <c r="N21" s="68">
        <f t="shared" si="0"/>
        <v>6675058.7031917013</v>
      </c>
      <c r="O21" s="68">
        <f t="shared" si="0"/>
        <v>6993236.2415554868</v>
      </c>
      <c r="P21" s="68">
        <f t="shared" si="0"/>
        <v>272465.19451210066</v>
      </c>
      <c r="Q21" s="68">
        <f t="shared" si="0"/>
        <v>5231937.5366235105</v>
      </c>
      <c r="R21" s="68">
        <f t="shared" si="0"/>
        <v>1002037.7057262193</v>
      </c>
      <c r="U21" s="34"/>
    </row>
    <row r="23" spans="2:21" ht="12.75" customHeight="1" x14ac:dyDescent="0.25">
      <c r="B23" s="137" t="s">
        <v>439</v>
      </c>
    </row>
    <row r="24" spans="2:21" ht="12.75" customHeight="1" x14ac:dyDescent="0.25">
      <c r="B24" s="2" t="s">
        <v>270</v>
      </c>
      <c r="F24" s="2" t="s">
        <v>223</v>
      </c>
      <c r="J24" s="68">
        <f>SUM(L24:R24)</f>
        <v>15567659.032643989</v>
      </c>
      <c r="L24" s="143">
        <v>166496.41045680732</v>
      </c>
      <c r="M24" s="143">
        <v>330554.27877498866</v>
      </c>
      <c r="N24" s="143">
        <v>4938990.8714394858</v>
      </c>
      <c r="O24" s="143">
        <v>5510940.9557650648</v>
      </c>
      <c r="P24" s="143">
        <v>150293.31112307243</v>
      </c>
      <c r="Q24" s="143">
        <v>3568138.1797824204</v>
      </c>
      <c r="R24" s="143">
        <v>902245.02530214959</v>
      </c>
      <c r="U24" s="34" t="s">
        <v>443</v>
      </c>
    </row>
    <row r="25" spans="2:21" ht="12.75" customHeight="1" x14ac:dyDescent="0.25">
      <c r="B25" s="2" t="s">
        <v>271</v>
      </c>
      <c r="F25" s="2" t="s">
        <v>223</v>
      </c>
      <c r="J25" s="68">
        <f>SUM(L25:R25)</f>
        <v>5590860.434867572</v>
      </c>
      <c r="L25" s="143">
        <v>267393.0680121975</v>
      </c>
      <c r="M25" s="143">
        <v>87161.909439466021</v>
      </c>
      <c r="N25" s="143">
        <v>1779701.161562752</v>
      </c>
      <c r="O25" s="143">
        <v>1528090.4217273528</v>
      </c>
      <c r="P25" s="143">
        <v>123961.21271463679</v>
      </c>
      <c r="Q25" s="143">
        <v>1698069.9810302453</v>
      </c>
      <c r="R25" s="143">
        <v>106482.68038092204</v>
      </c>
      <c r="U25" s="34" t="s">
        <v>444</v>
      </c>
    </row>
    <row r="26" spans="2:21" ht="12.75" customHeight="1" x14ac:dyDescent="0.25">
      <c r="B26" s="2" t="s">
        <v>267</v>
      </c>
      <c r="F26" s="2" t="s">
        <v>223</v>
      </c>
      <c r="J26" s="68">
        <f>SUM(L26:R26)</f>
        <v>21158519.467511561</v>
      </c>
      <c r="L26" s="68">
        <f t="shared" ref="L26:R26" si="1">L24+L25</f>
        <v>433889.47846900485</v>
      </c>
      <c r="M26" s="68">
        <f t="shared" si="1"/>
        <v>417716.18821445468</v>
      </c>
      <c r="N26" s="68">
        <f t="shared" si="1"/>
        <v>6718692.0330022378</v>
      </c>
      <c r="O26" s="68">
        <f t="shared" si="1"/>
        <v>7039031.3774924176</v>
      </c>
      <c r="P26" s="68">
        <f t="shared" si="1"/>
        <v>274254.52383770922</v>
      </c>
      <c r="Q26" s="68">
        <f t="shared" si="1"/>
        <v>5266208.1608126657</v>
      </c>
      <c r="R26" s="68">
        <f t="shared" si="1"/>
        <v>1008727.7056830716</v>
      </c>
    </row>
    <row r="28" spans="2:21" ht="12.75" customHeight="1" x14ac:dyDescent="0.25">
      <c r="B28" s="40" t="s">
        <v>266</v>
      </c>
      <c r="L28" s="172"/>
      <c r="M28" s="172"/>
      <c r="N28" s="172"/>
      <c r="O28" s="172"/>
      <c r="P28" s="172"/>
      <c r="Q28" s="172"/>
      <c r="R28" s="172"/>
    </row>
    <row r="29" spans="2:21" x14ac:dyDescent="0.25">
      <c r="B29" s="137" t="s">
        <v>447</v>
      </c>
      <c r="L29" s="172"/>
      <c r="M29" s="172"/>
      <c r="N29" s="172"/>
      <c r="O29" s="172"/>
      <c r="P29" s="172"/>
      <c r="Q29" s="172"/>
      <c r="R29" s="172"/>
    </row>
    <row r="30" spans="2:21" ht="12.75" customHeight="1" x14ac:dyDescent="0.25">
      <c r="B30" s="2" t="s">
        <v>266</v>
      </c>
      <c r="F30" s="2" t="s">
        <v>223</v>
      </c>
      <c r="J30" s="68">
        <f>SUM(L30:R30)</f>
        <v>18801260.797860246</v>
      </c>
      <c r="L30" s="143">
        <v>326249.33635196713</v>
      </c>
      <c r="M30" s="143">
        <v>473608.93235481577</v>
      </c>
      <c r="N30" s="143">
        <v>5967120.9689551992</v>
      </c>
      <c r="O30" s="143">
        <v>6143518.5200805049</v>
      </c>
      <c r="P30" s="143">
        <v>252673.24128268484</v>
      </c>
      <c r="Q30" s="143">
        <v>4750061.384419743</v>
      </c>
      <c r="R30" s="143">
        <v>888028.41441533214</v>
      </c>
      <c r="U30" s="34" t="s">
        <v>442</v>
      </c>
    </row>
    <row r="32" spans="2:21" ht="12.75" customHeight="1" x14ac:dyDescent="0.25">
      <c r="B32" s="137" t="s">
        <v>446</v>
      </c>
    </row>
    <row r="33" spans="2:21" ht="12.75" customHeight="1" x14ac:dyDescent="0.25">
      <c r="B33" s="2" t="s">
        <v>266</v>
      </c>
      <c r="F33" s="2" t="s">
        <v>223</v>
      </c>
      <c r="J33" s="68">
        <f>SUM(L33:R33)</f>
        <v>18832930.192875829</v>
      </c>
      <c r="L33" s="143">
        <v>326798.8803010452</v>
      </c>
      <c r="M33" s="143">
        <v>474406.69312856987</v>
      </c>
      <c r="N33" s="143">
        <v>5977172.1624950031</v>
      </c>
      <c r="O33" s="143">
        <v>6153866.8428281005</v>
      </c>
      <c r="P33" s="143">
        <v>253098.85149968474</v>
      </c>
      <c r="Q33" s="143">
        <v>4758062.5271063317</v>
      </c>
      <c r="R33" s="143">
        <v>889524.23551709473</v>
      </c>
      <c r="U33" s="34" t="s">
        <v>445</v>
      </c>
    </row>
    <row r="35" spans="2:21" ht="12.75" customHeight="1" x14ac:dyDescent="0.25">
      <c r="B35" s="1" t="s">
        <v>451</v>
      </c>
    </row>
    <row r="36" spans="2:21" ht="12.75" customHeight="1" x14ac:dyDescent="0.25">
      <c r="B36" s="2" t="s">
        <v>270</v>
      </c>
      <c r="F36" s="2" t="s">
        <v>265</v>
      </c>
      <c r="J36" s="68">
        <f>SUM(L36:R36)</f>
        <v>130394.89151524384</v>
      </c>
      <c r="L36" s="67">
        <f>(L24-L19)*(1+$H$15)</f>
        <v>2349.4226593157719</v>
      </c>
      <c r="M36" s="67">
        <f t="shared" ref="M36:R36" si="2">(M24-M19)*(1+$H$15)</f>
        <v>2541.0696377257959</v>
      </c>
      <c r="N36" s="67">
        <f t="shared" si="2"/>
        <v>42864.339586966933</v>
      </c>
      <c r="O36" s="67">
        <f t="shared" si="2"/>
        <v>39001.344588361455</v>
      </c>
      <c r="P36" s="67">
        <f t="shared" si="2"/>
        <v>1218.8304452391178</v>
      </c>
      <c r="Q36" s="67">
        <f t="shared" si="2"/>
        <v>36058.917957471458</v>
      </c>
      <c r="R36" s="67">
        <f t="shared" si="2"/>
        <v>6360.9666401633158</v>
      </c>
    </row>
    <row r="37" spans="2:21" ht="12.75" customHeight="1" x14ac:dyDescent="0.25">
      <c r="B37" s="2" t="s">
        <v>271</v>
      </c>
      <c r="F37" s="2" t="s">
        <v>265</v>
      </c>
      <c r="J37" s="68">
        <f>SUM(L37:R37)</f>
        <v>13039.221669892157</v>
      </c>
      <c r="L37" s="67">
        <f t="shared" ref="L37:R37" si="3">(L25-L20)*(1+$H$15)</f>
        <v>569.62348428637256</v>
      </c>
      <c r="M37" s="67">
        <f t="shared" si="3"/>
        <v>508.44141596146864</v>
      </c>
      <c r="N37" s="67">
        <f t="shared" si="3"/>
        <v>2514.3234159909935</v>
      </c>
      <c r="O37" s="67">
        <f t="shared" si="3"/>
        <v>8625.5967860465498</v>
      </c>
      <c r="P37" s="67">
        <f t="shared" si="3"/>
        <v>642.07205339378447</v>
      </c>
      <c r="Q37" s="67">
        <f t="shared" si="3"/>
        <v>-417.46880075007681</v>
      </c>
      <c r="R37" s="67">
        <f t="shared" si="3"/>
        <v>596.63331496306694</v>
      </c>
    </row>
    <row r="38" spans="2:21" ht="12.75" customHeight="1" x14ac:dyDescent="0.25">
      <c r="B38" s="2" t="s">
        <v>266</v>
      </c>
      <c r="F38" s="2" t="s">
        <v>265</v>
      </c>
      <c r="J38" s="68">
        <f>SUM(L38:R38)</f>
        <v>32936.170816206104</v>
      </c>
      <c r="L38" s="67">
        <f>(L33-L30)*(1+$H$15)</f>
        <v>571.52570704119285</v>
      </c>
      <c r="M38" s="67">
        <f t="shared" ref="M38:R38" si="4">(M33-M30)*(1+$H$15)</f>
        <v>829.6712047042605</v>
      </c>
      <c r="N38" s="67">
        <f t="shared" si="4"/>
        <v>10453.241281396002</v>
      </c>
      <c r="O38" s="67">
        <f t="shared" si="4"/>
        <v>10762.255657499432</v>
      </c>
      <c r="P38" s="67">
        <f t="shared" si="4"/>
        <v>442.63462567988785</v>
      </c>
      <c r="Q38" s="67">
        <f t="shared" si="4"/>
        <v>8321.1883940522384</v>
      </c>
      <c r="R38" s="67">
        <f t="shared" si="4"/>
        <v>1555.6539458330908</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U28"/>
  <sheetViews>
    <sheetView showGridLines="0" zoomScale="85" zoomScaleNormal="85" workbookViewId="0">
      <pane xSplit="6" ySplit="16" topLeftCell="G17" activePane="bottomRight" state="frozen"/>
      <selection activeCell="Q51" sqref="Q51"/>
      <selection pane="topRight" activeCell="Q51" sqref="Q51"/>
      <selection pane="bottomLeft" activeCell="Q51" sqref="Q51"/>
      <selection pane="bottomRight" activeCell="G17" sqref="G17"/>
    </sheetView>
  </sheetViews>
  <sheetFormatPr defaultRowHeight="12.75" customHeight="1"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2.5703125" style="46" customWidth="1"/>
    <col min="17" max="17" width="13" style="46" bestFit="1" customWidth="1"/>
    <col min="18" max="18" width="12.5703125" style="46" customWidth="1"/>
    <col min="19" max="20" width="2.7109375" style="2" customWidth="1"/>
    <col min="21" max="35" width="13.7109375" style="2" customWidth="1"/>
    <col min="36" max="16384" width="9.140625" style="2"/>
  </cols>
  <sheetData>
    <row r="2" spans="2:21" s="27" customFormat="1" ht="18" x14ac:dyDescent="0.25">
      <c r="B2" s="27" t="s">
        <v>331</v>
      </c>
      <c r="L2" s="45"/>
      <c r="M2" s="45"/>
      <c r="N2" s="45"/>
      <c r="O2" s="45"/>
      <c r="P2" s="45"/>
      <c r="Q2" s="45"/>
      <c r="R2" s="45"/>
    </row>
    <row r="4" spans="2:21" ht="12.75" customHeight="1" x14ac:dyDescent="0.25">
      <c r="B4" s="1" t="s">
        <v>58</v>
      </c>
      <c r="C4" s="1"/>
      <c r="D4" s="1"/>
    </row>
    <row r="5" spans="2:21" s="41" customFormat="1" ht="12.75" customHeight="1" x14ac:dyDescent="0.2">
      <c r="B5" s="41" t="s">
        <v>166</v>
      </c>
    </row>
    <row r="6" spans="2:21" s="41" customFormat="1" ht="12.75" customHeight="1" x14ac:dyDescent="0.2">
      <c r="B6" s="41" t="s">
        <v>321</v>
      </c>
    </row>
    <row r="7" spans="2:21" s="41" customFormat="1" ht="12.75" customHeight="1" x14ac:dyDescent="0.2"/>
    <row r="8" spans="2:21" s="41" customFormat="1" ht="12.75" customHeight="1" x14ac:dyDescent="0.2">
      <c r="B8" s="41" t="s">
        <v>167</v>
      </c>
    </row>
    <row r="9" spans="2:21" s="41" customFormat="1" ht="12.75" customHeight="1" x14ac:dyDescent="0.2">
      <c r="B9" s="41" t="s">
        <v>168</v>
      </c>
    </row>
    <row r="10" spans="2:21" s="41" customFormat="1" ht="12.75" customHeight="1" x14ac:dyDescent="0.2">
      <c r="B10" s="41" t="s">
        <v>183</v>
      </c>
    </row>
    <row r="11" spans="2:21" s="41" customFormat="1" ht="12.75" customHeight="1" x14ac:dyDescent="0.2">
      <c r="B11" s="41" t="s">
        <v>322</v>
      </c>
    </row>
    <row r="12" spans="2:21" s="41" customFormat="1" ht="12.75" customHeight="1" x14ac:dyDescent="0.2"/>
    <row r="13" spans="2:21" s="41" customFormat="1" ht="12.75" customHeight="1" x14ac:dyDescent="0.2"/>
    <row r="15" spans="2:21" s="8" customFormat="1" ht="12.75" customHeight="1" x14ac:dyDescent="0.25">
      <c r="B15" s="8" t="s">
        <v>45</v>
      </c>
      <c r="F15" s="8" t="s">
        <v>27</v>
      </c>
      <c r="H15" s="8" t="s">
        <v>28</v>
      </c>
      <c r="J15" s="8" t="s">
        <v>49</v>
      </c>
      <c r="L15" s="47" t="s">
        <v>165</v>
      </c>
      <c r="M15" s="47" t="s">
        <v>65</v>
      </c>
      <c r="N15" s="47" t="s">
        <v>66</v>
      </c>
      <c r="O15" s="47" t="s">
        <v>67</v>
      </c>
      <c r="P15" s="47" t="s">
        <v>68</v>
      </c>
      <c r="Q15" s="47" t="s">
        <v>69</v>
      </c>
      <c r="R15" s="47" t="s">
        <v>70</v>
      </c>
      <c r="U15" s="8" t="s">
        <v>47</v>
      </c>
    </row>
    <row r="18" spans="2:21" s="8" customFormat="1" ht="12.75" customHeight="1" x14ac:dyDescent="0.25">
      <c r="B18" s="48" t="s">
        <v>169</v>
      </c>
      <c r="L18" s="47"/>
      <c r="M18" s="47"/>
      <c r="N18" s="47"/>
      <c r="O18" s="47"/>
      <c r="P18" s="47"/>
      <c r="Q18" s="47"/>
      <c r="R18" s="47"/>
    </row>
    <row r="19" spans="2:21" customFormat="1" ht="12.75" customHeight="1" x14ac:dyDescent="0.25">
      <c r="D19" s="2"/>
      <c r="E19" s="2"/>
      <c r="F19" s="2"/>
      <c r="G19" s="2"/>
      <c r="H19" s="2"/>
      <c r="I19" s="2"/>
      <c r="J19" s="57"/>
    </row>
    <row r="20" spans="2:21" ht="12.75" customHeight="1" x14ac:dyDescent="0.2">
      <c r="B20" s="41" t="s">
        <v>196</v>
      </c>
      <c r="C20" s="41"/>
      <c r="E20" s="41"/>
      <c r="F20" s="41" t="s">
        <v>132</v>
      </c>
      <c r="G20" s="41"/>
      <c r="H20" s="119">
        <f>'Input x-factor, begininkomsten'!H21</f>
        <v>1.0770378277281506E-2</v>
      </c>
      <c r="L20" s="128"/>
      <c r="M20" s="128"/>
      <c r="N20" s="129"/>
      <c r="O20" s="128"/>
      <c r="P20" s="128"/>
      <c r="Q20" s="130"/>
      <c r="R20" s="128"/>
      <c r="U20" s="41"/>
    </row>
    <row r="21" spans="2:21" ht="12.75" customHeight="1" x14ac:dyDescent="0.2">
      <c r="B21" s="41"/>
      <c r="C21" s="41"/>
      <c r="E21" s="41"/>
      <c r="F21" s="41"/>
      <c r="G21" s="41"/>
      <c r="H21" s="115"/>
      <c r="L21" s="62"/>
      <c r="M21" s="62"/>
      <c r="N21" s="116"/>
      <c r="O21" s="62"/>
      <c r="P21" s="62"/>
      <c r="Q21" s="116"/>
      <c r="R21" s="62"/>
      <c r="U21" s="41"/>
    </row>
    <row r="22" spans="2:21" s="41" customFormat="1" ht="12.75" customHeight="1" x14ac:dyDescent="0.2">
      <c r="B22" s="41" t="s">
        <v>323</v>
      </c>
      <c r="F22" s="41" t="s">
        <v>265</v>
      </c>
      <c r="H22" s="110">
        <f>'TI-berekening 2021'!Q26</f>
        <v>283086985.38853133</v>
      </c>
      <c r="K22" s="131"/>
      <c r="L22" s="128"/>
      <c r="M22" s="128"/>
      <c r="N22" s="128"/>
      <c r="O22" s="128"/>
      <c r="P22" s="128"/>
      <c r="Q22" s="132"/>
      <c r="R22" s="128"/>
    </row>
    <row r="24" spans="2:21" s="8" customFormat="1" ht="12.75" customHeight="1" x14ac:dyDescent="0.25">
      <c r="B24" s="48" t="s">
        <v>118</v>
      </c>
      <c r="L24" s="47"/>
      <c r="M24" s="47"/>
      <c r="N24" s="47"/>
      <c r="O24" s="47"/>
      <c r="P24" s="47"/>
      <c r="Q24" s="47"/>
      <c r="R24" s="47"/>
    </row>
    <row r="25" spans="2:21" ht="12.75" customHeight="1" x14ac:dyDescent="0.2">
      <c r="B25" s="41"/>
      <c r="C25" s="41"/>
      <c r="E25" s="41"/>
      <c r="F25" s="41"/>
      <c r="G25" s="41"/>
      <c r="H25" s="115"/>
    </row>
    <row r="26" spans="2:21" ht="12.75" customHeight="1" x14ac:dyDescent="0.2">
      <c r="B26" s="41" t="s">
        <v>327</v>
      </c>
      <c r="C26" s="41"/>
      <c r="E26" s="41"/>
      <c r="F26" s="41" t="s">
        <v>265</v>
      </c>
      <c r="H26" s="68">
        <f>H20*H22</f>
        <v>3048953.918009745</v>
      </c>
    </row>
    <row r="28" spans="2:21" ht="12.75" customHeight="1" x14ac:dyDescent="0.2">
      <c r="B28" s="2" t="s">
        <v>199</v>
      </c>
      <c r="F28" s="41" t="s">
        <v>265</v>
      </c>
      <c r="L28" s="50"/>
      <c r="M28" s="50"/>
      <c r="N28" s="67">
        <f>H26</f>
        <v>3048953.918009745</v>
      </c>
      <c r="O28" s="50"/>
      <c r="P28" s="50"/>
      <c r="Q28" s="67">
        <f>-H26</f>
        <v>-3048953.918009745</v>
      </c>
      <c r="R28" s="50"/>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U82"/>
  <sheetViews>
    <sheetView showGridLines="0" zoomScale="85" zoomScaleNormal="85" workbookViewId="0">
      <pane xSplit="6" ySplit="18" topLeftCell="G19" activePane="bottomRight" state="frozen"/>
      <selection activeCell="Q51" sqref="Q51"/>
      <selection pane="topRight" activeCell="Q51" sqref="Q51"/>
      <selection pane="bottomLeft" activeCell="Q51" sqref="Q51"/>
      <selection pane="bottomRight" activeCell="G19" sqref="G19"/>
    </sheetView>
  </sheetViews>
  <sheetFormatPr defaultRowHeight="12.75" customHeight="1"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46" customWidth="1"/>
    <col min="14" max="15" width="17" style="46" bestFit="1" customWidth="1"/>
    <col min="16" max="16" width="12.5703125" style="46" customWidth="1"/>
    <col min="17" max="17" width="17" style="46" bestFit="1" customWidth="1"/>
    <col min="18" max="18" width="12.5703125" style="46" customWidth="1"/>
    <col min="19" max="20" width="2.7109375" style="2" customWidth="1"/>
    <col min="21" max="35" width="13.7109375" style="2" customWidth="1"/>
    <col min="36" max="16384" width="9.140625" style="2"/>
  </cols>
  <sheetData>
    <row r="1" spans="1:18" ht="12.75" customHeight="1" x14ac:dyDescent="0.25">
      <c r="A1" s="9"/>
    </row>
    <row r="2" spans="1:18" s="27" customFormat="1" ht="18" x14ac:dyDescent="0.25">
      <c r="B2" s="27" t="s">
        <v>184</v>
      </c>
      <c r="L2" s="45"/>
      <c r="M2" s="45"/>
      <c r="N2" s="45"/>
      <c r="O2" s="45"/>
      <c r="P2" s="45"/>
      <c r="Q2" s="45"/>
      <c r="R2" s="45"/>
    </row>
    <row r="4" spans="1:18" ht="12.75" customHeight="1" x14ac:dyDescent="0.25">
      <c r="B4" s="1" t="s">
        <v>58</v>
      </c>
      <c r="C4" s="1"/>
      <c r="D4" s="1"/>
      <c r="J4" s="39"/>
    </row>
    <row r="5" spans="1:18" ht="12.75" customHeight="1" x14ac:dyDescent="0.25">
      <c r="B5" s="34"/>
      <c r="C5" s="3"/>
      <c r="D5" s="3"/>
      <c r="H5" s="28"/>
    </row>
    <row r="6" spans="1:18" s="41" customFormat="1" ht="12.75" customHeight="1" x14ac:dyDescent="0.2">
      <c r="B6" s="41" t="s">
        <v>185</v>
      </c>
    </row>
    <row r="7" spans="1:18" s="41" customFormat="1" ht="12.75" customHeight="1" x14ac:dyDescent="0.2">
      <c r="B7" s="41" t="s">
        <v>228</v>
      </c>
    </row>
    <row r="8" spans="1:18" s="41" customFormat="1" ht="12.75" customHeight="1" x14ac:dyDescent="0.2">
      <c r="B8" s="41" t="s">
        <v>306</v>
      </c>
    </row>
    <row r="9" spans="1:18" s="41" customFormat="1" ht="12.75" customHeight="1" x14ac:dyDescent="0.2">
      <c r="B9" s="41" t="s">
        <v>186</v>
      </c>
    </row>
    <row r="10" spans="1:18" s="41" customFormat="1" ht="12.75" customHeight="1" x14ac:dyDescent="0.2">
      <c r="B10" s="41" t="s">
        <v>187</v>
      </c>
    </row>
    <row r="11" spans="1:18" s="41" customFormat="1" ht="12.75" customHeight="1" x14ac:dyDescent="0.2">
      <c r="B11" s="41" t="s">
        <v>188</v>
      </c>
    </row>
    <row r="12" spans="1:18" s="41" customFormat="1" ht="12.75" customHeight="1" x14ac:dyDescent="0.2">
      <c r="B12" s="126" t="s">
        <v>307</v>
      </c>
    </row>
    <row r="13" spans="1:18" s="41" customFormat="1" ht="12.75" customHeight="1" x14ac:dyDescent="0.2">
      <c r="B13" s="126" t="s">
        <v>308</v>
      </c>
    </row>
    <row r="14" spans="1:18" s="86" customFormat="1" ht="12.75" customHeight="1" x14ac:dyDescent="0.2">
      <c r="B14" s="126" t="s">
        <v>276</v>
      </c>
    </row>
    <row r="15" spans="1:18" s="41" customFormat="1" ht="12.75" customHeight="1" x14ac:dyDescent="0.2"/>
    <row r="17" spans="2:21" s="8" customFormat="1" ht="12.75" customHeight="1" x14ac:dyDescent="0.25">
      <c r="B17" s="8" t="s">
        <v>45</v>
      </c>
      <c r="F17" s="8" t="s">
        <v>27</v>
      </c>
      <c r="H17" s="8" t="s">
        <v>28</v>
      </c>
      <c r="J17" s="8" t="s">
        <v>49</v>
      </c>
      <c r="L17" s="47" t="s">
        <v>165</v>
      </c>
      <c r="M17" s="47" t="s">
        <v>65</v>
      </c>
      <c r="N17" s="47" t="s">
        <v>66</v>
      </c>
      <c r="O17" s="47" t="s">
        <v>67</v>
      </c>
      <c r="P17" s="47" t="s">
        <v>68</v>
      </c>
      <c r="Q17" s="47" t="s">
        <v>69</v>
      </c>
      <c r="R17" s="47" t="s">
        <v>70</v>
      </c>
      <c r="U17" s="8" t="s">
        <v>47</v>
      </c>
    </row>
    <row r="20" spans="2:21" s="8" customFormat="1" x14ac:dyDescent="0.25">
      <c r="B20" s="8" t="s">
        <v>259</v>
      </c>
    </row>
    <row r="22" spans="2:21" ht="12.75" customHeight="1" x14ac:dyDescent="0.25">
      <c r="B22" s="2" t="s">
        <v>240</v>
      </c>
      <c r="F22" s="2" t="s">
        <v>262</v>
      </c>
      <c r="L22" s="97">
        <f>'Input richtbedragen'!L19</f>
        <v>532701.29699999734</v>
      </c>
      <c r="M22" s="97">
        <f>'Input richtbedragen'!M19</f>
        <v>1029264.81</v>
      </c>
      <c r="N22" s="97">
        <f>'Input richtbedragen'!N19</f>
        <v>10444121.318135591</v>
      </c>
      <c r="O22" s="97">
        <f>'Input richtbedragen'!O19</f>
        <v>10870240.24</v>
      </c>
      <c r="P22" s="97">
        <f>'Input richtbedragen'!P19</f>
        <v>368325.15</v>
      </c>
      <c r="Q22" s="97">
        <f>'Input richtbedragen'!Q19</f>
        <v>8221051.6499999994</v>
      </c>
      <c r="R22" s="97">
        <f>'Input richtbedragen'!R19</f>
        <v>623761.14999999991</v>
      </c>
    </row>
    <row r="23" spans="2:21" ht="12.75" customHeight="1" x14ac:dyDescent="0.25">
      <c r="B23" s="2" t="s">
        <v>241</v>
      </c>
      <c r="F23" s="2" t="s">
        <v>263</v>
      </c>
      <c r="L23" s="97">
        <f>'Input richtbedragen'!L20</f>
        <v>572467.20999999903</v>
      </c>
      <c r="M23" s="97">
        <f>'Input richtbedragen'!M20</f>
        <v>1063322.1499999999</v>
      </c>
      <c r="N23" s="97">
        <f>'Input richtbedragen'!N20</f>
        <v>9617129.2651409041</v>
      </c>
      <c r="O23" s="97">
        <f>'Input richtbedragen'!O20</f>
        <v>9841317</v>
      </c>
      <c r="P23" s="97">
        <f>'Input richtbedragen'!P20</f>
        <v>395732.5</v>
      </c>
      <c r="Q23" s="97">
        <f>'Input richtbedragen'!Q20</f>
        <v>8657261.8999999985</v>
      </c>
      <c r="R23" s="97">
        <f>'Input richtbedragen'!R20</f>
        <v>430942.15</v>
      </c>
    </row>
    <row r="24" spans="2:21" ht="12.75" customHeight="1" x14ac:dyDescent="0.25">
      <c r="B24" s="2" t="s">
        <v>242</v>
      </c>
      <c r="F24" s="2" t="s">
        <v>264</v>
      </c>
      <c r="L24" s="97">
        <f>'Input richtbedragen'!L21</f>
        <v>480630.68</v>
      </c>
      <c r="M24" s="97">
        <f>'Input richtbedragen'!M21</f>
        <v>973967.9</v>
      </c>
      <c r="N24" s="97">
        <f>'Input richtbedragen'!N21</f>
        <v>9949851.6899997871</v>
      </c>
      <c r="O24" s="97">
        <f>'Input richtbedragen'!O21</f>
        <v>12015294.780000001</v>
      </c>
      <c r="P24" s="97">
        <f>'Input richtbedragen'!P21</f>
        <v>384793.25</v>
      </c>
      <c r="Q24" s="97">
        <f>'Input richtbedragen'!Q21</f>
        <v>11334314.370000001</v>
      </c>
      <c r="R24" s="97">
        <f>'Input richtbedragen'!R21</f>
        <v>480630.68</v>
      </c>
    </row>
    <row r="26" spans="2:21" ht="12.75" customHeight="1" x14ac:dyDescent="0.25">
      <c r="B26" s="2" t="s">
        <v>243</v>
      </c>
      <c r="F26" s="2" t="s">
        <v>132</v>
      </c>
      <c r="H26" s="119">
        <f>'Input richtbedragen'!H23</f>
        <v>-2.33731553035188E-4</v>
      </c>
    </row>
    <row r="27" spans="2:21" ht="12.75" customHeight="1" x14ac:dyDescent="0.25">
      <c r="B27" s="2" t="s">
        <v>244</v>
      </c>
      <c r="F27" s="2" t="s">
        <v>132</v>
      </c>
      <c r="H27" s="104">
        <f>'Input richtbedragen'!H24</f>
        <v>1.2E-2</v>
      </c>
    </row>
    <row r="29" spans="2:21" ht="12.75" customHeight="1" x14ac:dyDescent="0.25">
      <c r="B29" s="2" t="s">
        <v>245</v>
      </c>
      <c r="F29" s="2" t="s">
        <v>176</v>
      </c>
      <c r="L29" s="97">
        <f>'Input richtbedragen'!L26</f>
        <v>4473393.3739248244</v>
      </c>
      <c r="M29" s="97">
        <f>'Input richtbedragen'!M26</f>
        <v>6219723.6949636098</v>
      </c>
      <c r="N29" s="97">
        <f>'Input richtbedragen'!N26</f>
        <v>72222154.947621942</v>
      </c>
      <c r="O29" s="97">
        <f>'Input richtbedragen'!O26</f>
        <v>81262744.369184196</v>
      </c>
      <c r="P29" s="97">
        <f>'Input richtbedragen'!P26</f>
        <v>3365928.6588360853</v>
      </c>
      <c r="Q29" s="97">
        <f>'Input richtbedragen'!Q26</f>
        <v>59895407.473430067</v>
      </c>
      <c r="R29" s="97">
        <f>'Input richtbedragen'!R26</f>
        <v>2089575.8567130689</v>
      </c>
    </row>
    <row r="30" spans="2:21" ht="12.75" customHeight="1" x14ac:dyDescent="0.25">
      <c r="B30" s="2" t="s">
        <v>246</v>
      </c>
      <c r="F30" s="2" t="s">
        <v>265</v>
      </c>
      <c r="L30" s="97">
        <f>'Input richtbedragen'!L27</f>
        <v>4835561.9370380444</v>
      </c>
      <c r="M30" s="97">
        <f>'Input richtbedragen'!M27</f>
        <v>6723282.8916520113</v>
      </c>
      <c r="N30" s="97">
        <f>'Input richtbedragen'!N27</f>
        <v>78068946.967825741</v>
      </c>
      <c r="O30" s="97">
        <f>'Input richtbedragen'!O27</f>
        <v>87841911.593023509</v>
      </c>
      <c r="P30" s="97">
        <f>'Input richtbedragen'!P27</f>
        <v>3638439.8530112286</v>
      </c>
      <c r="Q30" s="97">
        <f>'Input richtbedragen'!Q27</f>
        <v>64744639.489486918</v>
      </c>
      <c r="R30" s="97">
        <f>'Input richtbedragen'!R27</f>
        <v>2258751.4007453457</v>
      </c>
    </row>
    <row r="32" spans="2:21" ht="12.75" customHeight="1" x14ac:dyDescent="0.25">
      <c r="B32" s="2" t="s">
        <v>247</v>
      </c>
      <c r="F32" s="2" t="s">
        <v>176</v>
      </c>
      <c r="H32" s="97">
        <f>'Input richtbedragen'!H29</f>
        <v>33611088.497780532</v>
      </c>
    </row>
    <row r="34" spans="2:18" s="8" customFormat="1" x14ac:dyDescent="0.25">
      <c r="B34" s="8" t="s">
        <v>260</v>
      </c>
    </row>
    <row r="36" spans="2:18" ht="12.75" customHeight="1" x14ac:dyDescent="0.25">
      <c r="B36" s="2" t="s">
        <v>249</v>
      </c>
      <c r="F36" s="2" t="s">
        <v>176</v>
      </c>
      <c r="L36" s="97">
        <f>'Input richtbedragen'!L33</f>
        <v>16013797.719445687</v>
      </c>
      <c r="M36" s="97">
        <f>'Input richtbedragen'!M33</f>
        <v>21684347.323207561</v>
      </c>
      <c r="N36" s="97">
        <f>'Input richtbedragen'!N33</f>
        <v>261890467.45315132</v>
      </c>
      <c r="O36" s="97">
        <f>'Input richtbedragen'!O33</f>
        <v>304495309.61153406</v>
      </c>
      <c r="P36" s="97">
        <f>'Input richtbedragen'!P33</f>
        <v>13936434.614733677</v>
      </c>
      <c r="Q36" s="97">
        <f>'Input richtbedragen'!Q33</f>
        <v>226532514.88970852</v>
      </c>
      <c r="R36" s="97">
        <f>'Input richtbedragen'!R33</f>
        <v>14299377.510996953</v>
      </c>
    </row>
    <row r="37" spans="2:18" ht="12.75" customHeight="1" x14ac:dyDescent="0.25">
      <c r="B37" s="2" t="s">
        <v>250</v>
      </c>
      <c r="F37" s="2" t="s">
        <v>176</v>
      </c>
      <c r="L37" s="68">
        <f>L29-L38</f>
        <v>3931100.1803140929</v>
      </c>
      <c r="M37" s="68">
        <f t="shared" ref="M37:R37" si="0">M29-M38</f>
        <v>5171058.8690231275</v>
      </c>
      <c r="N37" s="68">
        <f t="shared" si="0"/>
        <v>61959306.644400224</v>
      </c>
      <c r="O37" s="68">
        <f t="shared" si="0"/>
        <v>70071195.499540538</v>
      </c>
      <c r="P37" s="68">
        <f t="shared" si="0"/>
        <v>2973057.9671048219</v>
      </c>
      <c r="Q37" s="68">
        <f t="shared" si="0"/>
        <v>50247580.547858477</v>
      </c>
      <c r="R37" s="68">
        <f t="shared" si="0"/>
        <v>1564540.1686519694</v>
      </c>
    </row>
    <row r="38" spans="2:18" ht="12.75" customHeight="1" x14ac:dyDescent="0.25">
      <c r="B38" s="2" t="s">
        <v>251</v>
      </c>
      <c r="F38" s="2" t="s">
        <v>176</v>
      </c>
      <c r="L38" s="68">
        <f t="shared" ref="L38:R38" si="1">$H$32*SUM(L22:L24)/SUM($L$22:$R$24)</f>
        <v>542293.19361073175</v>
      </c>
      <c r="M38" s="68">
        <f t="shared" si="1"/>
        <v>1048664.8259404828</v>
      </c>
      <c r="N38" s="68">
        <f t="shared" si="1"/>
        <v>10262848.303221716</v>
      </c>
      <c r="O38" s="68">
        <f t="shared" si="1"/>
        <v>11191548.869643651</v>
      </c>
      <c r="P38" s="68">
        <f t="shared" si="1"/>
        <v>392870.69173126324</v>
      </c>
      <c r="Q38" s="68">
        <f t="shared" si="1"/>
        <v>9647826.9255715869</v>
      </c>
      <c r="R38" s="68">
        <f t="shared" si="1"/>
        <v>525035.6880610995</v>
      </c>
    </row>
    <row r="39" spans="2:18" ht="12.75" customHeight="1" x14ac:dyDescent="0.25">
      <c r="B39" s="2" t="s">
        <v>252</v>
      </c>
      <c r="F39" s="2" t="s">
        <v>176</v>
      </c>
      <c r="L39" s="68">
        <f t="shared" ref="L39:R39" si="2">SUM(L36:L38)</f>
        <v>20487191.093370512</v>
      </c>
      <c r="M39" s="68">
        <f t="shared" si="2"/>
        <v>27904071.018171169</v>
      </c>
      <c r="N39" s="68">
        <f t="shared" si="2"/>
        <v>334112622.40077323</v>
      </c>
      <c r="O39" s="68">
        <f t="shared" si="2"/>
        <v>385758053.9807182</v>
      </c>
      <c r="P39" s="68">
        <f t="shared" si="2"/>
        <v>17302363.273569763</v>
      </c>
      <c r="Q39" s="68">
        <f t="shared" si="2"/>
        <v>286427922.36313856</v>
      </c>
      <c r="R39" s="68">
        <f t="shared" si="2"/>
        <v>16388953.367710022</v>
      </c>
    </row>
    <row r="41" spans="2:18" ht="12.75" customHeight="1" x14ac:dyDescent="0.2">
      <c r="B41" s="80" t="s">
        <v>248</v>
      </c>
      <c r="F41" s="80" t="s">
        <v>265</v>
      </c>
      <c r="H41" s="68">
        <f>H32*(1-H26)^5*(1+H27)^5</f>
        <v>35718451.459748358</v>
      </c>
    </row>
    <row r="43" spans="2:18" ht="12.75" customHeight="1" x14ac:dyDescent="0.25">
      <c r="B43" s="2" t="s">
        <v>253</v>
      </c>
      <c r="F43" s="2" t="s">
        <v>265</v>
      </c>
      <c r="L43" s="97">
        <f>'Input richtbedragen'!L34</f>
        <v>15077723.017221121</v>
      </c>
      <c r="M43" s="97">
        <f>'Input richtbedragen'!M34</f>
        <v>20470755.641860146</v>
      </c>
      <c r="N43" s="97">
        <f>'Input richtbedragen'!N34</f>
        <v>246716457.52516726</v>
      </c>
      <c r="O43" s="97">
        <f>'Input richtbedragen'!O34</f>
        <v>289679528.90799332</v>
      </c>
      <c r="P43" s="97">
        <f>'Input richtbedragen'!P34</f>
        <v>13271115.662803946</v>
      </c>
      <c r="Q43" s="97">
        <f>'Input richtbedragen'!Q34</f>
        <v>214893660.64183444</v>
      </c>
      <c r="R43" s="97">
        <f>'Input richtbedragen'!R34</f>
        <v>13463813.738496147</v>
      </c>
    </row>
    <row r="44" spans="2:18" ht="12.75" customHeight="1" x14ac:dyDescent="0.25">
      <c r="B44" s="2" t="s">
        <v>254</v>
      </c>
      <c r="F44" s="2" t="s">
        <v>265</v>
      </c>
      <c r="L44" s="68">
        <f t="shared" ref="L44:R44" si="3">L30-L45</f>
        <v>4259267.803802344</v>
      </c>
      <c r="M44" s="68">
        <f t="shared" si="3"/>
        <v>5608868.4124727957</v>
      </c>
      <c r="N44" s="68">
        <f t="shared" si="3"/>
        <v>67162634.041316628</v>
      </c>
      <c r="O44" s="68">
        <f t="shared" si="3"/>
        <v>75948670.019304022</v>
      </c>
      <c r="P44" s="68">
        <f t="shared" si="3"/>
        <v>3220936.7800748218</v>
      </c>
      <c r="Q44" s="68">
        <f t="shared" si="3"/>
        <v>54491908.824253105</v>
      </c>
      <c r="R44" s="68">
        <f t="shared" si="3"/>
        <v>1700796.7918107281</v>
      </c>
    </row>
    <row r="45" spans="2:18" ht="12.75" customHeight="1" x14ac:dyDescent="0.25">
      <c r="B45" s="2" t="s">
        <v>255</v>
      </c>
      <c r="F45" s="2" t="s">
        <v>265</v>
      </c>
      <c r="L45" s="68">
        <f t="shared" ref="L45:R45" si="4">$H$41*SUM(L22:L24)/SUM($L$22:$R$24)</f>
        <v>576294.1332357002</v>
      </c>
      <c r="M45" s="68">
        <f t="shared" si="4"/>
        <v>1114414.4791792152</v>
      </c>
      <c r="N45" s="68">
        <f t="shared" si="4"/>
        <v>10906312.926509114</v>
      </c>
      <c r="O45" s="68">
        <f t="shared" si="4"/>
        <v>11893241.573719488</v>
      </c>
      <c r="P45" s="68">
        <f t="shared" si="4"/>
        <v>417503.07293640671</v>
      </c>
      <c r="Q45" s="68">
        <f t="shared" si="4"/>
        <v>10252730.665233813</v>
      </c>
      <c r="R45" s="68">
        <f t="shared" si="4"/>
        <v>557954.60893461772</v>
      </c>
    </row>
    <row r="46" spans="2:18" ht="12.75" customHeight="1" x14ac:dyDescent="0.25">
      <c r="B46" s="2" t="s">
        <v>256</v>
      </c>
      <c r="F46" s="2" t="s">
        <v>265</v>
      </c>
      <c r="L46" s="68">
        <f t="shared" ref="L46:R46" si="5">SUM(L43:L45)</f>
        <v>19913284.954259165</v>
      </c>
      <c r="M46" s="68">
        <f t="shared" si="5"/>
        <v>27194038.533512156</v>
      </c>
      <c r="N46" s="68">
        <f t="shared" si="5"/>
        <v>324785404.492993</v>
      </c>
      <c r="O46" s="68">
        <f t="shared" si="5"/>
        <v>377521440.50101686</v>
      </c>
      <c r="P46" s="68">
        <f t="shared" si="5"/>
        <v>16909555.515815176</v>
      </c>
      <c r="Q46" s="68">
        <f t="shared" si="5"/>
        <v>279638300.13132131</v>
      </c>
      <c r="R46" s="68">
        <f t="shared" si="5"/>
        <v>15722565.139241494</v>
      </c>
    </row>
    <row r="48" spans="2:18" s="8" customFormat="1" x14ac:dyDescent="0.25">
      <c r="B48" s="8" t="s">
        <v>261</v>
      </c>
    </row>
    <row r="50" spans="2:18" ht="12.75" customHeight="1" x14ac:dyDescent="0.25">
      <c r="B50" s="2" t="s">
        <v>189</v>
      </c>
      <c r="F50" s="2" t="s">
        <v>132</v>
      </c>
      <c r="L50" s="105">
        <f t="shared" ref="L50:R52" si="6">L36/L$39</f>
        <v>0.78164925813708164</v>
      </c>
      <c r="M50" s="105">
        <f t="shared" si="6"/>
        <v>0.77710335918678974</v>
      </c>
      <c r="N50" s="105">
        <f t="shared" si="6"/>
        <v>0.78383889112399252</v>
      </c>
      <c r="O50" s="105">
        <f t="shared" si="6"/>
        <v>0.78934271486851193</v>
      </c>
      <c r="P50" s="105">
        <f t="shared" si="6"/>
        <v>0.80546422441738275</v>
      </c>
      <c r="Q50" s="105">
        <f t="shared" si="6"/>
        <v>0.79088837785342192</v>
      </c>
      <c r="R50" s="105">
        <f t="shared" si="6"/>
        <v>0.87250095782016135</v>
      </c>
    </row>
    <row r="51" spans="2:18" ht="12.75" customHeight="1" x14ac:dyDescent="0.25">
      <c r="B51" s="2" t="s">
        <v>190</v>
      </c>
      <c r="F51" s="2" t="s">
        <v>132</v>
      </c>
      <c r="L51" s="105">
        <f t="shared" si="6"/>
        <v>0.1918808763191634</v>
      </c>
      <c r="M51" s="105">
        <f t="shared" si="6"/>
        <v>0.18531557153992789</v>
      </c>
      <c r="N51" s="105">
        <f t="shared" si="6"/>
        <v>0.18544437560960833</v>
      </c>
      <c r="O51" s="105">
        <f t="shared" si="6"/>
        <v>0.18164545050054351</v>
      </c>
      <c r="P51" s="105">
        <f t="shared" si="6"/>
        <v>0.17182958883115804</v>
      </c>
      <c r="Q51" s="105">
        <f t="shared" si="6"/>
        <v>0.17542835954433827</v>
      </c>
      <c r="R51" s="105">
        <f t="shared" si="6"/>
        <v>9.5463092337212369E-2</v>
      </c>
    </row>
    <row r="52" spans="2:18" ht="12.75" customHeight="1" x14ac:dyDescent="0.25">
      <c r="B52" s="2" t="s">
        <v>191</v>
      </c>
      <c r="F52" s="2" t="s">
        <v>132</v>
      </c>
      <c r="L52" s="105">
        <f t="shared" si="6"/>
        <v>2.6469865543754967E-2</v>
      </c>
      <c r="M52" s="105">
        <f t="shared" si="6"/>
        <v>3.7581069273282412E-2</v>
      </c>
      <c r="N52" s="105">
        <f t="shared" si="6"/>
        <v>3.0716733266399229E-2</v>
      </c>
      <c r="O52" s="105">
        <f t="shared" si="6"/>
        <v>2.9011834630944741E-2</v>
      </c>
      <c r="P52" s="105">
        <f t="shared" si="6"/>
        <v>2.2706186751459159E-2</v>
      </c>
      <c r="Q52" s="105">
        <f t="shared" si="6"/>
        <v>3.368326260223993E-2</v>
      </c>
      <c r="R52" s="105">
        <f t="shared" si="6"/>
        <v>3.2035949842626289E-2</v>
      </c>
    </row>
    <row r="54" spans="2:18" ht="12.75" customHeight="1" x14ac:dyDescent="0.25">
      <c r="B54" s="2" t="s">
        <v>192</v>
      </c>
      <c r="F54" s="2" t="s">
        <v>132</v>
      </c>
      <c r="L54" s="105">
        <f t="shared" ref="L54:R56" si="7">L43/L$46</f>
        <v>0.75716904829387344</v>
      </c>
      <c r="M54" s="105">
        <f t="shared" si="7"/>
        <v>0.75276629532731321</v>
      </c>
      <c r="N54" s="105">
        <f t="shared" si="7"/>
        <v>0.75962914007883009</v>
      </c>
      <c r="O54" s="105">
        <f t="shared" si="7"/>
        <v>0.76731940978915891</v>
      </c>
      <c r="P54" s="105">
        <f t="shared" si="7"/>
        <v>0.78482936174116058</v>
      </c>
      <c r="Q54" s="105">
        <f t="shared" si="7"/>
        <v>0.76847005771712218</v>
      </c>
      <c r="R54" s="105">
        <f t="shared" si="7"/>
        <v>0.85633696659918457</v>
      </c>
    </row>
    <row r="55" spans="2:18" ht="12.75" customHeight="1" x14ac:dyDescent="0.25">
      <c r="B55" s="2" t="s">
        <v>193</v>
      </c>
      <c r="F55" s="2" t="s">
        <v>132</v>
      </c>
      <c r="L55" s="105">
        <f t="shared" si="7"/>
        <v>0.21389076757480679</v>
      </c>
      <c r="M55" s="105">
        <f t="shared" si="7"/>
        <v>0.2062536024416084</v>
      </c>
      <c r="N55" s="105">
        <f t="shared" si="7"/>
        <v>0.20679080128665575</v>
      </c>
      <c r="O55" s="105">
        <f t="shared" si="7"/>
        <v>0.20117710379180292</v>
      </c>
      <c r="P55" s="105">
        <f t="shared" si="7"/>
        <v>0.19048027472173013</v>
      </c>
      <c r="Q55" s="105">
        <f t="shared" si="7"/>
        <v>0.19486568470292906</v>
      </c>
      <c r="R55" s="105">
        <f t="shared" si="7"/>
        <v>0.10817552840444329</v>
      </c>
    </row>
    <row r="56" spans="2:18" ht="12.75" customHeight="1" x14ac:dyDescent="0.25">
      <c r="B56" s="2" t="s">
        <v>194</v>
      </c>
      <c r="F56" s="2" t="s">
        <v>132</v>
      </c>
      <c r="L56" s="105">
        <f t="shared" si="7"/>
        <v>2.8940184131319789E-2</v>
      </c>
      <c r="M56" s="105">
        <f t="shared" si="7"/>
        <v>4.0980102231078459E-2</v>
      </c>
      <c r="N56" s="105">
        <f t="shared" si="7"/>
        <v>3.3580058634514194E-2</v>
      </c>
      <c r="O56" s="105">
        <f t="shared" si="7"/>
        <v>3.1503486419038107E-2</v>
      </c>
      <c r="P56" s="105">
        <f t="shared" si="7"/>
        <v>2.4690363537109197E-2</v>
      </c>
      <c r="Q56" s="105">
        <f t="shared" si="7"/>
        <v>3.6664257579948865E-2</v>
      </c>
      <c r="R56" s="105">
        <f t="shared" si="7"/>
        <v>3.5487504996372064E-2</v>
      </c>
    </row>
    <row r="58" spans="2:18" s="8" customFormat="1" x14ac:dyDescent="0.25">
      <c r="B58" s="8" t="s">
        <v>184</v>
      </c>
    </row>
    <row r="60" spans="2:18" ht="12.75" customHeight="1" x14ac:dyDescent="0.2">
      <c r="B60" s="2" t="s">
        <v>402</v>
      </c>
      <c r="F60" s="86" t="s">
        <v>265</v>
      </c>
      <c r="L60" s="97">
        <f>'TI-berekening 2021'!L26</f>
        <v>20157055.077355903</v>
      </c>
      <c r="M60" s="97">
        <f>'TI-berekening 2021'!M26</f>
        <v>27481973.468672816</v>
      </c>
      <c r="N60" s="97">
        <f>'TI-berekening 2021'!N26</f>
        <v>328728643.23267359</v>
      </c>
      <c r="O60" s="97">
        <f>'TI-berekening 2021'!O26</f>
        <v>382024017.39880067</v>
      </c>
      <c r="P60" s="97">
        <f>'TI-berekening 2021'!P26</f>
        <v>17117694.336374097</v>
      </c>
      <c r="Q60" s="97">
        <f>'TI-berekening 2021'!Q26</f>
        <v>283086985.38853133</v>
      </c>
      <c r="R60" s="97">
        <f>'TI-berekening 2021'!R26</f>
        <v>15915637.21655071</v>
      </c>
    </row>
    <row r="61" spans="2:18" ht="12.75" customHeight="1" x14ac:dyDescent="0.2">
      <c r="F61" s="86"/>
    </row>
    <row r="62" spans="2:18" ht="12.75" customHeight="1" x14ac:dyDescent="0.2">
      <c r="B62" s="2" t="s">
        <v>284</v>
      </c>
      <c r="F62" s="86" t="s">
        <v>265</v>
      </c>
      <c r="L62" s="97">
        <f>'TI-berekening 2021'!L30</f>
        <v>-755.44100782341968</v>
      </c>
      <c r="M62" s="97">
        <f>'TI-berekening 2021'!M30</f>
        <v>-22554.804653516843</v>
      </c>
      <c r="N62" s="97">
        <f>'TI-berekening 2021'!N30</f>
        <v>2897416.4107277384</v>
      </c>
      <c r="O62" s="97">
        <f>'TI-berekening 2021'!O30</f>
        <v>32089663.765031651</v>
      </c>
      <c r="P62" s="97">
        <f>'TI-berekening 2021'!P30</f>
        <v>-2275905.2573175337</v>
      </c>
      <c r="Q62" s="97">
        <f>'TI-berekening 2021'!Q30</f>
        <v>10274111.274302321</v>
      </c>
      <c r="R62" s="97">
        <f>'TI-berekening 2021'!R30</f>
        <v>23154.464058966867</v>
      </c>
    </row>
    <row r="63" spans="2:18" x14ac:dyDescent="0.2">
      <c r="B63" s="2" t="s">
        <v>353</v>
      </c>
      <c r="F63" s="2" t="s">
        <v>265</v>
      </c>
      <c r="L63" s="134"/>
      <c r="M63" s="134"/>
      <c r="N63" s="134"/>
      <c r="O63" s="134"/>
      <c r="P63" s="110">
        <f>'Lagere tarieven RENDO'!P29</f>
        <v>1929228.9594922541</v>
      </c>
      <c r="Q63" s="134"/>
      <c r="R63" s="134"/>
    </row>
    <row r="64" spans="2:18" ht="12.75" customHeight="1" x14ac:dyDescent="0.2">
      <c r="B64" s="2" t="s">
        <v>299</v>
      </c>
      <c r="F64" s="86" t="s">
        <v>265</v>
      </c>
      <c r="L64" s="97">
        <f>'TI-berekening 2021'!L32</f>
        <v>534.56000000000006</v>
      </c>
      <c r="M64" s="97">
        <f>'TI-berekening 2021'!M32</f>
        <v>0</v>
      </c>
      <c r="N64" s="97">
        <f>'TI-berekening 2021'!N32</f>
        <v>267719.66840657138</v>
      </c>
      <c r="O64" s="97">
        <f>'TI-berekening 2021'!O32</f>
        <v>66055.340000000011</v>
      </c>
      <c r="P64" s="97">
        <f>'TI-berekening 2021'!P32</f>
        <v>24311.686533333334</v>
      </c>
      <c r="Q64" s="97">
        <f>'TI-berekening 2021'!Q32</f>
        <v>15740.276544667058</v>
      </c>
      <c r="R64" s="97">
        <f>'TI-berekening 2021'!R32</f>
        <v>0</v>
      </c>
    </row>
    <row r="65" spans="2:18" ht="12.75" customHeight="1" x14ac:dyDescent="0.2">
      <c r="B65" s="2" t="s">
        <v>332</v>
      </c>
      <c r="F65" s="86" t="s">
        <v>265</v>
      </c>
      <c r="L65" s="97">
        <f>'TI-berekening 2021'!L33</f>
        <v>6342.2131801600008</v>
      </c>
      <c r="M65" s="97">
        <f>'TI-berekening 2021'!M33</f>
        <v>9367.3040947200025</v>
      </c>
      <c r="N65" s="97">
        <f>'TI-berekening 2021'!N33</f>
        <v>202013.12550848001</v>
      </c>
      <c r="O65" s="97">
        <f>'TI-berekening 2021'!O33</f>
        <v>258778.98675200003</v>
      </c>
      <c r="P65" s="97">
        <f>'TI-berekening 2021'!P33</f>
        <v>7915.2353280000007</v>
      </c>
      <c r="Q65" s="97">
        <f>'TI-berekening 2021'!Q33</f>
        <v>169583.58971840001</v>
      </c>
      <c r="R65" s="97">
        <f>'TI-berekening 2021'!R33</f>
        <v>2990.6580704000003</v>
      </c>
    </row>
    <row r="66" spans="2:18" ht="12.75" customHeight="1" x14ac:dyDescent="0.2">
      <c r="B66" s="2" t="s">
        <v>456</v>
      </c>
      <c r="F66" s="86" t="s">
        <v>265</v>
      </c>
      <c r="L66" s="97">
        <f>'TI-berekening 2021'!L36</f>
        <v>571.52570704119285</v>
      </c>
      <c r="M66" s="97">
        <f>'TI-berekening 2021'!M36</f>
        <v>829.6712047042605</v>
      </c>
      <c r="N66" s="97">
        <f>'TI-berekening 2021'!N36</f>
        <v>10453.241281396002</v>
      </c>
      <c r="O66" s="97">
        <f>'TI-berekening 2021'!O36</f>
        <v>10762.255657499432</v>
      </c>
      <c r="P66" s="97">
        <f>'TI-berekening 2021'!P36</f>
        <v>442.63462567988785</v>
      </c>
      <c r="Q66" s="97">
        <f>'TI-berekening 2021'!Q36</f>
        <v>8321.1883940522384</v>
      </c>
      <c r="R66" s="97">
        <f>'TI-berekening 2021'!R36</f>
        <v>1555.6539458330908</v>
      </c>
    </row>
    <row r="67" spans="2:18" ht="12.75" customHeight="1" x14ac:dyDescent="0.2">
      <c r="B67" s="2" t="s">
        <v>457</v>
      </c>
      <c r="F67" s="86" t="s">
        <v>265</v>
      </c>
      <c r="L67" s="97">
        <f>'TI-berekening 2021'!L34</f>
        <v>2349.4226593157719</v>
      </c>
      <c r="M67" s="97">
        <f>'TI-berekening 2021'!M34</f>
        <v>2541.0696377257959</v>
      </c>
      <c r="N67" s="97">
        <f>'TI-berekening 2021'!N34</f>
        <v>42864.339586966933</v>
      </c>
      <c r="O67" s="97">
        <f>'TI-berekening 2021'!O34</f>
        <v>39001.344588361455</v>
      </c>
      <c r="P67" s="97">
        <f>'TI-berekening 2021'!P34</f>
        <v>1218.8304452391178</v>
      </c>
      <c r="Q67" s="97">
        <f>'TI-berekening 2021'!Q34</f>
        <v>36058.917957471458</v>
      </c>
      <c r="R67" s="97">
        <f>'TI-berekening 2021'!R34</f>
        <v>6360.9666401633158</v>
      </c>
    </row>
    <row r="68" spans="2:18" ht="12.75" customHeight="1" x14ac:dyDescent="0.2">
      <c r="B68" s="2" t="s">
        <v>458</v>
      </c>
      <c r="F68" s="86" t="s">
        <v>265</v>
      </c>
      <c r="L68" s="97">
        <f>'TI-berekening 2021'!L35</f>
        <v>569.62348428637256</v>
      </c>
      <c r="M68" s="97">
        <f>'TI-berekening 2021'!M35</f>
        <v>508.44141596146864</v>
      </c>
      <c r="N68" s="97">
        <f>'TI-berekening 2021'!N35</f>
        <v>2514.3234159909935</v>
      </c>
      <c r="O68" s="97">
        <f>'TI-berekening 2021'!O35</f>
        <v>8625.5967860465498</v>
      </c>
      <c r="P68" s="97">
        <f>'TI-berekening 2021'!P35</f>
        <v>642.07205339378447</v>
      </c>
      <c r="Q68" s="97">
        <f>'TI-berekening 2021'!Q35</f>
        <v>-417.46880075007681</v>
      </c>
      <c r="R68" s="97">
        <f>'TI-berekening 2021'!R35</f>
        <v>596.63331496306694</v>
      </c>
    </row>
    <row r="69" spans="2:18" ht="12.75" customHeight="1" x14ac:dyDescent="0.2">
      <c r="B69" s="2" t="s">
        <v>453</v>
      </c>
      <c r="F69" s="86" t="s">
        <v>265</v>
      </c>
      <c r="L69" s="97">
        <f>'TI-berekening 2021'!L37</f>
        <v>342371.3050133186</v>
      </c>
      <c r="M69" s="97">
        <f>'TI-berekening 2021'!M37</f>
        <v>496280.76356934418</v>
      </c>
      <c r="N69" s="97">
        <f>'TI-berekening 2021'!N37</f>
        <v>6251480.8469724301</v>
      </c>
      <c r="O69" s="97">
        <f>'TI-berekening 2021'!O37</f>
        <v>6438942.9196121963</v>
      </c>
      <c r="P69" s="97">
        <f>'TI-berekening 2021'!P37</f>
        <v>264929.75551612099</v>
      </c>
      <c r="Q69" s="97">
        <f>'TI-berekening 2021'!Q37</f>
        <v>4976518.0874875216</v>
      </c>
      <c r="R69" s="97">
        <f>'TI-berekening 2021'!R37</f>
        <v>922305.20129671472</v>
      </c>
    </row>
    <row r="70" spans="2:18" ht="12.75" customHeight="1" x14ac:dyDescent="0.2">
      <c r="B70" s="2" t="s">
        <v>454</v>
      </c>
      <c r="F70" s="86" t="s">
        <v>265</v>
      </c>
      <c r="L70" s="97">
        <f>'TI-berekening 2021'!L38</f>
        <v>162542.62666030106</v>
      </c>
      <c r="M70" s="97">
        <f>'TI-berekening 2021'!M38</f>
        <v>329640.2505248136</v>
      </c>
      <c r="N70" s="97">
        <f>'TI-berekening 2021'!N38</f>
        <v>4900593.7303319443</v>
      </c>
      <c r="O70" s="97">
        <f>'TI-berekening 2021'!O38</f>
        <v>5494206.6223513419</v>
      </c>
      <c r="P70" s="97">
        <f>'TI-berekening 2021'!P38</f>
        <v>149396.63557626095</v>
      </c>
      <c r="Q70" s="97">
        <f>'TI-berekening 2021'!Q38</f>
        <v>3525554.7884365208</v>
      </c>
      <c r="R70" s="97">
        <f>'TI-berekening 2021'!R38</f>
        <v>900077.34038822388</v>
      </c>
    </row>
    <row r="71" spans="2:18" ht="12.75" customHeight="1" x14ac:dyDescent="0.2">
      <c r="B71" s="2" t="s">
        <v>455</v>
      </c>
      <c r="F71" s="86" t="s">
        <v>265</v>
      </c>
      <c r="L71" s="97">
        <f>'TI-berekening 2021'!L39</f>
        <v>270407.66067786969</v>
      </c>
      <c r="M71" s="97">
        <f>'TI-berekening 2021'!M39</f>
        <v>87390.904483392136</v>
      </c>
      <c r="N71" s="97">
        <f>'TI-berekening 2021'!N39</f>
        <v>1803721.9231943311</v>
      </c>
      <c r="O71" s="97">
        <f>'TI-berekening 2021'!O39</f>
        <v>1529805.7448539184</v>
      </c>
      <c r="P71" s="97">
        <f>'TI-berekening 2021'!P39</f>
        <v>124277.29953056175</v>
      </c>
      <c r="Q71" s="97">
        <f>'TI-berekening 2021'!Q39</f>
        <v>1729434.2785759792</v>
      </c>
      <c r="R71" s="97">
        <f>'TI-berekening 2021'!R39</f>
        <v>106674.54260565958</v>
      </c>
    </row>
    <row r="72" spans="2:18" ht="12.75" customHeight="1" x14ac:dyDescent="0.2">
      <c r="B72" s="2" t="s">
        <v>328</v>
      </c>
      <c r="F72" s="86" t="s">
        <v>265</v>
      </c>
      <c r="L72" s="97">
        <f>'TI-berekening 2021'!L40</f>
        <v>0</v>
      </c>
      <c r="M72" s="97">
        <f>'TI-berekening 2021'!M40</f>
        <v>0</v>
      </c>
      <c r="N72" s="97">
        <f>'TI-berekening 2021'!N40</f>
        <v>3048953.918009745</v>
      </c>
      <c r="O72" s="97">
        <f>'TI-berekening 2021'!O40</f>
        <v>0</v>
      </c>
      <c r="P72" s="97">
        <f>'TI-berekening 2021'!P40</f>
        <v>0</v>
      </c>
      <c r="Q72" s="97">
        <f>'TI-berekening 2021'!Q40</f>
        <v>-3048953.918009745</v>
      </c>
      <c r="R72" s="97">
        <f>'TI-berekening 2021'!R40</f>
        <v>0</v>
      </c>
    </row>
    <row r="73" spans="2:18" ht="12.75" customHeight="1" x14ac:dyDescent="0.2">
      <c r="B73" s="2" t="s">
        <v>432</v>
      </c>
      <c r="F73" s="86" t="s">
        <v>265</v>
      </c>
      <c r="L73" s="97">
        <f>'TI-berekening 2021'!L41</f>
        <v>791194.95060726535</v>
      </c>
      <c r="M73" s="97">
        <f>'TI-berekening 2021'!M41</f>
        <v>940809.26267798012</v>
      </c>
      <c r="N73" s="97">
        <f>'TI-berekening 2021'!N41</f>
        <v>12912879.17015096</v>
      </c>
      <c r="O73" s="97">
        <f>'TI-berekening 2021'!O41</f>
        <v>13621930.57038974</v>
      </c>
      <c r="P73" s="97">
        <f>'TI-berekening 2021'!P41</f>
        <v>609412.27697872987</v>
      </c>
      <c r="Q73" s="97">
        <f>'TI-berekening 2021'!Q41</f>
        <v>10446159.129509035</v>
      </c>
      <c r="R73" s="97">
        <f>'TI-berekening 2021'!R41</f>
        <v>722149.77867085708</v>
      </c>
    </row>
    <row r="75" spans="2:18" ht="12.75" customHeight="1" x14ac:dyDescent="0.2">
      <c r="B75" s="2" t="s">
        <v>333</v>
      </c>
      <c r="F75" s="86" t="s">
        <v>265</v>
      </c>
      <c r="L75" s="68">
        <f>SUM(L60,L62:L65,L72:L73)</f>
        <v>20954371.360135503</v>
      </c>
      <c r="M75" s="68">
        <f t="shared" ref="M75:R75" si="8">SUM(M60,M62:M65,M72:M73)</f>
        <v>28409595.230791997</v>
      </c>
      <c r="N75" s="68">
        <f t="shared" si="8"/>
        <v>348057625.52547705</v>
      </c>
      <c r="O75" s="68">
        <f t="shared" si="8"/>
        <v>428060446.060974</v>
      </c>
      <c r="P75" s="68">
        <f t="shared" si="8"/>
        <v>17412657.237388879</v>
      </c>
      <c r="Q75" s="68">
        <f t="shared" si="8"/>
        <v>300943625.740596</v>
      </c>
      <c r="R75" s="68">
        <f t="shared" si="8"/>
        <v>16663932.117350934</v>
      </c>
    </row>
    <row r="77" spans="2:18" ht="12.75" customHeight="1" x14ac:dyDescent="0.2">
      <c r="B77" s="2" t="s">
        <v>334</v>
      </c>
      <c r="F77" s="86" t="s">
        <v>265</v>
      </c>
      <c r="L77" s="67">
        <f t="shared" ref="L77:R77" si="9">L54*L$75+L66+L69</f>
        <v>16208944.251070559</v>
      </c>
      <c r="M77" s="67">
        <f t="shared" si="9"/>
        <v>21882896.188405845</v>
      </c>
      <c r="N77" s="67">
        <f t="shared" si="9"/>
        <v>270656648.8640514</v>
      </c>
      <c r="O77" s="67">
        <f t="shared" si="9"/>
        <v>334908794.00086033</v>
      </c>
      <c r="P77" s="67">
        <f t="shared" si="9"/>
        <v>13931337.055979317</v>
      </c>
      <c r="Q77" s="67">
        <f t="shared" si="9"/>
        <v>236251004.71835738</v>
      </c>
      <c r="R77" s="67">
        <f t="shared" si="9"/>
        <v>15193801.936229574</v>
      </c>
    </row>
    <row r="78" spans="2:18" ht="12.75" customHeight="1" x14ac:dyDescent="0.2">
      <c r="B78" s="2" t="s">
        <v>335</v>
      </c>
      <c r="F78" s="86" t="s">
        <v>265</v>
      </c>
      <c r="L78" s="67">
        <f t="shared" ref="L78:R78" si="10">L55*L$75</f>
        <v>4481946.574266931</v>
      </c>
      <c r="M78" s="67">
        <f t="shared" si="10"/>
        <v>5859581.3602587869</v>
      </c>
      <c r="N78" s="67">
        <f t="shared" si="10"/>
        <v>71975115.276344165</v>
      </c>
      <c r="O78" s="67">
        <f t="shared" si="10"/>
        <v>86115960.786374018</v>
      </c>
      <c r="P78" s="67">
        <f t="shared" si="10"/>
        <v>3316767.7342131562</v>
      </c>
      <c r="Q78" s="67">
        <f t="shared" si="10"/>
        <v>58643585.686923265</v>
      </c>
      <c r="R78" s="67">
        <f t="shared" si="10"/>
        <v>1802629.6620902107</v>
      </c>
    </row>
    <row r="79" spans="2:18" ht="12.75" customHeight="1" x14ac:dyDescent="0.2">
      <c r="B79" s="2" t="s">
        <v>336</v>
      </c>
      <c r="F79" s="86" t="s">
        <v>265</v>
      </c>
      <c r="L79" s="67">
        <f>L67+L70</f>
        <v>164892.04931961684</v>
      </c>
      <c r="M79" s="67">
        <f t="shared" ref="M79:R79" si="11">M67+M70</f>
        <v>332181.32016253937</v>
      </c>
      <c r="N79" s="67">
        <f t="shared" si="11"/>
        <v>4943458.069918911</v>
      </c>
      <c r="O79" s="67">
        <f t="shared" si="11"/>
        <v>5533207.9669397036</v>
      </c>
      <c r="P79" s="67">
        <f t="shared" si="11"/>
        <v>150615.46602150006</v>
      </c>
      <c r="Q79" s="67">
        <f t="shared" si="11"/>
        <v>3561613.7063939925</v>
      </c>
      <c r="R79" s="67">
        <f t="shared" si="11"/>
        <v>906438.30702838721</v>
      </c>
    </row>
    <row r="80" spans="2:18" ht="12.75" customHeight="1" x14ac:dyDescent="0.2">
      <c r="B80" s="2" t="s">
        <v>337</v>
      </c>
      <c r="F80" s="86" t="s">
        <v>265</v>
      </c>
      <c r="L80" s="67">
        <f t="shared" ref="L80:R80" si="12">L56*L$75</f>
        <v>606423.3655183753</v>
      </c>
      <c r="M80" s="67">
        <f t="shared" si="12"/>
        <v>1164228.1169014152</v>
      </c>
      <c r="N80" s="67">
        <f t="shared" si="12"/>
        <v>11687795.473335303</v>
      </c>
      <c r="O80" s="67">
        <f t="shared" si="12"/>
        <v>13485396.449009288</v>
      </c>
      <c r="P80" s="67">
        <f t="shared" si="12"/>
        <v>429924.83733820694</v>
      </c>
      <c r="Q80" s="67">
        <f t="shared" si="12"/>
        <v>11033874.611196941</v>
      </c>
      <c r="R80" s="67">
        <f t="shared" si="12"/>
        <v>591361.37427369622</v>
      </c>
    </row>
    <row r="81" spans="2:18" ht="12.75" customHeight="1" x14ac:dyDescent="0.2">
      <c r="B81" s="2" t="s">
        <v>338</v>
      </c>
      <c r="F81" s="86" t="s">
        <v>265</v>
      </c>
      <c r="L81" s="67">
        <f>L68+L71</f>
        <v>270977.28416215605</v>
      </c>
      <c r="M81" s="67">
        <f t="shared" ref="M81:R81" si="13">M68+M71</f>
        <v>87899.345899353604</v>
      </c>
      <c r="N81" s="67">
        <f t="shared" si="13"/>
        <v>1806236.246610322</v>
      </c>
      <c r="O81" s="67">
        <f t="shared" si="13"/>
        <v>1538431.3416399651</v>
      </c>
      <c r="P81" s="67">
        <f t="shared" si="13"/>
        <v>124919.37158395554</v>
      </c>
      <c r="Q81" s="67">
        <f t="shared" si="13"/>
        <v>1729016.8097752291</v>
      </c>
      <c r="R81" s="67">
        <f t="shared" si="13"/>
        <v>107271.17592062264</v>
      </c>
    </row>
    <row r="82" spans="2:18" ht="12.75" customHeight="1" x14ac:dyDescent="0.2">
      <c r="F82" s="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E30"/>
  <sheetViews>
    <sheetView showGridLines="0" zoomScale="85" zoomScaleNormal="85" workbookViewId="0">
      <pane ySplit="3" topLeftCell="A4" activePane="bottomLeft" state="frozen"/>
      <selection activeCell="A4" sqref="A4"/>
      <selection pane="bottomLeft" activeCell="A4" sqref="A4"/>
    </sheetView>
  </sheetViews>
  <sheetFormatPr defaultRowHeight="15" customHeight="1" x14ac:dyDescent="0.25"/>
  <cols>
    <col min="1" max="1" width="2.85546875" style="2" customWidth="1"/>
    <col min="2" max="2" width="7.5703125" style="2" customWidth="1"/>
    <col min="3" max="3" width="45.7109375" style="2" bestFit="1" customWidth="1"/>
    <col min="4" max="4" width="40.7109375" style="150" customWidth="1"/>
    <col min="5" max="5" width="40.7109375" style="2" customWidth="1"/>
    <col min="6" max="6" width="4.5703125" style="2" customWidth="1"/>
    <col min="7" max="7" width="43.42578125" style="2" customWidth="1"/>
    <col min="8" max="8" width="28.7109375" style="2" customWidth="1"/>
    <col min="9" max="9" width="26.85546875" style="2" customWidth="1"/>
    <col min="10" max="10" width="58.42578125" style="2" customWidth="1"/>
    <col min="11" max="11" width="22" style="2" customWidth="1"/>
    <col min="12" max="16384" width="9.140625" style="2"/>
  </cols>
  <sheetData>
    <row r="2" spans="2:5" s="14" customFormat="1" ht="18" x14ac:dyDescent="0.25">
      <c r="B2" s="4" t="s">
        <v>24</v>
      </c>
      <c r="D2" s="151"/>
    </row>
    <row r="4" spans="2:5" s="8" customFormat="1" ht="15" customHeight="1" x14ac:dyDescent="0.25">
      <c r="B4" s="8" t="s">
        <v>25</v>
      </c>
      <c r="D4" s="152"/>
    </row>
    <row r="6" spans="2:5" ht="15" customHeight="1" x14ac:dyDescent="0.25">
      <c r="B6" s="6"/>
      <c r="C6" s="28"/>
    </row>
    <row r="8" spans="2:5" ht="15" customHeight="1" x14ac:dyDescent="0.25">
      <c r="B8" s="25" t="s">
        <v>55</v>
      </c>
      <c r="C8" s="25" t="s">
        <v>56</v>
      </c>
      <c r="D8" s="153" t="s">
        <v>57</v>
      </c>
      <c r="E8" s="25" t="s">
        <v>62</v>
      </c>
    </row>
    <row r="9" spans="2:5" ht="15" customHeight="1" x14ac:dyDescent="0.25">
      <c r="B9" s="26"/>
      <c r="C9" s="35" t="s">
        <v>64</v>
      </c>
      <c r="D9" s="154" t="s">
        <v>26</v>
      </c>
      <c r="E9" s="35" t="s">
        <v>63</v>
      </c>
    </row>
    <row r="10" spans="2:5" ht="45" x14ac:dyDescent="0.25">
      <c r="B10" s="37">
        <v>1</v>
      </c>
      <c r="C10" s="7" t="s">
        <v>462</v>
      </c>
      <c r="D10" s="150" t="s">
        <v>461</v>
      </c>
      <c r="E10" s="121" t="s">
        <v>487</v>
      </c>
    </row>
    <row r="11" spans="2:5" ht="30" x14ac:dyDescent="0.25">
      <c r="B11" s="7">
        <v>2</v>
      </c>
      <c r="C11" s="7" t="s">
        <v>172</v>
      </c>
      <c r="D11" s="120"/>
      <c r="E11" s="121" t="s">
        <v>173</v>
      </c>
    </row>
    <row r="12" spans="2:5" ht="75" x14ac:dyDescent="0.25">
      <c r="B12" s="7">
        <v>3</v>
      </c>
      <c r="C12" s="7" t="s">
        <v>174</v>
      </c>
      <c r="D12" s="120"/>
      <c r="E12" s="121" t="s">
        <v>175</v>
      </c>
    </row>
    <row r="13" spans="2:5" ht="76.5" x14ac:dyDescent="0.25">
      <c r="B13" s="7">
        <v>4</v>
      </c>
      <c r="C13" s="120" t="s">
        <v>371</v>
      </c>
      <c r="D13" s="120" t="s">
        <v>372</v>
      </c>
      <c r="E13" s="121"/>
    </row>
    <row r="14" spans="2:5" ht="12.75" x14ac:dyDescent="0.25">
      <c r="B14" s="7">
        <v>5</v>
      </c>
      <c r="C14" s="7" t="s">
        <v>283</v>
      </c>
      <c r="D14" s="120" t="s">
        <v>180</v>
      </c>
      <c r="E14" s="120"/>
    </row>
    <row r="15" spans="2:5" ht="45" x14ac:dyDescent="0.25">
      <c r="B15" s="7">
        <v>6</v>
      </c>
      <c r="C15" s="7" t="s">
        <v>200</v>
      </c>
      <c r="D15" s="120"/>
      <c r="E15" s="121" t="s">
        <v>221</v>
      </c>
    </row>
    <row r="16" spans="2:5" ht="12.75" x14ac:dyDescent="0.25">
      <c r="B16" s="7">
        <v>7</v>
      </c>
      <c r="C16" s="7" t="s">
        <v>181</v>
      </c>
      <c r="D16" s="120" t="s">
        <v>180</v>
      </c>
      <c r="E16" s="120"/>
    </row>
    <row r="17" spans="2:5" ht="89.25" x14ac:dyDescent="0.25">
      <c r="B17" s="7">
        <v>8</v>
      </c>
      <c r="C17" s="7" t="s">
        <v>226</v>
      </c>
      <c r="D17" s="120" t="s">
        <v>344</v>
      </c>
      <c r="E17" s="120"/>
    </row>
    <row r="18" spans="2:5" ht="89.25" x14ac:dyDescent="0.25">
      <c r="B18" s="7">
        <v>9</v>
      </c>
      <c r="C18" s="7" t="s">
        <v>301</v>
      </c>
      <c r="D18" s="120" t="s">
        <v>345</v>
      </c>
      <c r="E18" s="120"/>
    </row>
    <row r="19" spans="2:5" ht="38.25" x14ac:dyDescent="0.25">
      <c r="B19" s="7">
        <v>10</v>
      </c>
      <c r="C19" s="2" t="s">
        <v>237</v>
      </c>
      <c r="D19" s="120" t="s">
        <v>180</v>
      </c>
      <c r="E19" s="120" t="s">
        <v>346</v>
      </c>
    </row>
    <row r="20" spans="2:5" ht="12.75" x14ac:dyDescent="0.25">
      <c r="B20" s="7">
        <v>11</v>
      </c>
      <c r="C20" s="7" t="s">
        <v>459</v>
      </c>
      <c r="D20" s="120" t="s">
        <v>180</v>
      </c>
      <c r="E20" s="120"/>
    </row>
    <row r="21" spans="2:5" x14ac:dyDescent="0.25">
      <c r="B21" s="7">
        <v>12</v>
      </c>
      <c r="C21" s="7" t="s">
        <v>482</v>
      </c>
      <c r="D21" s="7" t="s">
        <v>483</v>
      </c>
      <c r="E21" s="121"/>
    </row>
    <row r="22" spans="2:5" ht="25.5" x14ac:dyDescent="0.25">
      <c r="B22" s="7">
        <v>13</v>
      </c>
      <c r="C22" s="120" t="s">
        <v>397</v>
      </c>
      <c r="D22" s="120" t="s">
        <v>398</v>
      </c>
      <c r="E22" s="120"/>
    </row>
    <row r="23" spans="2:5" ht="25.5" x14ac:dyDescent="0.25">
      <c r="B23" s="7">
        <v>14</v>
      </c>
      <c r="C23" s="120" t="s">
        <v>460</v>
      </c>
      <c r="D23" s="120"/>
      <c r="E23" s="120"/>
    </row>
    <row r="24" spans="2:5" ht="12.75" x14ac:dyDescent="0.25">
      <c r="B24" s="7">
        <v>15</v>
      </c>
      <c r="C24" s="7"/>
      <c r="D24" s="120"/>
      <c r="E24" s="120"/>
    </row>
    <row r="27" spans="2:5" s="8" customFormat="1" ht="15" customHeight="1" x14ac:dyDescent="0.25">
      <c r="B27" s="8" t="s">
        <v>52</v>
      </c>
      <c r="D27" s="152"/>
    </row>
    <row r="29" spans="2:5" ht="15" customHeight="1" x14ac:dyDescent="0.25">
      <c r="B29" s="5" t="s">
        <v>50</v>
      </c>
    </row>
    <row r="30" spans="2:5" ht="15" customHeight="1" x14ac:dyDescent="0.25">
      <c r="B30" s="5" t="s">
        <v>51</v>
      </c>
    </row>
  </sheetData>
  <hyperlinks>
    <hyperlink ref="E15" r:id="rId1"/>
    <hyperlink ref="E11" r:id="rId2" location="/CBS/nl/dataset/83131NED/table?ts=1528811296678"/>
    <hyperlink ref="E12" r:id="rId3"/>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2:U57"/>
  <sheetViews>
    <sheetView showGridLines="0" zoomScale="85" zoomScaleNormal="85" workbookViewId="0">
      <pane xSplit="6" ySplit="8" topLeftCell="G9" activePane="bottomRight" state="frozen"/>
      <selection activeCell="Q51" sqref="Q51"/>
      <selection pane="topRight" activeCell="Q51" sqref="Q51"/>
      <selection pane="bottomLeft" activeCell="Q51" sqref="Q51"/>
      <selection pane="bottomRight" activeCell="G9" sqref="G9"/>
    </sheetView>
  </sheetViews>
  <sheetFormatPr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5.28515625" style="2" bestFit="1" customWidth="1"/>
    <col min="13" max="13" width="14.7109375" style="2" bestFit="1" customWidth="1"/>
    <col min="14" max="15" width="15.85546875" style="2" bestFit="1" customWidth="1"/>
    <col min="16" max="16" width="14.7109375" style="2" bestFit="1" customWidth="1"/>
    <col min="17" max="17" width="15.85546875" style="2" bestFit="1" customWidth="1"/>
    <col min="18" max="18" width="14.7109375" style="2" bestFit="1" customWidth="1"/>
    <col min="19" max="20" width="2.7109375" style="2" customWidth="1"/>
    <col min="21" max="35" width="13.7109375" style="2" customWidth="1"/>
    <col min="36" max="16384" width="9.140625" style="2"/>
  </cols>
  <sheetData>
    <row r="2" spans="2:21" s="27" customFormat="1" ht="18" x14ac:dyDescent="0.25">
      <c r="B2" s="27" t="s">
        <v>326</v>
      </c>
    </row>
    <row r="4" spans="2:21" x14ac:dyDescent="0.25">
      <c r="B4" s="1" t="s">
        <v>59</v>
      </c>
      <c r="C4" s="1"/>
      <c r="D4" s="1"/>
    </row>
    <row r="5" spans="2:21" x14ac:dyDescent="0.2">
      <c r="B5" s="41" t="s">
        <v>428</v>
      </c>
      <c r="C5" s="3"/>
      <c r="D5" s="3"/>
      <c r="H5" s="28"/>
    </row>
    <row r="7" spans="2:21" s="8" customFormat="1" x14ac:dyDescent="0.25">
      <c r="B7" s="8" t="s">
        <v>45</v>
      </c>
      <c r="F7" s="8" t="s">
        <v>27</v>
      </c>
      <c r="H7" s="8" t="s">
        <v>28</v>
      </c>
      <c r="J7" s="8" t="s">
        <v>49</v>
      </c>
      <c r="L7" s="8" t="s">
        <v>165</v>
      </c>
      <c r="M7" s="8" t="s">
        <v>65</v>
      </c>
      <c r="N7" s="8" t="s">
        <v>66</v>
      </c>
      <c r="O7" s="8" t="s">
        <v>67</v>
      </c>
      <c r="P7" s="8" t="s">
        <v>68</v>
      </c>
      <c r="Q7" s="8" t="s">
        <v>69</v>
      </c>
      <c r="R7" s="8" t="s">
        <v>70</v>
      </c>
      <c r="U7" s="8" t="s">
        <v>47</v>
      </c>
    </row>
    <row r="10" spans="2:21" s="8" customFormat="1" x14ac:dyDescent="0.25">
      <c r="B10" s="8" t="s">
        <v>153</v>
      </c>
    </row>
    <row r="12" spans="2:21" x14ac:dyDescent="0.2">
      <c r="B12" s="2" t="s">
        <v>154</v>
      </c>
      <c r="F12" s="57" t="s">
        <v>176</v>
      </c>
      <c r="J12" s="68">
        <f>SUM(L12:R12)</f>
        <v>1090114432.4153564</v>
      </c>
      <c r="L12" s="97">
        <f>'Input x-factor, begininkomsten'!L14</f>
        <v>20487191.093370512</v>
      </c>
      <c r="M12" s="97">
        <f>'Input x-factor, begininkomsten'!M14</f>
        <v>28978029.685308009</v>
      </c>
      <c r="N12" s="97">
        <f>'Input x-factor, begininkomsten'!N14</f>
        <v>334771366.90920109</v>
      </c>
      <c r="O12" s="97">
        <f>'Input x-factor, begininkomsten'!O14</f>
        <v>385758605.7230584</v>
      </c>
      <c r="P12" s="97">
        <f>'Input x-factor, begininkomsten'!P14</f>
        <v>17302363.273569763</v>
      </c>
      <c r="Q12" s="97">
        <f>'Input x-factor, begininkomsten'!Q14</f>
        <v>286427922.36313856</v>
      </c>
      <c r="R12" s="97">
        <f>'Input x-factor, begininkomsten'!R14</f>
        <v>16388953.367710022</v>
      </c>
    </row>
    <row r="13" spans="2:21" x14ac:dyDescent="0.25">
      <c r="B13" s="2" t="s">
        <v>377</v>
      </c>
      <c r="F13" s="2" t="s">
        <v>176</v>
      </c>
      <c r="J13" s="68">
        <f>SUM(L13:R13)</f>
        <v>1732703.1755646085</v>
      </c>
      <c r="L13" s="97">
        <f>'Input richtbedragen'!L36</f>
        <v>0</v>
      </c>
      <c r="M13" s="97">
        <f>'Input richtbedragen'!M36</f>
        <v>1073958.6671368389</v>
      </c>
      <c r="N13" s="97">
        <f>'Input richtbedragen'!N36</f>
        <v>658744.50842776964</v>
      </c>
      <c r="O13" s="97">
        <f>'Input richtbedragen'!O36</f>
        <v>0</v>
      </c>
      <c r="P13" s="97">
        <f>'Input richtbedragen'!P36</f>
        <v>0</v>
      </c>
      <c r="Q13" s="97">
        <f>'Input richtbedragen'!Q36</f>
        <v>0</v>
      </c>
      <c r="R13" s="97">
        <f>'Input richtbedragen'!R36</f>
        <v>0</v>
      </c>
    </row>
    <row r="14" spans="2:21" x14ac:dyDescent="0.2">
      <c r="B14" s="2" t="s">
        <v>155</v>
      </c>
      <c r="F14" s="57" t="s">
        <v>76</v>
      </c>
      <c r="L14" s="63">
        <f>'Input x-factor, begininkomsten'!L17</f>
        <v>1.76</v>
      </c>
      <c r="M14" s="63">
        <f>'Input x-factor, begininkomsten'!M17</f>
        <v>1.74</v>
      </c>
      <c r="N14" s="63">
        <f>'Input x-factor, begininkomsten'!N17</f>
        <v>1.76</v>
      </c>
      <c r="O14" s="63">
        <f>'Input x-factor, begininkomsten'!O17</f>
        <v>1.63</v>
      </c>
      <c r="P14" s="63">
        <f>'Input x-factor, begininkomsten'!P17</f>
        <v>1.65</v>
      </c>
      <c r="Q14" s="63">
        <f>'Input x-factor, begininkomsten'!Q17</f>
        <v>1.67</v>
      </c>
      <c r="R14" s="63">
        <f>'Input x-factor, begininkomsten'!R17</f>
        <v>2.02</v>
      </c>
    </row>
    <row r="15" spans="2:21" x14ac:dyDescent="0.2">
      <c r="F15" s="57"/>
    </row>
    <row r="16" spans="2:21" x14ac:dyDescent="0.2">
      <c r="B16" s="2" t="s">
        <v>156</v>
      </c>
      <c r="F16" s="57" t="s">
        <v>132</v>
      </c>
      <c r="H16" s="104">
        <f>'Input parameters'!R19</f>
        <v>2E-3</v>
      </c>
    </row>
    <row r="17" spans="2:20" x14ac:dyDescent="0.2">
      <c r="B17" s="2" t="s">
        <v>157</v>
      </c>
      <c r="F17" s="57" t="s">
        <v>132</v>
      </c>
      <c r="H17" s="104">
        <f>'Input parameters'!S19</f>
        <v>1.4E-2</v>
      </c>
    </row>
    <row r="18" spans="2:20" x14ac:dyDescent="0.2">
      <c r="B18" s="34" t="s">
        <v>160</v>
      </c>
      <c r="F18" s="57" t="s">
        <v>132</v>
      </c>
      <c r="H18" s="104">
        <f>'Input parameters'!T19</f>
        <v>2.1000000000000001E-2</v>
      </c>
      <c r="M18" s="149"/>
      <c r="N18" s="149"/>
      <c r="O18" s="149"/>
      <c r="P18" s="149"/>
      <c r="Q18" s="149"/>
      <c r="R18" s="149"/>
      <c r="S18" s="149"/>
      <c r="T18" s="149"/>
    </row>
    <row r="19" spans="2:20" x14ac:dyDescent="0.2">
      <c r="B19" s="34" t="s">
        <v>222</v>
      </c>
      <c r="F19" s="57" t="s">
        <v>132</v>
      </c>
      <c r="H19" s="104">
        <f>'Input parameters'!U19</f>
        <v>2.8000000000000001E-2</v>
      </c>
      <c r="L19" s="157"/>
      <c r="M19" s="157"/>
      <c r="N19" s="157"/>
      <c r="O19" s="157"/>
      <c r="P19" s="157"/>
      <c r="Q19" s="157"/>
      <c r="R19" s="157"/>
    </row>
    <row r="20" spans="2:20" x14ac:dyDescent="0.2">
      <c r="B20" s="34" t="s">
        <v>297</v>
      </c>
      <c r="F20" s="80" t="s">
        <v>132</v>
      </c>
      <c r="H20" s="104">
        <f>'Input parameters'!V19</f>
        <v>7.0000000000000001E-3</v>
      </c>
      <c r="L20" s="157"/>
      <c r="M20" s="157"/>
      <c r="N20" s="157"/>
      <c r="O20" s="157"/>
      <c r="P20" s="157"/>
      <c r="Q20" s="157"/>
      <c r="R20" s="157"/>
    </row>
    <row r="21" spans="2:20" x14ac:dyDescent="0.2">
      <c r="F21" s="57"/>
    </row>
    <row r="22" spans="2:20" x14ac:dyDescent="0.2">
      <c r="B22" s="2" t="s">
        <v>401</v>
      </c>
      <c r="F22" s="57" t="s">
        <v>178</v>
      </c>
      <c r="J22" s="68">
        <f>SUM(L22:R22)</f>
        <v>1072144247.7162663</v>
      </c>
      <c r="L22" s="109">
        <f t="shared" ref="L22" si="0">(L12-L13)*(1-L14/100+$H16)</f>
        <v>20167590.912313934</v>
      </c>
      <c r="M22" s="109">
        <f>(M12-M13)*(1-M14/100+$H16)</f>
        <v>27474348.324491333</v>
      </c>
      <c r="N22" s="109">
        <f>(N12-N13)*(1-N14/100+$H16)</f>
        <v>328900465.49132127</v>
      </c>
      <c r="O22" s="109">
        <f t="shared" ref="O22:R22" si="1">(O12-O13)*(1-O14/100+$H16)</f>
        <v>380242257.6612187</v>
      </c>
      <c r="P22" s="109">
        <f t="shared" si="1"/>
        <v>17051479.006103002</v>
      </c>
      <c r="Q22" s="109">
        <f t="shared" si="1"/>
        <v>282217431.90440041</v>
      </c>
      <c r="R22" s="109">
        <f t="shared" si="1"/>
        <v>16090674.416417699</v>
      </c>
    </row>
    <row r="23" spans="2:20" x14ac:dyDescent="0.2">
      <c r="B23" s="2" t="s">
        <v>429</v>
      </c>
      <c r="F23" s="57" t="s">
        <v>179</v>
      </c>
      <c r="J23" s="68">
        <f>SUM(L23:R23)</f>
        <v>1069015254.7912502</v>
      </c>
      <c r="L23" s="109">
        <f t="shared" ref="L23" si="2">L22*(1-L$14/100+$H17)</f>
        <v>20094987.585029606</v>
      </c>
      <c r="M23" s="109">
        <f>M22*(1-M$14/100+$H17)</f>
        <v>27380935.540188063</v>
      </c>
      <c r="N23" s="109">
        <f>N22*(1-N$14/100+$H17)</f>
        <v>327716423.81555253</v>
      </c>
      <c r="O23" s="109">
        <f t="shared" ref="O23:R26" si="3">O22*(1-O$14/100+$H17)</f>
        <v>379367700.46859789</v>
      </c>
      <c r="P23" s="109">
        <f t="shared" si="3"/>
        <v>17008850.308587745</v>
      </c>
      <c r="Q23" s="109">
        <f t="shared" si="3"/>
        <v>281455444.8382585</v>
      </c>
      <c r="R23" s="109">
        <f t="shared" si="3"/>
        <v>15990912.235035909</v>
      </c>
    </row>
    <row r="24" spans="2:20" x14ac:dyDescent="0.2">
      <c r="B24" s="2" t="s">
        <v>430</v>
      </c>
      <c r="F24" s="57" t="s">
        <v>177</v>
      </c>
      <c r="J24" s="68">
        <f>SUM(L24:R24)</f>
        <v>1073379004.1191405</v>
      </c>
      <c r="L24" s="109">
        <f t="shared" ref="L24:L26" si="4">L23*(1-L$14/100+$H18)</f>
        <v>20163310.542818706</v>
      </c>
      <c r="M24" s="109">
        <f t="shared" ref="M24:M26" si="5">M23*(1-M$14/100+$H18)</f>
        <v>27479506.908132743</v>
      </c>
      <c r="N24" s="109">
        <f t="shared" ref="N24:N26" si="6">N23*(1-N$14/100+$H18)</f>
        <v>328830659.65652543</v>
      </c>
      <c r="O24" s="109">
        <f t="shared" si="3"/>
        <v>381150728.66080028</v>
      </c>
      <c r="P24" s="109">
        <f t="shared" si="3"/>
        <v>17085390.134976387</v>
      </c>
      <c r="Q24" s="109">
        <f t="shared" si="3"/>
        <v>282665703.25106299</v>
      </c>
      <c r="R24" s="109">
        <f t="shared" si="3"/>
        <v>16003704.964823937</v>
      </c>
    </row>
    <row r="25" spans="2:20" x14ac:dyDescent="0.2">
      <c r="B25" s="2" t="s">
        <v>431</v>
      </c>
      <c r="F25" s="57" t="s">
        <v>223</v>
      </c>
      <c r="J25" s="68">
        <f>SUM(L25:R25)</f>
        <v>1085274721.0397859</v>
      </c>
      <c r="L25" s="109">
        <f t="shared" si="4"/>
        <v>20373008.972464021</v>
      </c>
      <c r="M25" s="109">
        <f t="shared" si="5"/>
        <v>27770789.681358948</v>
      </c>
      <c r="N25" s="109">
        <f t="shared" si="6"/>
        <v>332250498.51695329</v>
      </c>
      <c r="O25" s="109">
        <f t="shared" si="3"/>
        <v>385610192.18613166</v>
      </c>
      <c r="P25" s="109">
        <f t="shared" si="3"/>
        <v>17281872.121528618</v>
      </c>
      <c r="Q25" s="109">
        <f t="shared" si="3"/>
        <v>285859825.69779998</v>
      </c>
      <c r="R25" s="109">
        <f t="shared" si="3"/>
        <v>16128533.863549564</v>
      </c>
    </row>
    <row r="26" spans="2:20" x14ac:dyDescent="0.2">
      <c r="B26" s="2" t="s">
        <v>402</v>
      </c>
      <c r="F26" s="80" t="s">
        <v>265</v>
      </c>
      <c r="J26" s="68">
        <f>SUM(L26:R26)</f>
        <v>1074512006.1189592</v>
      </c>
      <c r="L26" s="109">
        <f t="shared" si="4"/>
        <v>20157055.077355903</v>
      </c>
      <c r="M26" s="109">
        <f t="shared" si="5"/>
        <v>27481973.468672816</v>
      </c>
      <c r="N26" s="109">
        <f t="shared" si="6"/>
        <v>328728643.23267359</v>
      </c>
      <c r="O26" s="109">
        <f t="shared" si="3"/>
        <v>382024017.39880067</v>
      </c>
      <c r="P26" s="109">
        <f t="shared" si="3"/>
        <v>17117694.336374097</v>
      </c>
      <c r="Q26" s="109">
        <f t="shared" si="3"/>
        <v>283086985.38853133</v>
      </c>
      <c r="R26" s="109">
        <f t="shared" si="3"/>
        <v>15915637.21655071</v>
      </c>
    </row>
    <row r="28" spans="2:20" s="8" customFormat="1" x14ac:dyDescent="0.25">
      <c r="B28" s="8" t="s">
        <v>324</v>
      </c>
    </row>
    <row r="30" spans="2:20" x14ac:dyDescent="0.2">
      <c r="B30" s="2" t="s">
        <v>284</v>
      </c>
      <c r="F30" s="2" t="s">
        <v>265</v>
      </c>
      <c r="J30" s="68">
        <f t="shared" ref="J30:J41" si="7">SUM(L30:R30)</f>
        <v>42985130.411141798</v>
      </c>
      <c r="L30" s="110">
        <f>'Lokale heffingen 2019'!L37</f>
        <v>-755.44100782341968</v>
      </c>
      <c r="M30" s="110">
        <f>'Lokale heffingen 2019'!M37</f>
        <v>-22554.804653516843</v>
      </c>
      <c r="N30" s="110">
        <f>'Lokale heffingen 2019'!N37</f>
        <v>2897416.4107277384</v>
      </c>
      <c r="O30" s="110">
        <f>'Lokale heffingen 2019'!O37</f>
        <v>32089663.765031651</v>
      </c>
      <c r="P30" s="110">
        <f>'Lokale heffingen 2019'!P37</f>
        <v>-2275905.2573175337</v>
      </c>
      <c r="Q30" s="110">
        <f>'Lokale heffingen 2019'!Q37</f>
        <v>10274111.274302321</v>
      </c>
      <c r="R30" s="110">
        <f>'Lokale heffingen 2019'!R37</f>
        <v>23154.464058966867</v>
      </c>
    </row>
    <row r="31" spans="2:20" x14ac:dyDescent="0.2">
      <c r="B31" s="2" t="s">
        <v>353</v>
      </c>
      <c r="F31" s="2" t="s">
        <v>265</v>
      </c>
      <c r="J31" s="68">
        <f t="shared" si="7"/>
        <v>1929228.9594922541</v>
      </c>
      <c r="L31" s="134"/>
      <c r="M31" s="134"/>
      <c r="N31" s="134"/>
      <c r="O31" s="134"/>
      <c r="P31" s="110">
        <f>'Lagere tarieven RENDO'!P29</f>
        <v>1929228.9594922541</v>
      </c>
      <c r="Q31" s="134"/>
      <c r="R31" s="134"/>
    </row>
    <row r="32" spans="2:20" x14ac:dyDescent="0.2">
      <c r="B32" s="2" t="s">
        <v>299</v>
      </c>
      <c r="F32" s="2" t="s">
        <v>265</v>
      </c>
      <c r="J32" s="68">
        <f t="shared" si="7"/>
        <v>374361.53148457181</v>
      </c>
      <c r="L32" s="110">
        <f>'Invoeding groen gas 2020'!L93</f>
        <v>534.56000000000006</v>
      </c>
      <c r="M32" s="110">
        <f>'Invoeding groen gas 2020'!M93</f>
        <v>0</v>
      </c>
      <c r="N32" s="110">
        <f>'Invoeding groen gas 2020'!N93</f>
        <v>267719.66840657138</v>
      </c>
      <c r="O32" s="110">
        <f>'Invoeding groen gas 2020'!O93</f>
        <v>66055.340000000011</v>
      </c>
      <c r="P32" s="110">
        <f>'Invoeding groen gas 2020'!P93</f>
        <v>24311.686533333334</v>
      </c>
      <c r="Q32" s="110">
        <f>'Invoeding groen gas 2020'!Q93</f>
        <v>15740.276544667058</v>
      </c>
      <c r="R32" s="110">
        <f>'Invoeding groen gas 2020'!R93</f>
        <v>0</v>
      </c>
    </row>
    <row r="33" spans="2:18" x14ac:dyDescent="0.2">
      <c r="B33" s="2" t="s">
        <v>433</v>
      </c>
      <c r="F33" s="2" t="s">
        <v>265</v>
      </c>
      <c r="J33" s="68">
        <f t="shared" si="7"/>
        <v>656991.11265215999</v>
      </c>
      <c r="L33" s="110">
        <f>'Faillissement Robin 2019'!L23</f>
        <v>6342.2131801600008</v>
      </c>
      <c r="M33" s="110">
        <f>'Faillissement Robin 2019'!M23</f>
        <v>9367.3040947200025</v>
      </c>
      <c r="N33" s="110">
        <f>'Faillissement Robin 2019'!N23</f>
        <v>202013.12550848001</v>
      </c>
      <c r="O33" s="110">
        <f>'Faillissement Robin 2019'!O23</f>
        <v>258778.98675200003</v>
      </c>
      <c r="P33" s="110">
        <f>'Faillissement Robin 2019'!P23</f>
        <v>7915.2353280000007</v>
      </c>
      <c r="Q33" s="110">
        <f>'Faillissement Robin 2019'!Q23</f>
        <v>169583.58971840001</v>
      </c>
      <c r="R33" s="110">
        <f>'Faillissement Robin 2019'!R23</f>
        <v>2990.6580704000003</v>
      </c>
    </row>
    <row r="34" spans="2:18" x14ac:dyDescent="0.2">
      <c r="B34" s="2" t="s">
        <v>457</v>
      </c>
      <c r="F34" s="2" t="s">
        <v>265</v>
      </c>
      <c r="J34" s="68">
        <f t="shared" si="7"/>
        <v>130394.89151524384</v>
      </c>
      <c r="L34" s="110">
        <f>'Correctie nieuwe taken 2020'!L36</f>
        <v>2349.4226593157719</v>
      </c>
      <c r="M34" s="110">
        <f>'Correctie nieuwe taken 2020'!M36</f>
        <v>2541.0696377257959</v>
      </c>
      <c r="N34" s="110">
        <f>'Correctie nieuwe taken 2020'!N36</f>
        <v>42864.339586966933</v>
      </c>
      <c r="O34" s="110">
        <f>'Correctie nieuwe taken 2020'!O36</f>
        <v>39001.344588361455</v>
      </c>
      <c r="P34" s="110">
        <f>'Correctie nieuwe taken 2020'!P36</f>
        <v>1218.8304452391178</v>
      </c>
      <c r="Q34" s="110">
        <f>'Correctie nieuwe taken 2020'!Q36</f>
        <v>36058.917957471458</v>
      </c>
      <c r="R34" s="110">
        <f>'Correctie nieuwe taken 2020'!R36</f>
        <v>6360.9666401633158</v>
      </c>
    </row>
    <row r="35" spans="2:18" x14ac:dyDescent="0.2">
      <c r="B35" s="2" t="s">
        <v>458</v>
      </c>
      <c r="F35" s="2" t="s">
        <v>265</v>
      </c>
      <c r="J35" s="68">
        <f t="shared" si="7"/>
        <v>13039.221669892157</v>
      </c>
      <c r="L35" s="110">
        <f>'Correctie nieuwe taken 2020'!L37</f>
        <v>569.62348428637256</v>
      </c>
      <c r="M35" s="110">
        <f>'Correctie nieuwe taken 2020'!M37</f>
        <v>508.44141596146864</v>
      </c>
      <c r="N35" s="110">
        <f>'Correctie nieuwe taken 2020'!N37</f>
        <v>2514.3234159909935</v>
      </c>
      <c r="O35" s="110">
        <f>'Correctie nieuwe taken 2020'!O37</f>
        <v>8625.5967860465498</v>
      </c>
      <c r="P35" s="110">
        <f>'Correctie nieuwe taken 2020'!P37</f>
        <v>642.07205339378447</v>
      </c>
      <c r="Q35" s="110">
        <f>'Correctie nieuwe taken 2020'!Q37</f>
        <v>-417.46880075007681</v>
      </c>
      <c r="R35" s="110">
        <f>'Correctie nieuwe taken 2020'!R37</f>
        <v>596.63331496306694</v>
      </c>
    </row>
    <row r="36" spans="2:18" x14ac:dyDescent="0.2">
      <c r="B36" s="2" t="s">
        <v>456</v>
      </c>
      <c r="F36" s="2" t="s">
        <v>265</v>
      </c>
      <c r="J36" s="68">
        <f>SUM(L36:R36)</f>
        <v>32936.170816206104</v>
      </c>
      <c r="L36" s="110">
        <f>'Correctie nieuwe taken 2020'!L38</f>
        <v>571.52570704119285</v>
      </c>
      <c r="M36" s="110">
        <f>'Correctie nieuwe taken 2020'!M38</f>
        <v>829.6712047042605</v>
      </c>
      <c r="N36" s="110">
        <f>'Correctie nieuwe taken 2020'!N38</f>
        <v>10453.241281396002</v>
      </c>
      <c r="O36" s="110">
        <f>'Correctie nieuwe taken 2020'!O38</f>
        <v>10762.255657499432</v>
      </c>
      <c r="P36" s="110">
        <f>'Correctie nieuwe taken 2020'!P38</f>
        <v>442.63462567988785</v>
      </c>
      <c r="Q36" s="110">
        <f>'Correctie nieuwe taken 2020'!Q38</f>
        <v>8321.1883940522384</v>
      </c>
      <c r="R36" s="110">
        <f>'Correctie nieuwe taken 2020'!R38</f>
        <v>1555.6539458330908</v>
      </c>
    </row>
    <row r="37" spans="2:18" x14ac:dyDescent="0.2">
      <c r="B37" s="2" t="s">
        <v>453</v>
      </c>
      <c r="F37" s="2" t="s">
        <v>265</v>
      </c>
      <c r="J37" s="68">
        <f t="shared" si="7"/>
        <v>19692828.879467644</v>
      </c>
      <c r="L37" s="110">
        <f>'Input nieuwe taken 2021'!L15</f>
        <v>342371.3050133186</v>
      </c>
      <c r="M37" s="110">
        <f>'Input nieuwe taken 2021'!M15</f>
        <v>496280.76356934418</v>
      </c>
      <c r="N37" s="110">
        <f>'Input nieuwe taken 2021'!N15</f>
        <v>6251480.8469724301</v>
      </c>
      <c r="O37" s="110">
        <f>'Input nieuwe taken 2021'!O15</f>
        <v>6438942.9196121963</v>
      </c>
      <c r="P37" s="110">
        <f>'Input nieuwe taken 2021'!P15</f>
        <v>264929.75551612099</v>
      </c>
      <c r="Q37" s="110">
        <f>'Input nieuwe taken 2021'!Q15</f>
        <v>4976518.0874875216</v>
      </c>
      <c r="R37" s="110">
        <f>'Input nieuwe taken 2021'!R15</f>
        <v>922305.20129671472</v>
      </c>
    </row>
    <row r="38" spans="2:18" x14ac:dyDescent="0.2">
      <c r="B38" s="2" t="s">
        <v>454</v>
      </c>
      <c r="F38" s="2" t="s">
        <v>265</v>
      </c>
      <c r="J38" s="68">
        <f t="shared" si="7"/>
        <v>15462011.994269406</v>
      </c>
      <c r="L38" s="110">
        <f>'Input nieuwe taken 2021'!L17</f>
        <v>162542.62666030106</v>
      </c>
      <c r="M38" s="110">
        <f>'Input nieuwe taken 2021'!M17</f>
        <v>329640.2505248136</v>
      </c>
      <c r="N38" s="110">
        <f>'Input nieuwe taken 2021'!N17</f>
        <v>4900593.7303319443</v>
      </c>
      <c r="O38" s="110">
        <f>'Input nieuwe taken 2021'!O17</f>
        <v>5494206.6223513419</v>
      </c>
      <c r="P38" s="110">
        <f>'Input nieuwe taken 2021'!P17</f>
        <v>149396.63557626095</v>
      </c>
      <c r="Q38" s="110">
        <f>'Input nieuwe taken 2021'!Q17</f>
        <v>3525554.7884365208</v>
      </c>
      <c r="R38" s="110">
        <f>'Input nieuwe taken 2021'!R17</f>
        <v>900077.34038822388</v>
      </c>
    </row>
    <row r="39" spans="2:18" x14ac:dyDescent="0.2">
      <c r="B39" s="2" t="s">
        <v>455</v>
      </c>
      <c r="F39" s="2" t="s">
        <v>265</v>
      </c>
      <c r="J39" s="68">
        <f t="shared" si="7"/>
        <v>5651712.3539217124</v>
      </c>
      <c r="L39" s="110">
        <f>'Input nieuwe taken 2021'!L18</f>
        <v>270407.66067786969</v>
      </c>
      <c r="M39" s="110">
        <f>'Input nieuwe taken 2021'!M18</f>
        <v>87390.904483392136</v>
      </c>
      <c r="N39" s="110">
        <f>'Input nieuwe taken 2021'!N18</f>
        <v>1803721.9231943311</v>
      </c>
      <c r="O39" s="110">
        <f>'Input nieuwe taken 2021'!O18</f>
        <v>1529805.7448539184</v>
      </c>
      <c r="P39" s="110">
        <f>'Input nieuwe taken 2021'!P18</f>
        <v>124277.29953056175</v>
      </c>
      <c r="Q39" s="110">
        <f>'Input nieuwe taken 2021'!Q18</f>
        <v>1729434.2785759792</v>
      </c>
      <c r="R39" s="110">
        <f>'Input nieuwe taken 2021'!R18</f>
        <v>106674.54260565958</v>
      </c>
    </row>
    <row r="40" spans="2:18" x14ac:dyDescent="0.2">
      <c r="B40" s="2" t="s">
        <v>328</v>
      </c>
      <c r="F40" s="2" t="s">
        <v>265</v>
      </c>
      <c r="J40" s="68">
        <f t="shared" si="7"/>
        <v>0</v>
      </c>
      <c r="L40" s="111"/>
      <c r="M40" s="111"/>
      <c r="N40" s="110">
        <f>'Overdracht Weert'!N28</f>
        <v>3048953.918009745</v>
      </c>
      <c r="O40" s="111"/>
      <c r="P40" s="111"/>
      <c r="Q40" s="110">
        <f>'Overdracht Weert'!Q28</f>
        <v>-3048953.918009745</v>
      </c>
      <c r="R40" s="111"/>
    </row>
    <row r="41" spans="2:18" x14ac:dyDescent="0.25">
      <c r="B41" s="2" t="s">
        <v>432</v>
      </c>
      <c r="F41" s="2" t="s">
        <v>265</v>
      </c>
      <c r="J41" s="68">
        <f t="shared" si="7"/>
        <v>40044535.138984568</v>
      </c>
      <c r="L41" s="97">
        <f>'Gewijzigde x-factoren'!L84</f>
        <v>791194.95060726535</v>
      </c>
      <c r="M41" s="97">
        <f>'Gewijzigde x-factoren'!M84</f>
        <v>940809.26267798012</v>
      </c>
      <c r="N41" s="97">
        <f>'Gewijzigde x-factoren'!N84</f>
        <v>12912879.17015096</v>
      </c>
      <c r="O41" s="97">
        <f>'Gewijzigde x-factoren'!O84</f>
        <v>13621930.57038974</v>
      </c>
      <c r="P41" s="97">
        <f>'Gewijzigde x-factoren'!P84</f>
        <v>609412.27697872987</v>
      </c>
      <c r="Q41" s="97">
        <f>'Gewijzigde x-factoren'!Q84</f>
        <v>10446159.129509035</v>
      </c>
      <c r="R41" s="97">
        <f>'Gewijzigde x-factoren'!R84</f>
        <v>722149.77867085708</v>
      </c>
    </row>
    <row r="42" spans="2:18" x14ac:dyDescent="0.2">
      <c r="L42" s="57"/>
      <c r="M42" s="57"/>
      <c r="N42" s="57"/>
      <c r="O42" s="57"/>
      <c r="P42" s="57"/>
      <c r="Q42" s="57"/>
      <c r="R42" s="57"/>
    </row>
    <row r="43" spans="2:18" x14ac:dyDescent="0.2">
      <c r="B43" s="1" t="s">
        <v>325</v>
      </c>
      <c r="F43" s="2" t="s">
        <v>265</v>
      </c>
      <c r="J43" s="68">
        <f>SUM(L43:R43)</f>
        <v>126973170.66541547</v>
      </c>
      <c r="L43" s="112">
        <f t="shared" ref="L43:R43" si="8">SUM(L30:L41)</f>
        <v>1576128.4469817346</v>
      </c>
      <c r="M43" s="112">
        <f>SUM(M30:M41)</f>
        <v>1844812.8629551246</v>
      </c>
      <c r="N43" s="112">
        <f t="shared" si="8"/>
        <v>32340610.697586551</v>
      </c>
      <c r="O43" s="112">
        <f t="shared" si="8"/>
        <v>59557773.146022759</v>
      </c>
      <c r="P43" s="112">
        <f t="shared" si="8"/>
        <v>835870.12876204005</v>
      </c>
      <c r="Q43" s="112">
        <f t="shared" si="8"/>
        <v>28132110.144115474</v>
      </c>
      <c r="R43" s="112">
        <f t="shared" si="8"/>
        <v>2685865.2389917816</v>
      </c>
    </row>
    <row r="45" spans="2:18" s="8" customFormat="1" x14ac:dyDescent="0.25">
      <c r="B45" s="8" t="s">
        <v>329</v>
      </c>
    </row>
    <row r="47" spans="2:18" x14ac:dyDescent="0.2">
      <c r="B47" s="2" t="s">
        <v>330</v>
      </c>
      <c r="F47" s="2" t="s">
        <v>265</v>
      </c>
      <c r="J47" s="68">
        <f>SUM(L47:R47)</f>
        <v>1201485176.7843747</v>
      </c>
      <c r="L47" s="114">
        <f t="shared" ref="L47:R47" si="9">L26+L43</f>
        <v>21733183.524337638</v>
      </c>
      <c r="M47" s="114">
        <f>M26+M43</f>
        <v>29326786.331627939</v>
      </c>
      <c r="N47" s="114">
        <f t="shared" si="9"/>
        <v>361069253.93026012</v>
      </c>
      <c r="O47" s="114">
        <f t="shared" si="9"/>
        <v>441581790.54482341</v>
      </c>
      <c r="P47" s="114">
        <f t="shared" si="9"/>
        <v>17953564.465136137</v>
      </c>
      <c r="Q47" s="114">
        <f t="shared" si="9"/>
        <v>311219095.53264678</v>
      </c>
      <c r="R47" s="114">
        <f t="shared" si="9"/>
        <v>18601502.45554249</v>
      </c>
    </row>
    <row r="49" spans="12:18" x14ac:dyDescent="0.25">
      <c r="L49" s="46"/>
      <c r="M49" s="46"/>
      <c r="N49" s="46"/>
      <c r="O49" s="46"/>
      <c r="P49" s="46"/>
      <c r="Q49" s="46"/>
      <c r="R49" s="46"/>
    </row>
    <row r="50" spans="12:18" x14ac:dyDescent="0.25">
      <c r="L50" s="46"/>
      <c r="M50" s="46"/>
      <c r="N50" s="46"/>
      <c r="O50" s="46"/>
      <c r="P50" s="46"/>
      <c r="Q50" s="46"/>
      <c r="R50" s="46"/>
    </row>
    <row r="52" spans="12:18" x14ac:dyDescent="0.25">
      <c r="L52" s="135"/>
      <c r="M52" s="135"/>
      <c r="N52" s="135"/>
      <c r="O52" s="135"/>
      <c r="P52" s="135"/>
      <c r="Q52" s="135"/>
      <c r="R52" s="135"/>
    </row>
    <row r="53" spans="12:18" x14ac:dyDescent="0.25">
      <c r="L53" s="157"/>
      <c r="M53" s="157"/>
      <c r="N53" s="157"/>
      <c r="O53" s="157"/>
      <c r="P53" s="157"/>
      <c r="Q53" s="157"/>
      <c r="R53" s="157"/>
    </row>
    <row r="54" spans="12:18" x14ac:dyDescent="0.25">
      <c r="L54" s="157"/>
      <c r="M54" s="157"/>
      <c r="N54" s="157"/>
      <c r="O54" s="157"/>
      <c r="P54" s="157"/>
      <c r="Q54" s="157"/>
      <c r="R54" s="157"/>
    </row>
    <row r="55" spans="12:18" x14ac:dyDescent="0.25">
      <c r="L55" s="157"/>
      <c r="M55" s="157"/>
      <c r="N55" s="157"/>
      <c r="O55" s="157"/>
      <c r="P55" s="157"/>
      <c r="Q55" s="157"/>
      <c r="R55" s="157"/>
    </row>
    <row r="56" spans="12:18" x14ac:dyDescent="0.25">
      <c r="L56" s="157"/>
      <c r="M56" s="157"/>
      <c r="N56" s="157"/>
      <c r="O56" s="157"/>
      <c r="P56" s="157"/>
      <c r="Q56" s="157"/>
      <c r="R56" s="157"/>
    </row>
    <row r="57" spans="12:18" x14ac:dyDescent="0.25">
      <c r="L57" s="157"/>
      <c r="M57" s="157"/>
      <c r="N57" s="157"/>
      <c r="O57" s="157"/>
      <c r="P57" s="157"/>
      <c r="Q57" s="157"/>
      <c r="R57" s="15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5"/>
  <cols>
    <col min="1" max="16384" width="9.140625" style="32"/>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2:Z41"/>
  <sheetViews>
    <sheetView showGridLines="0" zoomScale="85" zoomScaleNormal="85" workbookViewId="0">
      <pane xSplit="6" ySplit="10" topLeftCell="G11" activePane="bottomRight" state="frozen"/>
      <selection activeCell="A4" sqref="A4"/>
      <selection pane="topRight" activeCell="A4" sqref="A4"/>
      <selection pane="bottomLeft" activeCell="A4" sqref="A4"/>
      <selection pane="bottomRight" activeCell="G11" sqref="G11"/>
    </sheetView>
  </sheetViews>
  <sheetFormatPr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2" width="12.5703125" style="2" customWidth="1"/>
    <col min="23" max="23" width="2.7109375" style="2" customWidth="1"/>
    <col min="24" max="24" width="24.7109375" style="2" customWidth="1"/>
    <col min="25" max="25" width="2.7109375" style="2" customWidth="1"/>
    <col min="26" max="26" width="13.7109375" style="2" customWidth="1"/>
    <col min="27" max="27" width="2.7109375" style="2" customWidth="1"/>
    <col min="28" max="42" width="13.7109375" style="2" customWidth="1"/>
    <col min="43" max="16384" width="9.140625" style="2"/>
  </cols>
  <sheetData>
    <row r="2" spans="1:26" s="27" customFormat="1" ht="18" x14ac:dyDescent="0.25">
      <c r="B2" s="27" t="s">
        <v>182</v>
      </c>
    </row>
    <row r="4" spans="1:26" x14ac:dyDescent="0.25">
      <c r="B4" s="40" t="s">
        <v>29</v>
      </c>
      <c r="C4" s="1"/>
      <c r="D4" s="1"/>
    </row>
    <row r="5" spans="1:26" x14ac:dyDescent="0.25">
      <c r="B5" s="34" t="s">
        <v>343</v>
      </c>
      <c r="C5" s="34"/>
      <c r="D5" s="34"/>
      <c r="H5" s="28"/>
    </row>
    <row r="6" spans="1:26" x14ac:dyDescent="0.25">
      <c r="B6" s="34" t="s">
        <v>275</v>
      </c>
      <c r="C6" s="34"/>
      <c r="D6" s="34"/>
      <c r="H6" s="28"/>
    </row>
    <row r="7" spans="1:26" x14ac:dyDescent="0.25">
      <c r="B7" s="5"/>
      <c r="C7" s="34"/>
      <c r="D7" s="34"/>
      <c r="H7" s="28"/>
    </row>
    <row r="9" spans="1:26" s="8" customFormat="1" x14ac:dyDescent="0.25">
      <c r="B9" s="8" t="s">
        <v>45</v>
      </c>
      <c r="F9" s="8" t="s">
        <v>27</v>
      </c>
      <c r="H9" s="8" t="s">
        <v>28</v>
      </c>
      <c r="J9" s="8" t="s">
        <v>49</v>
      </c>
      <c r="L9" s="8" t="s">
        <v>119</v>
      </c>
      <c r="M9" s="8" t="s">
        <v>120</v>
      </c>
      <c r="N9" s="8" t="s">
        <v>121</v>
      </c>
      <c r="O9" s="8" t="s">
        <v>122</v>
      </c>
      <c r="P9" s="8" t="s">
        <v>123</v>
      </c>
      <c r="Q9" s="8" t="s">
        <v>124</v>
      </c>
      <c r="R9" s="8" t="s">
        <v>125</v>
      </c>
      <c r="S9" s="8" t="s">
        <v>126</v>
      </c>
      <c r="T9" s="8" t="s">
        <v>127</v>
      </c>
      <c r="U9" s="8" t="s">
        <v>128</v>
      </c>
      <c r="V9" s="8" t="s">
        <v>129</v>
      </c>
      <c r="X9" s="8" t="s">
        <v>46</v>
      </c>
      <c r="Z9" s="8" t="s">
        <v>47</v>
      </c>
    </row>
    <row r="12" spans="1:26" s="8" customFormat="1" x14ac:dyDescent="0.25">
      <c r="B12" s="8" t="s">
        <v>203</v>
      </c>
    </row>
    <row r="14" spans="1:26" x14ac:dyDescent="0.25">
      <c r="B14" s="40" t="s">
        <v>204</v>
      </c>
    </row>
    <row r="15" spans="1:26" x14ac:dyDescent="0.25">
      <c r="A15" s="9"/>
      <c r="B15" s="2" t="s">
        <v>130</v>
      </c>
    </row>
    <row r="16" spans="1:26" x14ac:dyDescent="0.25">
      <c r="A16" s="9"/>
      <c r="B16" s="2" t="s">
        <v>131</v>
      </c>
    </row>
    <row r="17" spans="1:26" x14ac:dyDescent="0.25">
      <c r="A17" s="9"/>
      <c r="B17" s="2" t="s">
        <v>211</v>
      </c>
    </row>
    <row r="18" spans="1:26" x14ac:dyDescent="0.2">
      <c r="A18" s="9"/>
      <c r="B18" s="70"/>
    </row>
    <row r="19" spans="1:26" ht="15" x14ac:dyDescent="0.25">
      <c r="A19" s="9"/>
      <c r="B19" s="2" t="s">
        <v>205</v>
      </c>
      <c r="F19" s="2" t="s">
        <v>132</v>
      </c>
      <c r="L19" s="144">
        <v>1.4999999999999999E-2</v>
      </c>
      <c r="M19" s="144">
        <v>2.5999999999999999E-2</v>
      </c>
      <c r="N19" s="144">
        <v>2.3E-2</v>
      </c>
      <c r="O19" s="144">
        <v>2.8000000000000001E-2</v>
      </c>
      <c r="P19" s="144">
        <v>0.01</v>
      </c>
      <c r="Q19" s="144">
        <v>8.0000000000000002E-3</v>
      </c>
      <c r="R19" s="144">
        <v>2E-3</v>
      </c>
      <c r="S19" s="144">
        <v>1.4E-2</v>
      </c>
      <c r="T19" s="144">
        <v>2.1000000000000001E-2</v>
      </c>
      <c r="U19" s="144">
        <v>2.8000000000000001E-2</v>
      </c>
      <c r="V19" s="144">
        <v>7.0000000000000001E-3</v>
      </c>
      <c r="Z19" s="39"/>
    </row>
    <row r="20" spans="1:26" x14ac:dyDescent="0.25">
      <c r="A20" s="9"/>
    </row>
    <row r="22" spans="1:26" s="8" customFormat="1" x14ac:dyDescent="0.25">
      <c r="B22" s="8" t="s">
        <v>133</v>
      </c>
    </row>
    <row r="24" spans="1:26" x14ac:dyDescent="0.25">
      <c r="B24" s="40" t="s">
        <v>134</v>
      </c>
    </row>
    <row r="25" spans="1:26" x14ac:dyDescent="0.25">
      <c r="A25" s="9"/>
      <c r="B25" s="2" t="s">
        <v>206</v>
      </c>
    </row>
    <row r="26" spans="1:26" x14ac:dyDescent="0.25">
      <c r="A26" s="9"/>
      <c r="B26" s="2" t="s">
        <v>207</v>
      </c>
    </row>
    <row r="27" spans="1:26" x14ac:dyDescent="0.25">
      <c r="A27" s="9"/>
      <c r="B27" s="2" t="s">
        <v>208</v>
      </c>
    </row>
    <row r="28" spans="1:26" x14ac:dyDescent="0.25">
      <c r="A28" s="9"/>
      <c r="B28" s="2" t="s">
        <v>209</v>
      </c>
    </row>
    <row r="29" spans="1:26" ht="15" x14ac:dyDescent="0.25">
      <c r="A29" s="9"/>
      <c r="B29" s="103"/>
    </row>
    <row r="30" spans="1:26" x14ac:dyDescent="0.25">
      <c r="A30" s="9"/>
      <c r="B30" s="2" t="s">
        <v>210</v>
      </c>
    </row>
    <row r="31" spans="1:26" x14ac:dyDescent="0.2">
      <c r="B31" s="70"/>
    </row>
    <row r="32" spans="1:26" x14ac:dyDescent="0.25">
      <c r="B32" s="40" t="s">
        <v>135</v>
      </c>
    </row>
    <row r="33" spans="2:22" x14ac:dyDescent="0.25">
      <c r="B33" s="2" t="s">
        <v>136</v>
      </c>
      <c r="F33" s="2" t="s">
        <v>132</v>
      </c>
      <c r="L33" s="144">
        <v>2.5000000000000001E-2</v>
      </c>
      <c r="M33" s="144">
        <v>2.8500000000000001E-2</v>
      </c>
      <c r="N33" s="144">
        <v>0.03</v>
      </c>
      <c r="O33" s="144">
        <v>0.03</v>
      </c>
      <c r="P33" s="144">
        <v>0.04</v>
      </c>
      <c r="Q33" s="144">
        <v>0.04</v>
      </c>
      <c r="R33" s="144">
        <v>0.04</v>
      </c>
      <c r="S33" s="144">
        <v>0.04</v>
      </c>
      <c r="T33" s="144">
        <v>0.04</v>
      </c>
      <c r="U33" s="144">
        <v>0.04</v>
      </c>
      <c r="V33" s="161">
        <v>0.04</v>
      </c>
    </row>
    <row r="34" spans="2:22" x14ac:dyDescent="0.25">
      <c r="B34" s="2" t="s">
        <v>137</v>
      </c>
      <c r="F34" s="2" t="s">
        <v>132</v>
      </c>
      <c r="L34" s="144">
        <v>2.5000000000000001E-2</v>
      </c>
      <c r="M34" s="144">
        <v>2.3E-2</v>
      </c>
      <c r="N34" s="144">
        <v>0.03</v>
      </c>
      <c r="O34" s="144">
        <v>0.04</v>
      </c>
      <c r="P34" s="144">
        <v>0.04</v>
      </c>
      <c r="Q34" s="144">
        <v>0.04</v>
      </c>
      <c r="R34" s="144">
        <v>0.04</v>
      </c>
      <c r="S34" s="144">
        <v>0.04</v>
      </c>
      <c r="T34" s="144">
        <v>0.04</v>
      </c>
      <c r="U34" s="144">
        <v>0.04</v>
      </c>
      <c r="V34" s="161">
        <v>0.04</v>
      </c>
    </row>
    <row r="35" spans="2:22" x14ac:dyDescent="0.25">
      <c r="B35" s="2" t="s">
        <v>138</v>
      </c>
      <c r="F35" s="2" t="s">
        <v>132</v>
      </c>
      <c r="L35" s="144">
        <v>2.75E-2</v>
      </c>
      <c r="M35" s="144">
        <v>2.5000000000000001E-2</v>
      </c>
      <c r="N35" s="144">
        <v>0.03</v>
      </c>
      <c r="O35" s="144">
        <v>0.04</v>
      </c>
      <c r="P35" s="144">
        <v>0.04</v>
      </c>
      <c r="Q35" s="144">
        <v>0.04</v>
      </c>
      <c r="R35" s="144">
        <v>0.04</v>
      </c>
      <c r="S35" s="144">
        <v>0.04</v>
      </c>
      <c r="T35" s="144">
        <v>0.04</v>
      </c>
      <c r="U35" s="161">
        <v>0.04</v>
      </c>
    </row>
    <row r="36" spans="2:22" x14ac:dyDescent="0.25">
      <c r="B36" s="2" t="s">
        <v>139</v>
      </c>
      <c r="F36" s="2" t="s">
        <v>132</v>
      </c>
      <c r="L36" s="144">
        <v>0.03</v>
      </c>
      <c r="M36" s="144">
        <v>2.2499999999999999E-2</v>
      </c>
      <c r="N36" s="144">
        <v>0.03</v>
      </c>
      <c r="O36" s="144">
        <v>0.04</v>
      </c>
      <c r="P36" s="144">
        <v>0.04</v>
      </c>
      <c r="Q36" s="144">
        <v>0.04</v>
      </c>
      <c r="R36" s="144">
        <v>0.04</v>
      </c>
      <c r="S36" s="144">
        <v>0.04</v>
      </c>
      <c r="T36" s="144">
        <v>0.04</v>
      </c>
      <c r="U36" s="161">
        <v>0.04</v>
      </c>
    </row>
    <row r="37" spans="2:22" x14ac:dyDescent="0.25">
      <c r="L37" s="133"/>
      <c r="M37" s="133"/>
      <c r="N37" s="133"/>
      <c r="O37" s="133"/>
      <c r="P37" s="133"/>
      <c r="Q37" s="133"/>
      <c r="R37" s="133"/>
      <c r="S37" s="133"/>
      <c r="T37" s="133"/>
    </row>
    <row r="38" spans="2:22" x14ac:dyDescent="0.25">
      <c r="L38" s="133"/>
      <c r="M38" s="133"/>
      <c r="N38" s="133"/>
      <c r="O38" s="133"/>
      <c r="P38" s="133"/>
      <c r="Q38" s="133"/>
      <c r="R38" s="133"/>
      <c r="S38" s="133"/>
      <c r="T38" s="133"/>
    </row>
    <row r="39" spans="2:22" s="8" customFormat="1" x14ac:dyDescent="0.25">
      <c r="B39" s="8" t="s">
        <v>274</v>
      </c>
    </row>
    <row r="41" spans="2:22" x14ac:dyDescent="0.25">
      <c r="B41" s="2" t="s">
        <v>272</v>
      </c>
      <c r="F41" s="2" t="s">
        <v>132</v>
      </c>
      <c r="H41" s="158">
        <v>0.21</v>
      </c>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W24"/>
  <sheetViews>
    <sheetView showGridLines="0" zoomScale="85" zoomScaleNormal="85" workbookViewId="0">
      <pane xSplit="6" ySplit="9" topLeftCell="G10" activePane="bottomRight" state="frozen"/>
      <selection activeCell="A4" sqref="A4"/>
      <selection pane="topRight" activeCell="A4" sqref="A4"/>
      <selection pane="bottomLeft" activeCell="A4" sqref="A4"/>
      <selection pane="bottomRight" activeCell="G10" sqref="G10"/>
    </sheetView>
  </sheetViews>
  <sheetFormatPr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3.28515625" style="2" customWidth="1"/>
    <col min="19" max="20" width="2.7109375" style="2" customWidth="1"/>
    <col min="21" max="21" width="24.7109375" style="2" customWidth="1"/>
    <col min="22" max="22" width="2.7109375" style="2" customWidth="1"/>
    <col min="23" max="23" width="13.7109375" style="2" customWidth="1"/>
    <col min="24" max="24" width="2.7109375" style="2" customWidth="1"/>
    <col min="25" max="39" width="13.7109375" style="2" customWidth="1"/>
    <col min="40" max="16384" width="9.140625" style="2"/>
  </cols>
  <sheetData>
    <row r="2" spans="2:23" s="27" customFormat="1" ht="18" x14ac:dyDescent="0.25">
      <c r="B2" s="27" t="s">
        <v>164</v>
      </c>
    </row>
    <row r="4" spans="2:23" x14ac:dyDescent="0.25">
      <c r="B4" s="1" t="s">
        <v>29</v>
      </c>
      <c r="C4" s="1"/>
      <c r="D4" s="1"/>
    </row>
    <row r="5" spans="2:23" x14ac:dyDescent="0.25">
      <c r="B5" s="34" t="s">
        <v>478</v>
      </c>
      <c r="C5" s="34"/>
      <c r="D5" s="34"/>
      <c r="H5" s="28"/>
    </row>
    <row r="6" spans="2:23" x14ac:dyDescent="0.25">
      <c r="B6" s="5"/>
      <c r="C6" s="34"/>
      <c r="D6" s="34"/>
      <c r="H6" s="28"/>
    </row>
    <row r="8" spans="2:23" s="8" customFormat="1" x14ac:dyDescent="0.25">
      <c r="B8" s="8" t="s">
        <v>45</v>
      </c>
      <c r="F8" s="8" t="s">
        <v>27</v>
      </c>
      <c r="H8" s="8" t="s">
        <v>28</v>
      </c>
      <c r="J8" s="8" t="s">
        <v>49</v>
      </c>
      <c r="L8" s="8" t="s">
        <v>165</v>
      </c>
      <c r="M8" s="8" t="s">
        <v>65</v>
      </c>
      <c r="N8" s="8" t="s">
        <v>66</v>
      </c>
      <c r="O8" s="8" t="s">
        <v>67</v>
      </c>
      <c r="P8" s="8" t="s">
        <v>68</v>
      </c>
      <c r="Q8" s="8" t="s">
        <v>69</v>
      </c>
      <c r="R8" s="8" t="s">
        <v>70</v>
      </c>
      <c r="U8" s="8" t="s">
        <v>46</v>
      </c>
      <c r="W8" s="8" t="s">
        <v>47</v>
      </c>
    </row>
    <row r="11" spans="2:23" s="8" customFormat="1" x14ac:dyDescent="0.25">
      <c r="B11" s="8" t="s">
        <v>195</v>
      </c>
    </row>
    <row r="13" spans="2:23" x14ac:dyDescent="0.25">
      <c r="B13" s="1" t="s">
        <v>163</v>
      </c>
    </row>
    <row r="14" spans="2:23" x14ac:dyDescent="0.2">
      <c r="B14" s="2" t="s">
        <v>154</v>
      </c>
      <c r="F14" s="57" t="s">
        <v>176</v>
      </c>
      <c r="J14" s="68">
        <f>SUM(L14:R14)</f>
        <v>1090114432.4153564</v>
      </c>
      <c r="L14" s="143">
        <v>20487191.093370512</v>
      </c>
      <c r="M14" s="143">
        <v>28978029.685308009</v>
      </c>
      <c r="N14" s="143">
        <v>334771366.90920109</v>
      </c>
      <c r="O14" s="143">
        <v>385758605.7230584</v>
      </c>
      <c r="P14" s="143">
        <v>17302363.273569763</v>
      </c>
      <c r="Q14" s="143">
        <v>286427922.36313856</v>
      </c>
      <c r="R14" s="143">
        <v>16388953.367710022</v>
      </c>
      <c r="U14" s="2" t="s">
        <v>463</v>
      </c>
    </row>
    <row r="16" spans="2:23" x14ac:dyDescent="0.25">
      <c r="B16" s="1" t="s">
        <v>162</v>
      </c>
    </row>
    <row r="17" spans="2:21" x14ac:dyDescent="0.2">
      <c r="B17" s="2" t="s">
        <v>155</v>
      </c>
      <c r="F17" s="57" t="s">
        <v>76</v>
      </c>
      <c r="L17" s="138">
        <v>1.76</v>
      </c>
      <c r="M17" s="138">
        <v>1.74</v>
      </c>
      <c r="N17" s="138">
        <v>1.76</v>
      </c>
      <c r="O17" s="138">
        <v>1.63</v>
      </c>
      <c r="P17" s="138">
        <v>1.65</v>
      </c>
      <c r="Q17" s="138">
        <v>1.67</v>
      </c>
      <c r="R17" s="138">
        <v>2.02</v>
      </c>
      <c r="U17" s="2" t="s">
        <v>464</v>
      </c>
    </row>
    <row r="19" spans="2:21" s="8" customFormat="1" x14ac:dyDescent="0.25">
      <c r="B19" s="8" t="s">
        <v>220</v>
      </c>
    </row>
    <row r="21" spans="2:21" x14ac:dyDescent="0.2">
      <c r="B21" s="41" t="s">
        <v>196</v>
      </c>
      <c r="H21" s="144">
        <v>1.0770378277281506E-2</v>
      </c>
      <c r="U21" s="2" t="s">
        <v>434</v>
      </c>
    </row>
    <row r="24" spans="2:21" x14ac:dyDescent="0.25">
      <c r="B24" s="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2:W178"/>
  <sheetViews>
    <sheetView showGridLines="0" zoomScale="85" zoomScaleNormal="85" workbookViewId="0">
      <pane xSplit="6" ySplit="17" topLeftCell="G18" activePane="bottomRight" state="frozen"/>
      <selection activeCell="Q51" sqref="Q51"/>
      <selection pane="topRight" activeCell="Q51" sqref="Q51"/>
      <selection pane="bottomLeft" activeCell="Q51" sqref="Q51"/>
      <selection pane="bottomRight" activeCell="G18" sqref="G18"/>
    </sheetView>
  </sheetViews>
  <sheetFormatPr defaultRowHeight="12.75" x14ac:dyDescent="0.25"/>
  <cols>
    <col min="1" max="1" width="4" style="2" customWidth="1"/>
    <col min="2" max="2" width="63" style="2" customWidth="1"/>
    <col min="3" max="5" width="4.5703125" style="2" customWidth="1"/>
    <col min="6" max="6" width="13.2851562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3.28515625" style="2" customWidth="1"/>
    <col min="19" max="20" width="2.7109375" style="2" customWidth="1"/>
    <col min="21" max="21" width="17.140625" style="2" customWidth="1"/>
    <col min="22" max="22" width="2.7109375" style="2" customWidth="1"/>
    <col min="23" max="23" width="13.7109375" style="2" customWidth="1"/>
    <col min="24" max="24" width="2.7109375" style="2" customWidth="1"/>
    <col min="25" max="39" width="13.7109375" style="2" customWidth="1"/>
    <col min="40" max="16384" width="9.140625" style="2"/>
  </cols>
  <sheetData>
    <row r="2" spans="2:23" s="27" customFormat="1" ht="18" x14ac:dyDescent="0.25">
      <c r="B2" s="27" t="s">
        <v>284</v>
      </c>
    </row>
    <row r="4" spans="2:23" x14ac:dyDescent="0.25">
      <c r="B4" s="1" t="s">
        <v>29</v>
      </c>
      <c r="C4" s="1"/>
      <c r="D4" s="1"/>
    </row>
    <row r="5" spans="2:23" x14ac:dyDescent="0.2">
      <c r="B5" s="69" t="s">
        <v>285</v>
      </c>
      <c r="L5" s="46"/>
      <c r="M5" s="46"/>
      <c r="N5" s="46"/>
      <c r="O5" s="46"/>
      <c r="P5" s="46"/>
      <c r="Q5" s="46"/>
      <c r="R5" s="46"/>
    </row>
    <row r="6" spans="2:23" x14ac:dyDescent="0.2">
      <c r="B6" s="69" t="s">
        <v>286</v>
      </c>
      <c r="C6" s="3"/>
      <c r="D6" s="3"/>
      <c r="H6" s="28"/>
      <c r="L6" s="46"/>
      <c r="M6" s="46"/>
      <c r="N6" s="46"/>
      <c r="O6" s="46"/>
      <c r="P6" s="46"/>
      <c r="Q6" s="46"/>
      <c r="R6" s="46"/>
    </row>
    <row r="7" spans="2:23" x14ac:dyDescent="0.2">
      <c r="B7" s="69"/>
      <c r="C7" s="3"/>
      <c r="D7" s="3"/>
      <c r="L7" s="46"/>
      <c r="M7" s="46"/>
      <c r="N7" s="46"/>
      <c r="O7" s="46"/>
      <c r="P7" s="46"/>
      <c r="Q7" s="46"/>
      <c r="R7" s="46"/>
    </row>
    <row r="8" spans="2:23" x14ac:dyDescent="0.2">
      <c r="B8" s="69" t="s">
        <v>109</v>
      </c>
      <c r="C8" s="3"/>
      <c r="D8" s="3"/>
      <c r="L8" s="46"/>
      <c r="M8" s="46"/>
      <c r="N8" s="46"/>
      <c r="O8" s="46"/>
      <c r="P8" s="46"/>
      <c r="Q8" s="46"/>
      <c r="R8" s="46"/>
    </row>
    <row r="9" spans="2:23" x14ac:dyDescent="0.2">
      <c r="B9" s="69" t="s">
        <v>212</v>
      </c>
      <c r="C9" s="3"/>
      <c r="D9" s="3"/>
      <c r="L9" s="46"/>
      <c r="M9" s="46"/>
      <c r="N9" s="46"/>
      <c r="O9" s="46"/>
      <c r="P9" s="46"/>
      <c r="Q9" s="46"/>
      <c r="R9" s="46"/>
    </row>
    <row r="10" spans="2:23" x14ac:dyDescent="0.2">
      <c r="B10" s="69" t="s">
        <v>296</v>
      </c>
      <c r="C10" s="3"/>
      <c r="D10" s="3"/>
      <c r="L10" s="46"/>
      <c r="M10" s="46"/>
      <c r="N10" s="46"/>
      <c r="O10" s="46"/>
      <c r="P10" s="46"/>
      <c r="Q10" s="46"/>
      <c r="R10" s="46"/>
    </row>
    <row r="11" spans="2:23" x14ac:dyDescent="0.2">
      <c r="B11" s="69" t="s">
        <v>110</v>
      </c>
      <c r="C11" s="3"/>
      <c r="D11" s="3"/>
      <c r="L11" s="46"/>
      <c r="M11" s="46"/>
      <c r="N11" s="46"/>
      <c r="O11" s="46"/>
      <c r="P11" s="46"/>
      <c r="Q11" s="46"/>
      <c r="R11" s="46"/>
    </row>
    <row r="12" spans="2:23" x14ac:dyDescent="0.2">
      <c r="B12" s="69" t="s">
        <v>213</v>
      </c>
      <c r="C12" s="3"/>
      <c r="D12" s="3"/>
      <c r="L12" s="46"/>
      <c r="M12" s="46"/>
      <c r="N12" s="46"/>
      <c r="O12" s="46"/>
      <c r="P12" s="46"/>
      <c r="Q12" s="46"/>
      <c r="R12" s="46"/>
    </row>
    <row r="13" spans="2:23" x14ac:dyDescent="0.2">
      <c r="B13" s="69"/>
      <c r="C13" s="3"/>
      <c r="D13" s="3"/>
      <c r="L13" s="46"/>
      <c r="M13" s="46"/>
      <c r="N13" s="46"/>
      <c r="O13" s="46"/>
      <c r="P13" s="46"/>
      <c r="Q13" s="46"/>
      <c r="R13" s="46"/>
    </row>
    <row r="14" spans="2:23" x14ac:dyDescent="0.2">
      <c r="B14" s="69" t="s">
        <v>111</v>
      </c>
      <c r="C14" s="3"/>
      <c r="D14" s="3"/>
      <c r="L14" s="46"/>
      <c r="M14" s="46"/>
      <c r="N14" s="46"/>
      <c r="O14" s="46"/>
      <c r="P14" s="46"/>
      <c r="Q14" s="46"/>
      <c r="R14" s="46"/>
    </row>
    <row r="16" spans="2:23" s="8" customFormat="1" x14ac:dyDescent="0.25">
      <c r="B16" s="8" t="s">
        <v>45</v>
      </c>
      <c r="F16" s="8" t="s">
        <v>27</v>
      </c>
      <c r="H16" s="8" t="s">
        <v>28</v>
      </c>
      <c r="J16" s="8" t="s">
        <v>49</v>
      </c>
      <c r="L16" s="8" t="s">
        <v>165</v>
      </c>
      <c r="M16" s="8" t="s">
        <v>65</v>
      </c>
      <c r="N16" s="8" t="s">
        <v>66</v>
      </c>
      <c r="O16" s="8" t="s">
        <v>67</v>
      </c>
      <c r="P16" s="8" t="s">
        <v>68</v>
      </c>
      <c r="Q16" s="8" t="s">
        <v>69</v>
      </c>
      <c r="R16" s="8" t="s">
        <v>70</v>
      </c>
      <c r="U16" s="8" t="s">
        <v>46</v>
      </c>
      <c r="W16" s="8" t="s">
        <v>47</v>
      </c>
    </row>
    <row r="19" spans="2:22" s="8" customFormat="1" x14ac:dyDescent="0.25">
      <c r="B19" s="8" t="s">
        <v>287</v>
      </c>
    </row>
    <row r="20" spans="2:22" s="9" customFormat="1" ht="15" x14ac:dyDescent="0.25">
      <c r="F20" s="57"/>
      <c r="J20" s="64"/>
      <c r="L20" s="58"/>
      <c r="M20" s="58"/>
      <c r="N20" s="58"/>
      <c r="O20" s="58"/>
      <c r="P20" s="58"/>
      <c r="Q20" s="58"/>
      <c r="R20" s="58"/>
      <c r="V20" s="59"/>
    </row>
    <row r="21" spans="2:22" s="9" customFormat="1" ht="15" x14ac:dyDescent="0.25">
      <c r="B21" s="78" t="s">
        <v>112</v>
      </c>
      <c r="F21" s="57"/>
      <c r="J21" s="64"/>
      <c r="L21" s="58"/>
      <c r="M21" s="58"/>
      <c r="N21" s="58"/>
      <c r="O21" s="58"/>
      <c r="P21" s="58"/>
      <c r="Q21" s="58"/>
      <c r="R21" s="58"/>
      <c r="V21" s="59"/>
    </row>
    <row r="22" spans="2:22" s="9" customFormat="1" ht="15" x14ac:dyDescent="0.25">
      <c r="B22" s="82"/>
      <c r="F22" s="57"/>
      <c r="J22" s="64"/>
      <c r="L22" s="39"/>
      <c r="M22" s="58"/>
      <c r="N22" s="58"/>
      <c r="O22" s="58"/>
      <c r="P22" s="58"/>
      <c r="Q22" s="58"/>
      <c r="R22" s="58"/>
      <c r="V22" s="59"/>
    </row>
    <row r="23" spans="2:22" s="9" customFormat="1" x14ac:dyDescent="0.2">
      <c r="B23" s="78" t="s">
        <v>295</v>
      </c>
      <c r="F23" s="57"/>
      <c r="J23" s="64"/>
      <c r="L23" s="58"/>
      <c r="M23" s="58"/>
      <c r="N23" s="58"/>
      <c r="O23" s="58"/>
      <c r="P23" s="58"/>
      <c r="Q23" s="58"/>
      <c r="R23" s="58"/>
    </row>
    <row r="24" spans="2:22" s="9" customFormat="1" x14ac:dyDescent="0.2">
      <c r="B24" s="83" t="s">
        <v>113</v>
      </c>
      <c r="F24" s="57"/>
      <c r="J24" s="64"/>
      <c r="L24" s="58"/>
      <c r="M24" s="58"/>
      <c r="N24" s="58"/>
      <c r="O24" s="58"/>
      <c r="P24" s="58"/>
      <c r="Q24" s="58"/>
      <c r="R24" s="58"/>
    </row>
    <row r="25" spans="2:22" s="9" customFormat="1" ht="15" x14ac:dyDescent="0.25">
      <c r="B25" s="57" t="s">
        <v>114</v>
      </c>
      <c r="F25" s="69" t="s">
        <v>177</v>
      </c>
      <c r="J25" s="64"/>
      <c r="L25" s="143">
        <v>0</v>
      </c>
      <c r="M25" s="143">
        <v>435328.6</v>
      </c>
      <c r="N25" s="143">
        <v>3740572.5821933551</v>
      </c>
      <c r="O25" s="143">
        <v>55410892.57</v>
      </c>
      <c r="P25" s="143">
        <v>97477.32</v>
      </c>
      <c r="Q25" s="143">
        <v>23396324.379843377</v>
      </c>
      <c r="R25" s="143">
        <v>25729.13</v>
      </c>
      <c r="S25" s="69"/>
      <c r="U25" s="69" t="s">
        <v>288</v>
      </c>
      <c r="V25" s="59"/>
    </row>
    <row r="26" spans="2:22" s="9" customFormat="1" ht="15" x14ac:dyDescent="0.25">
      <c r="B26" s="57" t="s">
        <v>115</v>
      </c>
      <c r="F26" s="69" t="s">
        <v>177</v>
      </c>
      <c r="J26" s="64"/>
      <c r="L26" s="143">
        <v>0</v>
      </c>
      <c r="M26" s="143">
        <v>10073.491943427252</v>
      </c>
      <c r="N26" s="143">
        <v>0</v>
      </c>
      <c r="O26" s="143">
        <v>0</v>
      </c>
      <c r="P26" s="143">
        <v>0</v>
      </c>
      <c r="Q26" s="143">
        <v>0</v>
      </c>
      <c r="R26" s="143">
        <v>0</v>
      </c>
      <c r="S26" s="69"/>
      <c r="U26" s="69" t="s">
        <v>289</v>
      </c>
      <c r="V26" s="59"/>
    </row>
    <row r="27" spans="2:22" s="9" customFormat="1" ht="15" x14ac:dyDescent="0.25">
      <c r="B27" s="83" t="s">
        <v>217</v>
      </c>
      <c r="F27" s="87"/>
      <c r="J27" s="64"/>
      <c r="L27" s="79"/>
      <c r="M27" s="79"/>
      <c r="N27" s="79"/>
      <c r="O27" s="79"/>
      <c r="P27" s="79"/>
      <c r="Q27" s="79"/>
      <c r="R27" s="79"/>
      <c r="S27" s="87"/>
      <c r="U27" s="69"/>
      <c r="V27" s="59"/>
    </row>
    <row r="28" spans="2:22" s="9" customFormat="1" ht="15" x14ac:dyDescent="0.25">
      <c r="B28" s="57" t="s">
        <v>114</v>
      </c>
      <c r="F28" s="69" t="s">
        <v>177</v>
      </c>
      <c r="J28" s="64"/>
      <c r="L28" s="143">
        <v>0</v>
      </c>
      <c r="M28" s="143">
        <v>0</v>
      </c>
      <c r="N28" s="143">
        <v>0</v>
      </c>
      <c r="O28" s="143">
        <v>0</v>
      </c>
      <c r="P28" s="143">
        <v>0</v>
      </c>
      <c r="Q28" s="143">
        <v>0</v>
      </c>
      <c r="R28" s="143">
        <v>0</v>
      </c>
      <c r="S28" s="69"/>
      <c r="U28" s="69" t="s">
        <v>290</v>
      </c>
      <c r="V28" s="59"/>
    </row>
    <row r="29" spans="2:22" s="9" customFormat="1" ht="15" x14ac:dyDescent="0.25">
      <c r="B29" s="57" t="s">
        <v>115</v>
      </c>
      <c r="F29" s="69" t="s">
        <v>177</v>
      </c>
      <c r="J29" s="64"/>
      <c r="L29" s="143">
        <v>0</v>
      </c>
      <c r="M29" s="143">
        <v>0</v>
      </c>
      <c r="N29" s="143">
        <v>0</v>
      </c>
      <c r="O29" s="143">
        <v>0</v>
      </c>
      <c r="P29" s="143">
        <v>0</v>
      </c>
      <c r="Q29" s="143">
        <v>0</v>
      </c>
      <c r="R29" s="143">
        <v>0</v>
      </c>
      <c r="S29" s="69"/>
      <c r="U29" s="69" t="s">
        <v>291</v>
      </c>
      <c r="V29" s="59"/>
    </row>
    <row r="30" spans="2:22" s="9" customFormat="1" ht="15" x14ac:dyDescent="0.25">
      <c r="B30" s="83" t="s">
        <v>218</v>
      </c>
      <c r="F30" s="87"/>
      <c r="J30" s="64"/>
      <c r="L30" s="79"/>
      <c r="M30" s="79"/>
      <c r="N30" s="79"/>
      <c r="O30" s="87"/>
      <c r="P30" s="79"/>
      <c r="Q30" s="79"/>
      <c r="R30" s="79"/>
      <c r="S30" s="87"/>
      <c r="U30" s="69"/>
      <c r="V30" s="59"/>
    </row>
    <row r="31" spans="2:22" s="9" customFormat="1" x14ac:dyDescent="0.2">
      <c r="B31" s="57" t="s">
        <v>114</v>
      </c>
      <c r="F31" s="69" t="s">
        <v>177</v>
      </c>
      <c r="J31" s="64"/>
      <c r="L31" s="143">
        <v>0</v>
      </c>
      <c r="M31" s="143">
        <v>0</v>
      </c>
      <c r="N31" s="143">
        <v>0</v>
      </c>
      <c r="O31" s="143">
        <v>0</v>
      </c>
      <c r="P31" s="143">
        <v>0</v>
      </c>
      <c r="Q31" s="143">
        <v>0</v>
      </c>
      <c r="R31" s="143">
        <v>0</v>
      </c>
      <c r="S31" s="69"/>
      <c r="U31" s="69" t="s">
        <v>292</v>
      </c>
    </row>
    <row r="32" spans="2:22" s="9" customFormat="1" x14ac:dyDescent="0.2">
      <c r="B32" s="57" t="s">
        <v>115</v>
      </c>
      <c r="F32" s="69" t="s">
        <v>177</v>
      </c>
      <c r="J32" s="64"/>
      <c r="L32" s="143">
        <v>0</v>
      </c>
      <c r="M32" s="143">
        <v>0</v>
      </c>
      <c r="N32" s="143">
        <v>0</v>
      </c>
      <c r="O32" s="143">
        <v>0</v>
      </c>
      <c r="P32" s="143">
        <v>0</v>
      </c>
      <c r="Q32" s="143">
        <v>0</v>
      </c>
      <c r="R32" s="143">
        <v>0</v>
      </c>
      <c r="S32" s="69"/>
      <c r="U32" s="69" t="s">
        <v>293</v>
      </c>
    </row>
    <row r="33" spans="2:23" s="9" customFormat="1" ht="12.75" customHeight="1" x14ac:dyDescent="0.2">
      <c r="B33" s="78"/>
      <c r="F33" s="69"/>
      <c r="J33" s="64"/>
      <c r="L33" s="91"/>
      <c r="M33" s="82"/>
      <c r="N33" s="82"/>
      <c r="O33" s="82"/>
      <c r="P33" s="82"/>
      <c r="Q33" s="82"/>
      <c r="R33" s="82"/>
      <c r="S33" s="69"/>
      <c r="U33" s="69"/>
    </row>
    <row r="34" spans="2:23" s="9" customFormat="1" ht="12.75" customHeight="1" x14ac:dyDescent="0.25">
      <c r="B34" s="78" t="s">
        <v>294</v>
      </c>
      <c r="F34" s="69"/>
      <c r="J34" s="65"/>
      <c r="L34" s="91"/>
      <c r="M34" s="82"/>
      <c r="N34" s="82"/>
      <c r="O34" s="82"/>
      <c r="P34" s="82"/>
      <c r="Q34" s="82"/>
      <c r="R34" s="82"/>
      <c r="S34" s="69"/>
      <c r="U34" s="69"/>
    </row>
    <row r="35" spans="2:23" s="9" customFormat="1" ht="12.75" customHeight="1" x14ac:dyDescent="0.25">
      <c r="B35" s="78"/>
      <c r="F35" s="69"/>
      <c r="J35" s="64"/>
      <c r="L35" s="91"/>
      <c r="M35" s="82"/>
      <c r="N35" s="82"/>
      <c r="O35" s="82"/>
      <c r="P35" s="82"/>
      <c r="Q35" s="82"/>
      <c r="R35" s="82"/>
      <c r="S35" s="69"/>
      <c r="U35" s="69"/>
      <c r="V35" s="59"/>
    </row>
    <row r="36" spans="2:23" s="9" customFormat="1" ht="12.75" customHeight="1" x14ac:dyDescent="0.25">
      <c r="B36" s="168" t="s">
        <v>417</v>
      </c>
      <c r="F36" s="164"/>
      <c r="J36" s="166"/>
      <c r="L36" s="169"/>
      <c r="M36" s="164"/>
      <c r="N36" s="170"/>
      <c r="O36" s="162"/>
      <c r="P36" s="169"/>
      <c r="Q36" s="162"/>
      <c r="R36" s="164"/>
      <c r="S36" s="164"/>
      <c r="T36" s="164"/>
      <c r="V36" s="164"/>
      <c r="W36" s="59"/>
    </row>
    <row r="37" spans="2:23" s="9" customFormat="1" ht="12.75" customHeight="1" x14ac:dyDescent="0.25">
      <c r="B37" s="84" t="s">
        <v>418</v>
      </c>
      <c r="F37" s="164" t="s">
        <v>177</v>
      </c>
      <c r="J37" s="166"/>
      <c r="L37" s="171"/>
      <c r="M37" s="164"/>
      <c r="N37" s="113">
        <v>0</v>
      </c>
      <c r="O37" s="164"/>
      <c r="P37" s="143">
        <v>0</v>
      </c>
      <c r="Q37" s="164"/>
      <c r="R37" s="164"/>
      <c r="S37" s="164"/>
      <c r="T37" s="164"/>
      <c r="V37" s="164" t="s">
        <v>200</v>
      </c>
      <c r="W37" s="59"/>
    </row>
    <row r="38" spans="2:23" s="9" customFormat="1" ht="12.75" customHeight="1" x14ac:dyDescent="0.25">
      <c r="B38" s="84" t="s">
        <v>419</v>
      </c>
      <c r="F38" s="164" t="s">
        <v>177</v>
      </c>
      <c r="J38" s="166"/>
      <c r="L38" s="171"/>
      <c r="M38" s="164"/>
      <c r="N38" s="113">
        <v>923781.15946493589</v>
      </c>
      <c r="O38" s="164"/>
      <c r="P38" s="143">
        <v>0</v>
      </c>
      <c r="Q38" s="164"/>
      <c r="R38" s="164"/>
      <c r="S38" s="164"/>
      <c r="T38" s="164"/>
      <c r="V38" s="164" t="s">
        <v>200</v>
      </c>
      <c r="W38" s="59"/>
    </row>
    <row r="39" spans="2:23" s="9" customFormat="1" ht="12.75" customHeight="1" x14ac:dyDescent="0.2">
      <c r="B39" s="84" t="s">
        <v>420</v>
      </c>
      <c r="F39" s="164" t="s">
        <v>177</v>
      </c>
      <c r="J39" s="166"/>
      <c r="L39" s="171"/>
      <c r="M39" s="164"/>
      <c r="N39" s="113">
        <v>2771343.4783948194</v>
      </c>
      <c r="O39" s="164"/>
      <c r="P39" s="143">
        <v>0</v>
      </c>
      <c r="Q39" s="164"/>
      <c r="R39" s="164"/>
      <c r="S39" s="164"/>
      <c r="T39" s="164"/>
      <c r="V39" s="164" t="s">
        <v>200</v>
      </c>
    </row>
    <row r="40" spans="2:23" s="9" customFormat="1" x14ac:dyDescent="0.2">
      <c r="B40" s="84"/>
      <c r="F40" s="69"/>
      <c r="J40" s="64"/>
      <c r="L40" s="91"/>
      <c r="M40" s="82"/>
      <c r="N40" s="82"/>
      <c r="O40" s="82"/>
      <c r="P40" s="82"/>
      <c r="Q40" s="82"/>
      <c r="R40" s="82"/>
      <c r="S40" s="69"/>
      <c r="T40" s="69"/>
    </row>
    <row r="41" spans="2:23" s="8" customFormat="1" x14ac:dyDescent="0.25">
      <c r="B41" s="8" t="s">
        <v>116</v>
      </c>
    </row>
    <row r="42" spans="2:23" s="9" customFormat="1" x14ac:dyDescent="0.2">
      <c r="B42" s="84"/>
      <c r="F42" s="69"/>
      <c r="J42" s="64"/>
      <c r="L42" s="91"/>
      <c r="M42" s="82"/>
      <c r="N42" s="82"/>
      <c r="O42" s="82"/>
      <c r="P42" s="82"/>
      <c r="Q42" s="82"/>
      <c r="R42" s="82"/>
      <c r="S42" s="69"/>
      <c r="T42" s="69"/>
    </row>
    <row r="43" spans="2:23" s="9" customFormat="1" ht="15" x14ac:dyDescent="0.25">
      <c r="B43" s="78" t="s">
        <v>117</v>
      </c>
      <c r="F43" s="70"/>
      <c r="J43" s="64"/>
      <c r="L43" s="92"/>
      <c r="M43" s="92"/>
      <c r="N43" s="92"/>
      <c r="O43" s="92"/>
      <c r="P43" s="92"/>
      <c r="Q43" s="92"/>
      <c r="R43" s="92"/>
      <c r="S43" s="70"/>
      <c r="T43" s="70"/>
      <c r="U43" s="59"/>
    </row>
    <row r="44" spans="2:23" s="9" customFormat="1" ht="15" x14ac:dyDescent="0.25">
      <c r="B44" s="78"/>
      <c r="F44" s="70"/>
      <c r="J44" s="64"/>
      <c r="L44" s="42"/>
      <c r="M44" s="42"/>
      <c r="N44" s="42"/>
      <c r="O44" s="42"/>
      <c r="P44" s="42"/>
      <c r="Q44" s="42"/>
      <c r="R44" s="42"/>
      <c r="S44" s="70"/>
      <c r="T44" s="70"/>
      <c r="U44" s="59"/>
    </row>
    <row r="45" spans="2:23" s="9" customFormat="1" x14ac:dyDescent="0.2">
      <c r="B45" s="85" t="s">
        <v>170</v>
      </c>
      <c r="F45" s="41" t="s">
        <v>176</v>
      </c>
      <c r="J45" s="64"/>
      <c r="L45" s="143">
        <v>20486481.42662188</v>
      </c>
      <c r="M45" s="143">
        <v>28956854.314480409</v>
      </c>
      <c r="N45" s="143">
        <v>337289721.93822908</v>
      </c>
      <c r="O45" s="143">
        <v>414286710.20999938</v>
      </c>
      <c r="P45" s="143">
        <v>15212650.263365157</v>
      </c>
      <c r="Q45" s="143">
        <v>295607737.54690635</v>
      </c>
      <c r="R45" s="143">
        <v>16410876.304802706</v>
      </c>
      <c r="S45" s="85"/>
      <c r="T45" s="70"/>
      <c r="U45" s="9" t="s">
        <v>465</v>
      </c>
    </row>
    <row r="46" spans="2:23" s="9" customFormat="1" x14ac:dyDescent="0.2">
      <c r="B46" s="85" t="s">
        <v>171</v>
      </c>
      <c r="F46" s="85" t="s">
        <v>76</v>
      </c>
      <c r="L46" s="138">
        <v>1.76</v>
      </c>
      <c r="M46" s="138">
        <v>1.74</v>
      </c>
      <c r="N46" s="138">
        <v>1.74</v>
      </c>
      <c r="O46" s="138">
        <v>1.51</v>
      </c>
      <c r="P46" s="138">
        <v>1.74</v>
      </c>
      <c r="Q46" s="138">
        <v>1.62</v>
      </c>
      <c r="R46" s="138">
        <v>2.02</v>
      </c>
      <c r="S46" s="85"/>
      <c r="T46" s="70"/>
      <c r="U46" s="9" t="s">
        <v>466</v>
      </c>
    </row>
    <row r="47" spans="2:23" s="89" customFormat="1" x14ac:dyDescent="0.2">
      <c r="B47" s="88"/>
      <c r="F47" s="88"/>
    </row>
    <row r="48" spans="2:23" s="90" customFormat="1" x14ac:dyDescent="0.2">
      <c r="B48" s="93"/>
      <c r="F48" s="94"/>
      <c r="H48" s="95"/>
    </row>
    <row r="49" spans="2:21" s="89" customFormat="1" x14ac:dyDescent="0.2">
      <c r="B49" s="93"/>
      <c r="F49" s="94"/>
      <c r="H49" s="95"/>
    </row>
    <row r="50" spans="2:21" s="9" customFormat="1" x14ac:dyDescent="0.2">
      <c r="B50" s="80"/>
      <c r="F50" s="96"/>
      <c r="H50" s="95"/>
    </row>
    <row r="51" spans="2:21" s="9" customFormat="1" x14ac:dyDescent="0.2">
      <c r="B51" s="80"/>
      <c r="F51" s="96"/>
    </row>
    <row r="52" spans="2:21" s="9" customFormat="1" x14ac:dyDescent="0.2">
      <c r="B52" s="70"/>
      <c r="F52" s="69"/>
    </row>
    <row r="53" spans="2:21" s="9" customFormat="1" ht="15" x14ac:dyDescent="0.25">
      <c r="B53" s="70"/>
      <c r="F53" s="69"/>
      <c r="J53" s="64"/>
      <c r="L53" s="58"/>
      <c r="M53" s="58"/>
      <c r="N53" s="58"/>
      <c r="O53" s="58"/>
      <c r="P53" s="58"/>
      <c r="Q53" s="58"/>
      <c r="R53" s="58"/>
      <c r="U53" s="59"/>
    </row>
    <row r="54" spans="2:21" s="9" customFormat="1" ht="15" x14ac:dyDescent="0.25">
      <c r="B54" s="70"/>
      <c r="F54" s="69"/>
      <c r="J54" s="64"/>
      <c r="L54" s="58"/>
      <c r="M54" s="58"/>
      <c r="N54" s="58"/>
      <c r="O54" s="58"/>
      <c r="P54" s="58"/>
      <c r="Q54" s="58"/>
      <c r="R54" s="58"/>
      <c r="U54" s="59"/>
    </row>
    <row r="55" spans="2:21" s="9" customFormat="1" ht="15" x14ac:dyDescent="0.25">
      <c r="F55" s="57"/>
      <c r="J55" s="64"/>
      <c r="L55" s="58"/>
      <c r="M55" s="58"/>
      <c r="N55" s="58"/>
      <c r="O55" s="58"/>
      <c r="P55" s="58"/>
      <c r="Q55" s="58"/>
      <c r="R55" s="58"/>
      <c r="U55" s="59"/>
    </row>
    <row r="56" spans="2:21" s="9" customFormat="1" ht="15" x14ac:dyDescent="0.25">
      <c r="F56" s="57"/>
      <c r="J56" s="64"/>
      <c r="L56" s="58"/>
      <c r="M56" s="58"/>
      <c r="N56" s="58"/>
      <c r="O56" s="58"/>
      <c r="P56" s="58"/>
      <c r="Q56" s="58"/>
      <c r="R56" s="58"/>
      <c r="U56" s="59"/>
    </row>
    <row r="57" spans="2:21" s="9" customFormat="1" ht="15" x14ac:dyDescent="0.25">
      <c r="F57" s="57"/>
      <c r="J57" s="64"/>
      <c r="L57" s="58"/>
      <c r="M57" s="58"/>
      <c r="N57" s="58"/>
      <c r="O57" s="58"/>
      <c r="P57" s="58"/>
      <c r="Q57" s="58"/>
      <c r="R57" s="58"/>
      <c r="U57" s="59"/>
    </row>
    <row r="58" spans="2:21" s="9" customFormat="1" ht="15" x14ac:dyDescent="0.25">
      <c r="F58" s="57"/>
      <c r="J58" s="64"/>
      <c r="L58" s="58"/>
      <c r="M58" s="58"/>
      <c r="N58" s="58"/>
      <c r="O58" s="58"/>
      <c r="P58" s="58"/>
      <c r="Q58" s="58"/>
      <c r="R58" s="58"/>
      <c r="U58" s="59"/>
    </row>
    <row r="59" spans="2:21" s="9" customFormat="1" x14ac:dyDescent="0.2">
      <c r="F59" s="57"/>
      <c r="J59" s="64"/>
      <c r="L59" s="58"/>
      <c r="M59" s="58"/>
      <c r="N59" s="58"/>
      <c r="O59" s="58"/>
      <c r="P59" s="58"/>
      <c r="Q59" s="58"/>
      <c r="R59" s="58"/>
    </row>
    <row r="60" spans="2:21" s="9" customFormat="1" x14ac:dyDescent="0.2">
      <c r="B60" s="71"/>
      <c r="F60" s="57"/>
      <c r="J60" s="64"/>
      <c r="L60" s="58"/>
      <c r="M60" s="58"/>
      <c r="N60" s="58"/>
      <c r="O60" s="58"/>
      <c r="P60" s="58"/>
      <c r="Q60" s="58"/>
      <c r="R60" s="58"/>
    </row>
    <row r="61" spans="2:21" s="9" customFormat="1" ht="15" x14ac:dyDescent="0.25">
      <c r="F61" s="57"/>
      <c r="J61" s="64"/>
      <c r="L61" s="58"/>
      <c r="M61" s="58"/>
      <c r="N61" s="58"/>
      <c r="O61" s="58"/>
      <c r="P61" s="58"/>
      <c r="Q61" s="58"/>
      <c r="R61" s="58"/>
      <c r="U61" s="59"/>
    </row>
    <row r="62" spans="2:21" s="9" customFormat="1" ht="15" x14ac:dyDescent="0.25">
      <c r="F62" s="57"/>
      <c r="J62" s="64"/>
      <c r="L62" s="58"/>
      <c r="M62" s="58"/>
      <c r="N62" s="58"/>
      <c r="O62" s="58"/>
      <c r="P62" s="58"/>
      <c r="Q62" s="58"/>
      <c r="R62" s="58"/>
      <c r="U62" s="59"/>
    </row>
    <row r="63" spans="2:21" s="9" customFormat="1" ht="15" x14ac:dyDescent="0.25">
      <c r="F63" s="57"/>
      <c r="J63" s="64"/>
      <c r="L63" s="58"/>
      <c r="M63" s="58"/>
      <c r="N63" s="58"/>
      <c r="O63" s="58"/>
      <c r="P63" s="58"/>
      <c r="Q63" s="58"/>
      <c r="R63" s="58"/>
      <c r="U63" s="59"/>
    </row>
    <row r="64" spans="2:21" s="9" customFormat="1" ht="15" x14ac:dyDescent="0.25">
      <c r="F64" s="57"/>
      <c r="J64" s="64"/>
      <c r="L64" s="58"/>
      <c r="M64" s="58"/>
      <c r="N64" s="58"/>
      <c r="O64" s="58"/>
      <c r="P64" s="58"/>
      <c r="Q64" s="58"/>
      <c r="R64" s="58"/>
      <c r="U64" s="59"/>
    </row>
    <row r="65" spans="2:21" s="9" customFormat="1" ht="15" x14ac:dyDescent="0.25">
      <c r="F65" s="57"/>
      <c r="J65" s="64"/>
      <c r="L65" s="58"/>
      <c r="M65" s="58"/>
      <c r="N65" s="58"/>
      <c r="O65" s="58"/>
      <c r="P65" s="58"/>
      <c r="Q65" s="58"/>
      <c r="R65" s="58"/>
      <c r="U65" s="59"/>
    </row>
    <row r="66" spans="2:21" s="9" customFormat="1" ht="15" x14ac:dyDescent="0.25">
      <c r="F66" s="57"/>
      <c r="J66" s="64"/>
      <c r="L66" s="58"/>
      <c r="M66" s="58"/>
      <c r="N66" s="58"/>
      <c r="O66" s="58"/>
      <c r="P66" s="58"/>
      <c r="Q66" s="58"/>
      <c r="R66" s="58"/>
      <c r="U66" s="59"/>
    </row>
    <row r="67" spans="2:21" s="9" customFormat="1" x14ac:dyDescent="0.2">
      <c r="F67" s="57"/>
      <c r="J67" s="64"/>
      <c r="L67" s="58"/>
      <c r="M67" s="58"/>
      <c r="N67" s="58"/>
      <c r="O67" s="58"/>
      <c r="P67" s="58"/>
      <c r="Q67" s="58"/>
      <c r="R67" s="58"/>
    </row>
    <row r="68" spans="2:21" s="9" customFormat="1" x14ac:dyDescent="0.2">
      <c r="B68" s="71"/>
      <c r="F68" s="57"/>
      <c r="J68" s="64"/>
      <c r="L68" s="58"/>
      <c r="M68" s="58"/>
      <c r="N68" s="58"/>
      <c r="O68" s="58"/>
      <c r="P68" s="58"/>
      <c r="Q68" s="58"/>
      <c r="R68" s="58"/>
    </row>
    <row r="69" spans="2:21" s="9" customFormat="1" x14ac:dyDescent="0.2">
      <c r="F69" s="57"/>
      <c r="J69" s="64"/>
      <c r="L69" s="58"/>
      <c r="M69" s="58"/>
      <c r="N69" s="58"/>
      <c r="O69" s="58"/>
      <c r="P69" s="58"/>
      <c r="Q69" s="58"/>
      <c r="R69" s="58"/>
    </row>
    <row r="70" spans="2:21" s="9" customFormat="1" ht="15" x14ac:dyDescent="0.25">
      <c r="B70" s="71"/>
      <c r="F70" s="57"/>
      <c r="J70" s="65"/>
      <c r="L70" s="59"/>
      <c r="M70" s="59"/>
      <c r="N70" s="59"/>
      <c r="O70" s="59"/>
      <c r="P70" s="59"/>
      <c r="Q70" s="59"/>
      <c r="R70" s="59"/>
    </row>
    <row r="71" spans="2:21" s="9" customFormat="1" ht="15" x14ac:dyDescent="0.25">
      <c r="F71" s="57"/>
      <c r="J71" s="64"/>
      <c r="L71" s="58"/>
      <c r="M71" s="58"/>
      <c r="N71" s="58"/>
      <c r="O71" s="58"/>
      <c r="P71" s="58"/>
      <c r="Q71" s="58"/>
      <c r="R71" s="58"/>
      <c r="U71" s="59"/>
    </row>
    <row r="72" spans="2:21" s="9" customFormat="1" ht="15" x14ac:dyDescent="0.25">
      <c r="F72" s="57"/>
      <c r="J72" s="64"/>
      <c r="L72" s="58"/>
      <c r="M72" s="58"/>
      <c r="N72" s="58"/>
      <c r="O72" s="58"/>
      <c r="P72" s="58"/>
      <c r="Q72" s="58"/>
      <c r="R72" s="58"/>
      <c r="U72" s="59"/>
    </row>
    <row r="73" spans="2:21" s="9" customFormat="1" ht="15" x14ac:dyDescent="0.25">
      <c r="F73" s="57"/>
      <c r="J73" s="64"/>
      <c r="L73" s="58"/>
      <c r="M73" s="58"/>
      <c r="N73" s="58"/>
      <c r="O73" s="58"/>
      <c r="P73" s="58"/>
      <c r="Q73" s="58"/>
      <c r="R73" s="58"/>
      <c r="U73" s="59"/>
    </row>
    <row r="74" spans="2:21" s="9" customFormat="1" ht="15" x14ac:dyDescent="0.25">
      <c r="F74" s="57"/>
      <c r="J74" s="64"/>
      <c r="L74" s="58"/>
      <c r="M74" s="58"/>
      <c r="N74" s="58"/>
      <c r="O74" s="58"/>
      <c r="P74" s="58"/>
      <c r="Q74" s="58"/>
      <c r="R74" s="58"/>
      <c r="U74" s="59"/>
    </row>
    <row r="75" spans="2:21" s="9" customFormat="1" x14ac:dyDescent="0.2">
      <c r="F75" s="57"/>
      <c r="J75" s="64"/>
      <c r="L75" s="58"/>
      <c r="M75" s="58"/>
      <c r="N75" s="58"/>
      <c r="O75" s="58"/>
      <c r="P75" s="58"/>
      <c r="Q75" s="58"/>
      <c r="R75" s="58"/>
    </row>
    <row r="76" spans="2:21" s="9" customFormat="1" x14ac:dyDescent="0.2">
      <c r="B76" s="71"/>
      <c r="F76" s="57"/>
      <c r="J76" s="64"/>
      <c r="L76" s="58"/>
      <c r="M76" s="58"/>
      <c r="N76" s="58"/>
      <c r="O76" s="58"/>
      <c r="P76" s="58"/>
      <c r="Q76" s="58"/>
      <c r="R76" s="58"/>
    </row>
    <row r="77" spans="2:21" s="9" customFormat="1" x14ac:dyDescent="0.2">
      <c r="F77" s="57"/>
      <c r="J77" s="64"/>
      <c r="L77" s="58"/>
      <c r="M77" s="58"/>
      <c r="N77" s="58"/>
      <c r="O77" s="58"/>
      <c r="P77" s="58"/>
      <c r="Q77" s="58"/>
      <c r="R77" s="58"/>
    </row>
    <row r="78" spans="2:21" s="9" customFormat="1" x14ac:dyDescent="0.2">
      <c r="B78" s="71"/>
      <c r="F78" s="57"/>
      <c r="J78" s="64"/>
      <c r="L78" s="58"/>
      <c r="M78" s="58"/>
      <c r="N78" s="58"/>
      <c r="O78" s="58"/>
      <c r="P78" s="58"/>
      <c r="Q78" s="58"/>
      <c r="R78" s="58"/>
    </row>
    <row r="79" spans="2:21" s="9" customFormat="1" ht="15" x14ac:dyDescent="0.25">
      <c r="F79" s="57"/>
      <c r="J79" s="64"/>
      <c r="L79" s="58"/>
      <c r="M79" s="58"/>
      <c r="N79" s="58"/>
      <c r="O79" s="58"/>
      <c r="P79" s="58"/>
      <c r="Q79" s="58"/>
      <c r="R79" s="58"/>
      <c r="U79" s="59"/>
    </row>
    <row r="80" spans="2:21" s="9" customFormat="1" ht="15" x14ac:dyDescent="0.25">
      <c r="F80" s="57"/>
      <c r="J80" s="64"/>
      <c r="L80" s="58"/>
      <c r="M80" s="58"/>
      <c r="N80" s="58"/>
      <c r="O80" s="58"/>
      <c r="P80" s="58"/>
      <c r="Q80" s="58"/>
      <c r="R80" s="58"/>
      <c r="U80" s="59"/>
    </row>
    <row r="81" spans="2:21" s="9" customFormat="1" ht="15" x14ac:dyDescent="0.25">
      <c r="F81" s="57"/>
      <c r="J81" s="64"/>
      <c r="L81" s="58"/>
      <c r="M81" s="58"/>
      <c r="N81" s="58"/>
      <c r="O81" s="58"/>
      <c r="P81" s="58"/>
      <c r="Q81" s="58"/>
      <c r="R81" s="58"/>
      <c r="U81" s="59"/>
    </row>
    <row r="82" spans="2:21" s="9" customFormat="1" ht="15" x14ac:dyDescent="0.25">
      <c r="F82" s="57"/>
      <c r="J82" s="64"/>
      <c r="L82" s="58"/>
      <c r="M82" s="58"/>
      <c r="N82" s="58"/>
      <c r="O82" s="58"/>
      <c r="P82" s="58"/>
      <c r="Q82" s="58"/>
      <c r="R82" s="58"/>
      <c r="U82" s="59"/>
    </row>
    <row r="83" spans="2:21" s="9" customFormat="1" x14ac:dyDescent="0.25">
      <c r="J83" s="66"/>
    </row>
    <row r="84" spans="2:21" s="72" customFormat="1" x14ac:dyDescent="0.25"/>
    <row r="85" spans="2:21" s="9" customFormat="1" x14ac:dyDescent="0.25"/>
    <row r="86" spans="2:21" s="9" customFormat="1" x14ac:dyDescent="0.25">
      <c r="B86" s="71"/>
    </row>
    <row r="87" spans="2:21" s="9" customFormat="1" x14ac:dyDescent="0.25"/>
    <row r="88" spans="2:21" s="9" customFormat="1" x14ac:dyDescent="0.25">
      <c r="B88" s="71"/>
      <c r="J88" s="66"/>
    </row>
    <row r="89" spans="2:21" s="9" customFormat="1" ht="15" x14ac:dyDescent="0.25">
      <c r="F89" s="57"/>
      <c r="J89" s="64"/>
      <c r="L89" s="58"/>
      <c r="M89" s="58"/>
      <c r="N89" s="58"/>
      <c r="O89" s="58"/>
      <c r="P89" s="58"/>
      <c r="Q89" s="58"/>
      <c r="R89" s="58"/>
      <c r="U89" s="59"/>
    </row>
    <row r="90" spans="2:21" s="9" customFormat="1" ht="15" x14ac:dyDescent="0.25">
      <c r="F90" s="57"/>
      <c r="J90" s="64"/>
      <c r="L90" s="58"/>
      <c r="M90" s="58"/>
      <c r="N90" s="58"/>
      <c r="O90" s="58"/>
      <c r="P90" s="58"/>
      <c r="Q90" s="58"/>
      <c r="R90" s="58"/>
      <c r="U90" s="59"/>
    </row>
    <row r="91" spans="2:21" s="9" customFormat="1" ht="15" x14ac:dyDescent="0.25">
      <c r="F91" s="57"/>
      <c r="J91" s="64"/>
      <c r="L91" s="58"/>
      <c r="M91" s="58"/>
      <c r="N91" s="58"/>
      <c r="O91" s="58"/>
      <c r="P91" s="58"/>
      <c r="Q91" s="58"/>
      <c r="R91" s="58"/>
      <c r="U91" s="59"/>
    </row>
    <row r="92" spans="2:21" s="9" customFormat="1" ht="15" x14ac:dyDescent="0.25">
      <c r="F92" s="57"/>
      <c r="J92" s="64"/>
      <c r="L92" s="58"/>
      <c r="M92" s="58"/>
      <c r="N92" s="58"/>
      <c r="O92" s="58"/>
      <c r="P92" s="58"/>
      <c r="Q92" s="58"/>
      <c r="R92" s="58"/>
      <c r="U92" s="59"/>
    </row>
    <row r="93" spans="2:21" s="9" customFormat="1" ht="15" x14ac:dyDescent="0.25">
      <c r="F93" s="57"/>
      <c r="J93" s="64"/>
      <c r="L93" s="58"/>
      <c r="M93" s="58"/>
      <c r="N93" s="58"/>
      <c r="O93" s="58"/>
      <c r="P93" s="58"/>
      <c r="Q93" s="58"/>
      <c r="R93" s="58"/>
      <c r="U93" s="59"/>
    </row>
    <row r="94" spans="2:21" s="9" customFormat="1" ht="15" x14ac:dyDescent="0.25">
      <c r="F94" s="57"/>
      <c r="J94" s="64"/>
      <c r="L94" s="58"/>
      <c r="M94" s="58"/>
      <c r="N94" s="58"/>
      <c r="O94" s="58"/>
      <c r="P94" s="58"/>
      <c r="Q94" s="58"/>
      <c r="R94" s="58"/>
      <c r="U94" s="59"/>
    </row>
    <row r="95" spans="2:21" s="9" customFormat="1" x14ac:dyDescent="0.2">
      <c r="F95" s="57"/>
      <c r="J95" s="64"/>
      <c r="L95" s="58"/>
      <c r="M95" s="58"/>
      <c r="N95" s="58"/>
      <c r="O95" s="58"/>
      <c r="P95" s="58"/>
      <c r="Q95" s="58"/>
      <c r="R95" s="58"/>
    </row>
    <row r="96" spans="2:21" s="9" customFormat="1" x14ac:dyDescent="0.2">
      <c r="B96" s="71"/>
      <c r="F96" s="57"/>
      <c r="J96" s="64"/>
      <c r="L96" s="58"/>
      <c r="M96" s="58"/>
      <c r="N96" s="58"/>
      <c r="O96" s="58"/>
      <c r="P96" s="58"/>
      <c r="Q96" s="58"/>
      <c r="R96" s="58"/>
    </row>
    <row r="97" spans="2:21" s="9" customFormat="1" ht="15" x14ac:dyDescent="0.25">
      <c r="F97" s="57"/>
      <c r="J97" s="64"/>
      <c r="L97" s="58"/>
      <c r="M97" s="58"/>
      <c r="N97" s="58"/>
      <c r="O97" s="58"/>
      <c r="P97" s="58"/>
      <c r="Q97" s="58"/>
      <c r="R97" s="58"/>
      <c r="U97" s="59"/>
    </row>
    <row r="98" spans="2:21" s="9" customFormat="1" ht="15" x14ac:dyDescent="0.25">
      <c r="F98" s="57"/>
      <c r="J98" s="64"/>
      <c r="L98" s="58"/>
      <c r="M98" s="58"/>
      <c r="N98" s="58"/>
      <c r="O98" s="58"/>
      <c r="P98" s="58"/>
      <c r="Q98" s="58"/>
      <c r="R98" s="58"/>
      <c r="U98" s="59"/>
    </row>
    <row r="99" spans="2:21" s="9" customFormat="1" ht="15" x14ac:dyDescent="0.25">
      <c r="F99" s="57"/>
      <c r="J99" s="64"/>
      <c r="L99" s="58"/>
      <c r="M99" s="58"/>
      <c r="N99" s="58"/>
      <c r="O99" s="58"/>
      <c r="P99" s="58"/>
      <c r="Q99" s="58"/>
      <c r="R99" s="58"/>
      <c r="U99" s="59"/>
    </row>
    <row r="100" spans="2:21" s="9" customFormat="1" ht="15" x14ac:dyDescent="0.25">
      <c r="F100" s="57"/>
      <c r="J100" s="64"/>
      <c r="L100" s="58"/>
      <c r="M100" s="58"/>
      <c r="N100" s="58"/>
      <c r="O100" s="58"/>
      <c r="P100" s="58"/>
      <c r="Q100" s="58"/>
      <c r="R100" s="58"/>
      <c r="U100" s="59"/>
    </row>
    <row r="101" spans="2:21" s="9" customFormat="1" ht="15" x14ac:dyDescent="0.25">
      <c r="F101" s="57"/>
      <c r="J101" s="64"/>
      <c r="L101" s="58"/>
      <c r="M101" s="58"/>
      <c r="N101" s="58"/>
      <c r="O101" s="58"/>
      <c r="P101" s="58"/>
      <c r="Q101" s="58"/>
      <c r="R101" s="58"/>
      <c r="U101" s="59"/>
    </row>
    <row r="102" spans="2:21" s="9" customFormat="1" ht="15" x14ac:dyDescent="0.25">
      <c r="F102" s="57"/>
      <c r="J102" s="64"/>
      <c r="L102" s="58"/>
      <c r="M102" s="58"/>
      <c r="N102" s="58"/>
      <c r="O102" s="58"/>
      <c r="P102" s="58"/>
      <c r="Q102" s="58"/>
      <c r="R102" s="58"/>
      <c r="U102" s="59"/>
    </row>
    <row r="103" spans="2:21" s="9" customFormat="1" x14ac:dyDescent="0.2">
      <c r="F103" s="57"/>
      <c r="J103" s="64"/>
      <c r="L103" s="58"/>
      <c r="M103" s="58"/>
      <c r="N103" s="58"/>
      <c r="O103" s="58"/>
      <c r="P103" s="58"/>
      <c r="Q103" s="58"/>
      <c r="R103" s="58"/>
    </row>
    <row r="104" spans="2:21" s="9" customFormat="1" x14ac:dyDescent="0.2">
      <c r="B104" s="71"/>
      <c r="F104" s="57"/>
      <c r="J104" s="64"/>
      <c r="L104" s="58"/>
      <c r="M104" s="58"/>
      <c r="N104" s="58"/>
      <c r="O104" s="58"/>
      <c r="P104" s="58"/>
      <c r="Q104" s="58"/>
      <c r="R104" s="58"/>
    </row>
    <row r="105" spans="2:21" s="9" customFormat="1" x14ac:dyDescent="0.2">
      <c r="F105" s="57"/>
      <c r="J105" s="64"/>
      <c r="L105" s="58"/>
      <c r="M105" s="58"/>
      <c r="N105" s="58"/>
      <c r="O105" s="58"/>
      <c r="P105" s="58"/>
      <c r="Q105" s="58"/>
      <c r="R105" s="58"/>
    </row>
    <row r="106" spans="2:21" s="9" customFormat="1" ht="15" x14ac:dyDescent="0.25">
      <c r="B106" s="71"/>
      <c r="F106" s="57"/>
      <c r="J106" s="65"/>
      <c r="L106" s="59"/>
      <c r="M106" s="59"/>
      <c r="N106" s="59"/>
      <c r="O106" s="59"/>
      <c r="P106" s="59"/>
      <c r="Q106" s="59"/>
      <c r="R106" s="59"/>
    </row>
    <row r="107" spans="2:21" s="9" customFormat="1" ht="15" x14ac:dyDescent="0.25">
      <c r="F107" s="57"/>
      <c r="J107" s="64"/>
      <c r="L107" s="58"/>
      <c r="M107" s="58"/>
      <c r="N107" s="58"/>
      <c r="O107" s="58"/>
      <c r="P107" s="58"/>
      <c r="Q107" s="58"/>
      <c r="R107" s="58"/>
      <c r="U107" s="59"/>
    </row>
    <row r="108" spans="2:21" s="9" customFormat="1" ht="15" x14ac:dyDescent="0.25">
      <c r="F108" s="57"/>
      <c r="J108" s="64"/>
      <c r="L108" s="58"/>
      <c r="M108" s="58"/>
      <c r="N108" s="58"/>
      <c r="O108" s="58"/>
      <c r="P108" s="58"/>
      <c r="Q108" s="58"/>
      <c r="R108" s="58"/>
      <c r="U108" s="59"/>
    </row>
    <row r="109" spans="2:21" s="9" customFormat="1" ht="15" x14ac:dyDescent="0.25">
      <c r="F109" s="57"/>
      <c r="J109" s="64"/>
      <c r="L109" s="58"/>
      <c r="M109" s="58"/>
      <c r="N109" s="58"/>
      <c r="O109" s="58"/>
      <c r="P109" s="58"/>
      <c r="Q109" s="58"/>
      <c r="R109" s="58"/>
      <c r="U109" s="59"/>
    </row>
    <row r="110" spans="2:21" s="9" customFormat="1" ht="15" x14ac:dyDescent="0.25">
      <c r="F110" s="57"/>
      <c r="J110" s="64"/>
      <c r="L110" s="58"/>
      <c r="M110" s="58"/>
      <c r="N110" s="58"/>
      <c r="O110" s="58"/>
      <c r="P110" s="58"/>
      <c r="Q110" s="58"/>
      <c r="R110" s="58"/>
      <c r="U110" s="59"/>
    </row>
    <row r="111" spans="2:21" s="9" customFormat="1" x14ac:dyDescent="0.2">
      <c r="F111" s="57"/>
      <c r="J111" s="64"/>
      <c r="L111" s="58"/>
      <c r="M111" s="58"/>
      <c r="N111" s="58"/>
      <c r="O111" s="58"/>
      <c r="P111" s="58"/>
      <c r="Q111" s="58"/>
      <c r="R111" s="58"/>
    </row>
    <row r="112" spans="2:21" s="9" customFormat="1" x14ac:dyDescent="0.2">
      <c r="B112" s="71"/>
      <c r="F112" s="57"/>
      <c r="J112" s="64"/>
      <c r="L112" s="58"/>
      <c r="M112" s="58"/>
      <c r="N112" s="58"/>
      <c r="O112" s="58"/>
      <c r="P112" s="58"/>
      <c r="Q112" s="58"/>
      <c r="R112" s="58"/>
    </row>
    <row r="113" spans="1:21" s="9" customFormat="1" x14ac:dyDescent="0.2">
      <c r="F113" s="57"/>
      <c r="J113" s="64"/>
      <c r="L113" s="58"/>
      <c r="M113" s="58"/>
      <c r="N113" s="58"/>
      <c r="O113" s="58"/>
      <c r="P113" s="58"/>
      <c r="Q113" s="58"/>
      <c r="R113" s="58"/>
    </row>
    <row r="114" spans="1:21" s="9" customFormat="1" x14ac:dyDescent="0.2">
      <c r="B114" s="71"/>
      <c r="F114" s="57"/>
      <c r="J114" s="64"/>
      <c r="L114" s="58"/>
      <c r="M114" s="58"/>
      <c r="N114" s="58"/>
      <c r="O114" s="58"/>
      <c r="P114" s="58"/>
      <c r="Q114" s="58"/>
      <c r="R114" s="58"/>
    </row>
    <row r="115" spans="1:21" s="9" customFormat="1" ht="15" x14ac:dyDescent="0.25">
      <c r="F115" s="57"/>
      <c r="J115" s="64"/>
      <c r="L115" s="58"/>
      <c r="M115" s="58"/>
      <c r="N115" s="58"/>
      <c r="O115" s="58"/>
      <c r="P115" s="58"/>
      <c r="Q115" s="58"/>
      <c r="R115" s="58"/>
      <c r="U115" s="59"/>
    </row>
    <row r="116" spans="1:21" s="9" customFormat="1" ht="15" x14ac:dyDescent="0.25">
      <c r="F116" s="57"/>
      <c r="J116" s="64"/>
      <c r="L116" s="58"/>
      <c r="M116" s="58"/>
      <c r="N116" s="58"/>
      <c r="O116" s="58"/>
      <c r="P116" s="58"/>
      <c r="Q116" s="58"/>
      <c r="R116" s="58"/>
      <c r="U116" s="59"/>
    </row>
    <row r="117" spans="1:21" s="9" customFormat="1" ht="15" x14ac:dyDescent="0.25">
      <c r="F117" s="57"/>
      <c r="J117" s="64"/>
      <c r="L117" s="58"/>
      <c r="M117" s="58"/>
      <c r="N117" s="58"/>
      <c r="O117" s="58"/>
      <c r="P117" s="58"/>
      <c r="Q117" s="58"/>
      <c r="R117" s="58"/>
      <c r="U117" s="59"/>
    </row>
    <row r="118" spans="1:21" s="9" customFormat="1" ht="15" x14ac:dyDescent="0.25">
      <c r="F118" s="57"/>
      <c r="J118" s="64"/>
      <c r="L118" s="58"/>
      <c r="M118" s="58"/>
      <c r="N118" s="58"/>
      <c r="O118" s="58"/>
      <c r="P118" s="58"/>
      <c r="Q118" s="58"/>
      <c r="R118" s="58"/>
      <c r="U118" s="59"/>
    </row>
    <row r="119" spans="1:21" s="9" customFormat="1" x14ac:dyDescent="0.25"/>
    <row r="120" spans="1:21" s="72" customFormat="1" x14ac:dyDescent="0.25">
      <c r="B120" s="73"/>
      <c r="L120" s="74"/>
      <c r="M120" s="74"/>
      <c r="N120" s="74"/>
      <c r="O120" s="74"/>
      <c r="P120" s="74"/>
      <c r="Q120" s="74"/>
      <c r="R120" s="74"/>
    </row>
    <row r="121" spans="1:21" s="59" customFormat="1" ht="15" x14ac:dyDescent="0.25">
      <c r="A121" s="57"/>
      <c r="B121" s="57"/>
      <c r="C121" s="57"/>
      <c r="D121" s="57"/>
      <c r="E121" s="57"/>
      <c r="F121" s="56"/>
      <c r="G121" s="57"/>
      <c r="H121" s="58"/>
      <c r="I121" s="58"/>
      <c r="J121" s="58"/>
      <c r="K121" s="58"/>
      <c r="L121" s="58"/>
      <c r="M121" s="58"/>
      <c r="N121" s="58"/>
    </row>
    <row r="122" spans="1:21" s="59" customFormat="1" ht="15" x14ac:dyDescent="0.25">
      <c r="B122" s="75"/>
      <c r="C122" s="57"/>
      <c r="D122" s="57"/>
      <c r="E122" s="57"/>
      <c r="F122" s="56"/>
      <c r="G122" s="57"/>
      <c r="H122" s="58"/>
      <c r="I122" s="58"/>
      <c r="J122" s="58"/>
      <c r="K122" s="58"/>
      <c r="L122" s="58"/>
      <c r="M122" s="58"/>
      <c r="N122" s="58"/>
    </row>
    <row r="123" spans="1:21" s="59" customFormat="1" ht="15" x14ac:dyDescent="0.25">
      <c r="B123" s="57"/>
      <c r="C123" s="57"/>
      <c r="D123" s="57"/>
      <c r="E123" s="57"/>
      <c r="F123" s="56"/>
      <c r="G123" s="57"/>
      <c r="H123" s="58"/>
      <c r="I123" s="58"/>
      <c r="J123" s="58"/>
      <c r="K123" s="58"/>
      <c r="L123" s="58"/>
      <c r="M123" s="58"/>
      <c r="N123" s="58"/>
    </row>
    <row r="124" spans="1:21" s="59" customFormat="1" ht="15" x14ac:dyDescent="0.25">
      <c r="B124" s="75"/>
      <c r="C124" s="57"/>
      <c r="D124" s="57"/>
      <c r="E124" s="57"/>
      <c r="F124" s="56"/>
      <c r="G124" s="57"/>
      <c r="H124" s="58"/>
      <c r="I124" s="58"/>
      <c r="J124" s="58"/>
      <c r="K124" s="58"/>
      <c r="L124" s="58"/>
      <c r="M124" s="58"/>
      <c r="N124" s="58"/>
    </row>
    <row r="125" spans="1:21" s="59" customFormat="1" ht="15" x14ac:dyDescent="0.25">
      <c r="B125" s="57"/>
      <c r="C125" s="9"/>
      <c r="D125" s="9"/>
      <c r="E125" s="57"/>
      <c r="F125" s="57"/>
      <c r="G125" s="9"/>
      <c r="H125" s="9"/>
      <c r="I125" s="9"/>
      <c r="J125" s="64"/>
      <c r="K125" s="57"/>
      <c r="L125" s="58"/>
      <c r="M125" s="58"/>
      <c r="N125" s="58"/>
      <c r="O125" s="58"/>
      <c r="P125" s="58"/>
      <c r="Q125" s="58"/>
      <c r="R125" s="58"/>
    </row>
    <row r="126" spans="1:21" s="59" customFormat="1" ht="15" x14ac:dyDescent="0.25">
      <c r="B126" s="57"/>
      <c r="C126" s="9"/>
      <c r="D126" s="9"/>
      <c r="E126" s="57"/>
      <c r="F126" s="57"/>
      <c r="G126" s="9"/>
      <c r="H126" s="9"/>
      <c r="I126" s="9"/>
      <c r="J126" s="64"/>
      <c r="K126" s="57"/>
      <c r="L126" s="58"/>
      <c r="M126" s="58"/>
      <c r="N126" s="58"/>
      <c r="O126" s="58"/>
      <c r="P126" s="58"/>
      <c r="Q126" s="58"/>
      <c r="R126" s="58"/>
    </row>
    <row r="127" spans="1:21" s="59" customFormat="1" ht="15" x14ac:dyDescent="0.25">
      <c r="B127" s="57"/>
      <c r="C127" s="9"/>
      <c r="D127" s="9"/>
      <c r="E127" s="57"/>
      <c r="F127" s="57"/>
      <c r="G127" s="9"/>
      <c r="H127" s="9"/>
      <c r="I127" s="9"/>
      <c r="J127" s="64"/>
      <c r="K127" s="57"/>
      <c r="L127" s="58"/>
      <c r="M127" s="58"/>
      <c r="N127" s="58"/>
      <c r="O127" s="58"/>
      <c r="P127" s="58"/>
      <c r="Q127" s="58"/>
      <c r="R127" s="58"/>
    </row>
    <row r="128" spans="1:21" s="59" customFormat="1" ht="15" x14ac:dyDescent="0.25">
      <c r="B128" s="57"/>
      <c r="C128" s="9"/>
      <c r="D128" s="9"/>
      <c r="E128" s="57"/>
      <c r="F128" s="57"/>
      <c r="G128" s="9"/>
      <c r="H128" s="9"/>
      <c r="I128" s="9"/>
      <c r="J128" s="64"/>
      <c r="K128" s="57"/>
      <c r="L128" s="58"/>
      <c r="M128" s="58"/>
      <c r="N128" s="58"/>
      <c r="O128" s="58"/>
      <c r="P128" s="58"/>
      <c r="Q128" s="58"/>
      <c r="R128" s="58"/>
    </row>
    <row r="129" spans="2:18" s="59" customFormat="1" ht="15" x14ac:dyDescent="0.25">
      <c r="B129" s="57"/>
      <c r="C129" s="9"/>
      <c r="D129" s="9"/>
      <c r="E129" s="57"/>
      <c r="F129" s="57"/>
      <c r="G129" s="9"/>
      <c r="H129" s="9"/>
      <c r="I129" s="9"/>
      <c r="J129" s="64"/>
      <c r="K129" s="57"/>
      <c r="L129" s="58"/>
      <c r="M129" s="58"/>
      <c r="N129" s="58"/>
      <c r="O129" s="58"/>
      <c r="P129" s="58"/>
      <c r="Q129" s="58"/>
      <c r="R129" s="58"/>
    </row>
    <row r="130" spans="2:18" s="59" customFormat="1" ht="15" x14ac:dyDescent="0.25">
      <c r="B130" s="57"/>
      <c r="C130" s="9"/>
      <c r="D130" s="9"/>
      <c r="E130" s="57"/>
      <c r="F130" s="57"/>
      <c r="G130" s="9"/>
      <c r="H130" s="9"/>
      <c r="I130" s="9"/>
      <c r="J130" s="64"/>
      <c r="K130" s="57"/>
      <c r="L130" s="58"/>
      <c r="M130" s="58"/>
      <c r="N130" s="58"/>
      <c r="O130" s="58"/>
      <c r="P130" s="58"/>
      <c r="Q130" s="58"/>
      <c r="R130" s="58"/>
    </row>
    <row r="131" spans="2:18" s="59" customFormat="1" ht="15" x14ac:dyDescent="0.25">
      <c r="B131" s="57"/>
      <c r="C131" s="9"/>
      <c r="D131" s="9"/>
      <c r="E131" s="57"/>
      <c r="F131" s="57"/>
      <c r="G131" s="9"/>
      <c r="H131" s="9"/>
      <c r="I131" s="9"/>
      <c r="J131" s="64"/>
      <c r="K131" s="57"/>
      <c r="L131" s="58"/>
      <c r="M131" s="58"/>
      <c r="N131" s="58"/>
      <c r="O131" s="58"/>
      <c r="P131" s="58"/>
      <c r="Q131" s="58"/>
      <c r="R131" s="58"/>
    </row>
    <row r="132" spans="2:18" s="59" customFormat="1" ht="15" x14ac:dyDescent="0.25">
      <c r="B132" s="75"/>
      <c r="C132" s="9"/>
      <c r="D132" s="9"/>
      <c r="E132" s="57"/>
      <c r="F132" s="57"/>
      <c r="G132" s="9"/>
      <c r="H132" s="9"/>
      <c r="I132" s="9"/>
      <c r="J132" s="64"/>
      <c r="K132" s="57"/>
      <c r="L132" s="58"/>
      <c r="M132" s="58"/>
      <c r="N132" s="58"/>
      <c r="O132" s="58"/>
      <c r="P132" s="58"/>
      <c r="Q132" s="58"/>
      <c r="R132" s="58"/>
    </row>
    <row r="133" spans="2:18" s="59" customFormat="1" ht="15" x14ac:dyDescent="0.25">
      <c r="B133" s="57"/>
      <c r="C133" s="9"/>
      <c r="D133" s="9"/>
      <c r="E133" s="57"/>
      <c r="F133" s="57"/>
      <c r="G133" s="9"/>
      <c r="H133" s="9"/>
      <c r="I133" s="9"/>
      <c r="J133" s="64"/>
      <c r="K133" s="57"/>
      <c r="L133" s="58"/>
      <c r="M133" s="58"/>
      <c r="N133" s="58"/>
      <c r="O133" s="58"/>
      <c r="P133" s="58"/>
      <c r="Q133" s="58"/>
      <c r="R133" s="58"/>
    </row>
    <row r="134" spans="2:18" s="59" customFormat="1" ht="15" x14ac:dyDescent="0.25">
      <c r="B134" s="57"/>
      <c r="C134" s="9"/>
      <c r="D134" s="9"/>
      <c r="E134" s="57"/>
      <c r="F134" s="57"/>
      <c r="G134" s="9"/>
      <c r="H134" s="9"/>
      <c r="I134" s="9"/>
      <c r="J134" s="64"/>
      <c r="K134" s="57"/>
      <c r="L134" s="58"/>
      <c r="M134" s="58"/>
      <c r="N134" s="58"/>
      <c r="O134" s="58"/>
      <c r="P134" s="58"/>
      <c r="Q134" s="58"/>
      <c r="R134" s="58"/>
    </row>
    <row r="135" spans="2:18" s="59" customFormat="1" ht="15" x14ac:dyDescent="0.25">
      <c r="B135" s="57"/>
      <c r="C135" s="9"/>
      <c r="D135" s="9"/>
      <c r="E135" s="57"/>
      <c r="F135" s="57"/>
      <c r="G135" s="9"/>
      <c r="H135" s="9"/>
      <c r="I135" s="9"/>
      <c r="J135" s="64"/>
      <c r="K135" s="57"/>
      <c r="L135" s="58"/>
      <c r="M135" s="58"/>
      <c r="N135" s="58"/>
      <c r="O135" s="58"/>
      <c r="P135" s="58"/>
      <c r="Q135" s="58"/>
      <c r="R135" s="58"/>
    </row>
    <row r="136" spans="2:18" s="59" customFormat="1" ht="15" x14ac:dyDescent="0.25">
      <c r="B136" s="57"/>
      <c r="C136" s="9"/>
      <c r="D136" s="9"/>
      <c r="E136" s="57"/>
      <c r="F136" s="57"/>
      <c r="G136" s="9"/>
      <c r="H136" s="9"/>
      <c r="I136" s="9"/>
      <c r="J136" s="64"/>
      <c r="K136" s="57"/>
      <c r="L136" s="58"/>
      <c r="M136" s="58"/>
      <c r="N136" s="58"/>
      <c r="O136" s="58"/>
      <c r="P136" s="58"/>
      <c r="Q136" s="58"/>
      <c r="R136" s="58"/>
    </row>
    <row r="137" spans="2:18" s="59" customFormat="1" ht="15" x14ac:dyDescent="0.25">
      <c r="B137" s="57"/>
      <c r="C137" s="9"/>
      <c r="D137" s="9"/>
      <c r="E137" s="57"/>
      <c r="F137" s="57"/>
      <c r="G137" s="9"/>
      <c r="H137" s="9"/>
      <c r="I137" s="9"/>
      <c r="J137" s="64"/>
      <c r="K137" s="57"/>
      <c r="L137" s="58"/>
      <c r="M137" s="58"/>
      <c r="N137" s="58"/>
      <c r="O137" s="58"/>
      <c r="P137" s="58"/>
      <c r="Q137" s="58"/>
      <c r="R137" s="58"/>
    </row>
    <row r="138" spans="2:18" s="59" customFormat="1" ht="15" x14ac:dyDescent="0.25">
      <c r="B138" s="57"/>
      <c r="C138" s="9"/>
      <c r="D138" s="9"/>
      <c r="E138" s="57"/>
      <c r="F138" s="57"/>
      <c r="G138" s="9"/>
      <c r="H138" s="9"/>
      <c r="I138" s="9"/>
      <c r="J138" s="64"/>
      <c r="K138" s="57"/>
      <c r="L138" s="58"/>
      <c r="M138" s="58"/>
      <c r="N138" s="58"/>
      <c r="O138" s="58"/>
      <c r="P138" s="58"/>
      <c r="Q138" s="58"/>
      <c r="R138" s="58"/>
    </row>
    <row r="139" spans="2:18" s="59" customFormat="1" ht="15" x14ac:dyDescent="0.25">
      <c r="B139" s="75"/>
      <c r="C139" s="9"/>
      <c r="D139" s="9"/>
      <c r="E139" s="57"/>
      <c r="F139" s="57"/>
      <c r="G139" s="9"/>
      <c r="H139" s="9"/>
      <c r="I139" s="9"/>
      <c r="J139" s="64"/>
      <c r="K139" s="57"/>
      <c r="L139" s="58"/>
      <c r="M139" s="58"/>
      <c r="N139" s="58"/>
      <c r="O139" s="58"/>
      <c r="P139" s="58"/>
      <c r="Q139" s="58"/>
      <c r="R139" s="58"/>
    </row>
    <row r="140" spans="2:18" s="59" customFormat="1" ht="15" x14ac:dyDescent="0.25">
      <c r="B140" s="57"/>
      <c r="C140" s="9"/>
      <c r="D140" s="9"/>
      <c r="E140" s="57"/>
      <c r="F140" s="57"/>
      <c r="G140" s="9"/>
      <c r="H140" s="9"/>
      <c r="I140" s="9"/>
      <c r="J140" s="64"/>
      <c r="K140" s="57"/>
      <c r="L140" s="58"/>
      <c r="M140" s="58"/>
      <c r="N140" s="58"/>
      <c r="O140" s="58"/>
      <c r="P140" s="58"/>
      <c r="Q140" s="58"/>
      <c r="R140" s="58"/>
    </row>
    <row r="141" spans="2:18" s="59" customFormat="1" ht="15" x14ac:dyDescent="0.25">
      <c r="B141" s="75"/>
      <c r="C141" s="9"/>
      <c r="D141" s="9"/>
      <c r="E141" s="57"/>
      <c r="F141" s="57"/>
      <c r="G141" s="9"/>
      <c r="H141" s="9"/>
      <c r="I141" s="9"/>
      <c r="J141" s="65"/>
      <c r="K141" s="57"/>
      <c r="L141" s="58"/>
      <c r="M141" s="58"/>
      <c r="N141" s="58"/>
      <c r="O141" s="58"/>
      <c r="P141" s="58"/>
      <c r="Q141" s="58"/>
      <c r="R141" s="58"/>
    </row>
    <row r="142" spans="2:18" s="59" customFormat="1" ht="15" x14ac:dyDescent="0.25">
      <c r="B142" s="57"/>
      <c r="C142" s="9"/>
      <c r="D142" s="9"/>
      <c r="E142" s="57"/>
      <c r="F142" s="57"/>
      <c r="G142" s="9"/>
      <c r="H142" s="9"/>
      <c r="I142" s="9"/>
      <c r="J142" s="64"/>
      <c r="K142" s="57"/>
      <c r="L142" s="58"/>
      <c r="M142" s="58"/>
      <c r="N142" s="58"/>
      <c r="O142" s="58"/>
      <c r="P142" s="58"/>
      <c r="Q142" s="58"/>
      <c r="R142" s="58"/>
    </row>
    <row r="143" spans="2:18" s="59" customFormat="1" ht="15" x14ac:dyDescent="0.25">
      <c r="B143" s="57"/>
      <c r="C143" s="9"/>
      <c r="D143" s="9"/>
      <c r="E143" s="57"/>
      <c r="F143" s="57"/>
      <c r="G143" s="9"/>
      <c r="H143" s="9"/>
      <c r="I143" s="9"/>
      <c r="J143" s="64"/>
      <c r="K143" s="57"/>
      <c r="L143" s="58"/>
      <c r="M143" s="58"/>
      <c r="N143" s="58"/>
      <c r="O143" s="58"/>
      <c r="P143" s="58"/>
      <c r="Q143" s="58"/>
      <c r="R143" s="58"/>
    </row>
    <row r="144" spans="2:18" s="59" customFormat="1" ht="15" x14ac:dyDescent="0.25">
      <c r="C144" s="9"/>
      <c r="D144" s="9"/>
      <c r="E144" s="57"/>
      <c r="F144" s="57"/>
      <c r="G144" s="9"/>
      <c r="H144" s="9"/>
      <c r="I144" s="9"/>
      <c r="J144" s="64"/>
      <c r="K144" s="57"/>
      <c r="L144" s="58"/>
      <c r="M144" s="58"/>
      <c r="N144" s="58"/>
      <c r="O144" s="58"/>
      <c r="P144" s="58"/>
      <c r="Q144" s="58"/>
      <c r="R144" s="58"/>
    </row>
    <row r="145" spans="1:18" s="59" customFormat="1" ht="15" x14ac:dyDescent="0.25">
      <c r="B145" s="57"/>
      <c r="C145" s="9"/>
      <c r="D145" s="9"/>
      <c r="E145" s="57"/>
      <c r="F145" s="57"/>
      <c r="G145" s="9"/>
      <c r="H145" s="9"/>
      <c r="I145" s="9"/>
      <c r="J145" s="64"/>
      <c r="K145" s="57"/>
      <c r="L145" s="58"/>
      <c r="M145" s="58"/>
      <c r="N145" s="58"/>
      <c r="O145" s="58"/>
      <c r="P145" s="58"/>
      <c r="Q145" s="58"/>
      <c r="R145" s="58"/>
    </row>
    <row r="146" spans="1:18" s="59" customFormat="1" ht="15" x14ac:dyDescent="0.25">
      <c r="B146" s="57"/>
      <c r="C146" s="9"/>
      <c r="D146" s="9"/>
      <c r="E146" s="57"/>
      <c r="F146" s="57"/>
      <c r="G146" s="9"/>
      <c r="H146" s="9"/>
      <c r="I146" s="9"/>
      <c r="J146" s="64"/>
      <c r="K146" s="57"/>
      <c r="L146" s="58"/>
      <c r="M146" s="58"/>
      <c r="N146" s="58"/>
      <c r="O146" s="58"/>
      <c r="P146" s="58"/>
      <c r="Q146" s="58"/>
      <c r="R146" s="58"/>
    </row>
    <row r="147" spans="1:18" s="59" customFormat="1" ht="15" x14ac:dyDescent="0.25">
      <c r="B147" s="75"/>
      <c r="C147" s="9"/>
      <c r="D147" s="9"/>
      <c r="E147" s="57"/>
      <c r="F147" s="57"/>
      <c r="G147" s="9"/>
      <c r="H147" s="9"/>
      <c r="I147" s="9"/>
      <c r="J147" s="64"/>
      <c r="K147" s="57"/>
      <c r="L147" s="58"/>
      <c r="M147" s="58"/>
      <c r="N147" s="58"/>
      <c r="O147" s="58"/>
      <c r="P147" s="58"/>
      <c r="Q147" s="58"/>
      <c r="R147" s="58"/>
    </row>
    <row r="148" spans="1:18" s="59" customFormat="1" ht="15" x14ac:dyDescent="0.25">
      <c r="B148" s="57"/>
      <c r="C148" s="9"/>
      <c r="D148" s="9"/>
      <c r="E148" s="57"/>
      <c r="F148" s="57"/>
      <c r="G148" s="9"/>
      <c r="H148" s="9"/>
      <c r="I148" s="9"/>
      <c r="J148" s="64"/>
      <c r="K148" s="57"/>
      <c r="L148" s="58"/>
      <c r="M148" s="58"/>
      <c r="N148" s="58"/>
      <c r="O148" s="58"/>
      <c r="P148" s="58"/>
      <c r="Q148" s="58"/>
      <c r="R148" s="58"/>
    </row>
    <row r="149" spans="1:18" s="59" customFormat="1" ht="15" x14ac:dyDescent="0.25">
      <c r="B149" s="75"/>
      <c r="C149" s="9"/>
      <c r="D149" s="9"/>
      <c r="E149" s="57"/>
      <c r="F149" s="57"/>
      <c r="G149" s="9"/>
      <c r="H149" s="9"/>
      <c r="I149" s="9"/>
      <c r="J149" s="64"/>
      <c r="K149" s="57"/>
      <c r="L149" s="58"/>
      <c r="M149" s="58"/>
      <c r="N149" s="58"/>
      <c r="O149" s="58"/>
      <c r="P149" s="58"/>
      <c r="Q149" s="58"/>
      <c r="R149" s="58"/>
    </row>
    <row r="150" spans="1:18" s="59" customFormat="1" ht="15" x14ac:dyDescent="0.25">
      <c r="B150" s="57"/>
      <c r="C150" s="9"/>
      <c r="D150" s="9"/>
      <c r="E150" s="57"/>
      <c r="F150" s="57"/>
      <c r="G150" s="9"/>
      <c r="H150" s="9"/>
      <c r="I150" s="9"/>
      <c r="J150" s="64"/>
      <c r="K150" s="57"/>
      <c r="L150" s="58"/>
      <c r="M150" s="58"/>
      <c r="N150" s="58"/>
      <c r="O150" s="58"/>
      <c r="P150" s="58"/>
      <c r="Q150" s="58"/>
      <c r="R150" s="58"/>
    </row>
    <row r="151" spans="1:18" s="59" customFormat="1" ht="15" x14ac:dyDescent="0.25">
      <c r="B151" s="57"/>
      <c r="C151" s="9"/>
      <c r="D151" s="9"/>
      <c r="E151" s="57"/>
      <c r="F151" s="57"/>
      <c r="G151" s="9"/>
      <c r="H151" s="9"/>
      <c r="I151" s="9"/>
      <c r="J151" s="64"/>
      <c r="K151" s="57"/>
      <c r="L151" s="58"/>
      <c r="M151" s="58"/>
      <c r="N151" s="58"/>
      <c r="O151" s="58"/>
      <c r="P151" s="58"/>
      <c r="Q151" s="58"/>
      <c r="R151" s="58"/>
    </row>
    <row r="152" spans="1:18" s="59" customFormat="1" ht="15" x14ac:dyDescent="0.25">
      <c r="B152" s="57"/>
      <c r="C152" s="9"/>
      <c r="D152" s="9"/>
      <c r="E152" s="57"/>
      <c r="F152" s="57"/>
      <c r="G152" s="9"/>
      <c r="H152" s="9"/>
      <c r="I152" s="9"/>
      <c r="J152" s="64"/>
      <c r="K152" s="57"/>
      <c r="L152" s="58"/>
      <c r="M152" s="58"/>
      <c r="N152" s="58"/>
      <c r="O152" s="58"/>
      <c r="P152" s="58"/>
      <c r="Q152" s="58"/>
      <c r="R152" s="58"/>
    </row>
    <row r="153" spans="1:18" s="59" customFormat="1" ht="15" x14ac:dyDescent="0.25">
      <c r="B153" s="57"/>
      <c r="C153" s="9"/>
      <c r="D153" s="9"/>
      <c r="E153" s="57"/>
      <c r="F153" s="57"/>
      <c r="G153" s="9"/>
      <c r="H153" s="9"/>
      <c r="I153" s="9"/>
      <c r="J153" s="64"/>
      <c r="K153" s="57"/>
      <c r="L153" s="58"/>
      <c r="M153" s="58"/>
      <c r="N153" s="58"/>
      <c r="O153" s="58"/>
      <c r="P153" s="58"/>
      <c r="Q153" s="58"/>
      <c r="R153" s="58"/>
    </row>
    <row r="154" spans="1:18" s="59" customFormat="1" ht="15" x14ac:dyDescent="0.25">
      <c r="C154" s="9"/>
      <c r="D154" s="9"/>
      <c r="J154" s="65"/>
    </row>
    <row r="155" spans="1:18" s="72" customFormat="1" x14ac:dyDescent="0.25"/>
    <row r="156" spans="1:18" s="59" customFormat="1" ht="15" x14ac:dyDescent="0.25">
      <c r="A156" s="57"/>
      <c r="B156" s="57"/>
      <c r="C156" s="57"/>
      <c r="D156" s="57"/>
      <c r="E156" s="57"/>
      <c r="F156" s="56"/>
      <c r="G156" s="57"/>
      <c r="H156" s="58"/>
      <c r="I156" s="58"/>
      <c r="J156" s="58"/>
      <c r="K156" s="58"/>
      <c r="L156" s="58"/>
      <c r="M156" s="58"/>
      <c r="N156" s="58"/>
    </row>
    <row r="157" spans="1:18" s="59" customFormat="1" ht="15" x14ac:dyDescent="0.25">
      <c r="B157" s="75"/>
      <c r="C157" s="57"/>
      <c r="D157" s="57"/>
      <c r="E157" s="57"/>
      <c r="F157" s="56"/>
      <c r="G157" s="57"/>
      <c r="H157" s="58"/>
      <c r="I157" s="58"/>
      <c r="J157" s="58"/>
      <c r="K157" s="58"/>
      <c r="L157" s="58"/>
      <c r="M157" s="58"/>
      <c r="N157" s="58"/>
    </row>
    <row r="158" spans="1:18" s="59" customFormat="1" ht="15" x14ac:dyDescent="0.25">
      <c r="B158" s="57"/>
      <c r="C158" s="57"/>
      <c r="D158" s="57"/>
      <c r="E158" s="57"/>
      <c r="F158" s="56"/>
      <c r="G158" s="57"/>
      <c r="H158" s="58"/>
      <c r="I158" s="58"/>
      <c r="J158" s="58"/>
      <c r="K158" s="58"/>
      <c r="L158" s="58"/>
      <c r="M158" s="58"/>
      <c r="N158" s="58"/>
    </row>
    <row r="159" spans="1:18" s="59" customFormat="1" ht="15" x14ac:dyDescent="0.25">
      <c r="B159" s="75"/>
      <c r="C159" s="57"/>
      <c r="D159" s="57"/>
      <c r="E159" s="57"/>
      <c r="F159" s="56"/>
      <c r="G159" s="57"/>
      <c r="H159" s="58"/>
      <c r="I159" s="58"/>
      <c r="J159" s="58"/>
      <c r="K159" s="58"/>
      <c r="L159" s="58"/>
      <c r="M159" s="58"/>
      <c r="N159" s="58"/>
    </row>
    <row r="160" spans="1:18" s="59" customFormat="1" ht="15" x14ac:dyDescent="0.25">
      <c r="B160" s="57"/>
      <c r="C160" s="57"/>
      <c r="D160" s="9"/>
      <c r="E160" s="57"/>
      <c r="F160" s="57"/>
      <c r="G160" s="57"/>
      <c r="H160" s="9"/>
      <c r="I160" s="9"/>
      <c r="J160" s="9"/>
      <c r="K160" s="9"/>
      <c r="L160" s="62"/>
      <c r="M160" s="62"/>
      <c r="N160" s="62"/>
      <c r="O160" s="62"/>
      <c r="P160" s="62"/>
      <c r="Q160" s="62"/>
      <c r="R160" s="62"/>
    </row>
    <row r="161" spans="2:18" s="59" customFormat="1" ht="15" x14ac:dyDescent="0.25">
      <c r="B161" s="57"/>
      <c r="C161" s="57"/>
      <c r="D161" s="9"/>
      <c r="E161" s="57"/>
      <c r="F161" s="57"/>
      <c r="G161" s="57"/>
      <c r="H161" s="9"/>
      <c r="I161" s="9"/>
      <c r="J161" s="9"/>
      <c r="K161" s="9"/>
      <c r="L161" s="62"/>
      <c r="M161" s="62"/>
      <c r="N161" s="62"/>
      <c r="O161" s="62"/>
      <c r="P161" s="62"/>
      <c r="Q161" s="62"/>
      <c r="R161" s="62"/>
    </row>
    <row r="162" spans="2:18" s="59" customFormat="1" ht="15" x14ac:dyDescent="0.25">
      <c r="B162" s="57"/>
      <c r="C162" s="57"/>
      <c r="D162" s="9"/>
      <c r="E162" s="57"/>
      <c r="F162" s="57"/>
      <c r="G162" s="57"/>
      <c r="H162" s="9"/>
      <c r="I162" s="9"/>
      <c r="J162" s="9"/>
      <c r="K162" s="9"/>
      <c r="L162" s="62"/>
      <c r="M162" s="62"/>
      <c r="N162" s="62"/>
      <c r="O162" s="62"/>
      <c r="P162" s="62"/>
      <c r="Q162" s="62"/>
      <c r="R162" s="62"/>
    </row>
    <row r="163" spans="2:18" s="59" customFormat="1" ht="15" x14ac:dyDescent="0.25">
      <c r="B163" s="75"/>
      <c r="C163" s="57"/>
      <c r="D163" s="9"/>
      <c r="E163" s="57"/>
      <c r="F163" s="57"/>
      <c r="G163" s="57"/>
      <c r="H163" s="9"/>
      <c r="I163" s="9"/>
      <c r="J163" s="9"/>
      <c r="K163" s="9"/>
      <c r="L163" s="62"/>
      <c r="M163" s="62"/>
      <c r="N163" s="62"/>
      <c r="O163" s="62"/>
      <c r="P163" s="62"/>
      <c r="Q163" s="62"/>
      <c r="R163" s="62"/>
    </row>
    <row r="164" spans="2:18" s="59" customFormat="1" ht="15" x14ac:dyDescent="0.25">
      <c r="B164" s="57"/>
      <c r="C164" s="57"/>
      <c r="D164" s="9"/>
      <c r="E164" s="57"/>
      <c r="F164" s="57"/>
      <c r="G164" s="57"/>
      <c r="H164" s="9"/>
      <c r="I164" s="9"/>
      <c r="J164" s="9"/>
      <c r="K164" s="9"/>
      <c r="L164" s="62"/>
      <c r="M164" s="62"/>
      <c r="N164" s="62"/>
      <c r="O164" s="62"/>
      <c r="P164" s="62"/>
      <c r="Q164" s="62"/>
      <c r="R164" s="62"/>
    </row>
    <row r="165" spans="2:18" s="59" customFormat="1" ht="15" x14ac:dyDescent="0.25">
      <c r="B165" s="57"/>
      <c r="C165" s="57"/>
      <c r="D165" s="9"/>
      <c r="E165" s="57"/>
      <c r="F165" s="57"/>
      <c r="G165" s="57"/>
      <c r="H165" s="9"/>
      <c r="I165" s="9"/>
      <c r="J165" s="9"/>
      <c r="K165" s="9"/>
      <c r="L165" s="62"/>
      <c r="M165" s="62"/>
      <c r="N165" s="62"/>
      <c r="O165" s="62"/>
      <c r="P165" s="62"/>
      <c r="Q165" s="62"/>
      <c r="R165" s="62"/>
    </row>
    <row r="166" spans="2:18" s="59" customFormat="1" ht="15" x14ac:dyDescent="0.25">
      <c r="B166" s="57"/>
      <c r="C166" s="57"/>
      <c r="D166" s="9"/>
      <c r="E166" s="57"/>
      <c r="F166" s="57"/>
      <c r="G166" s="57"/>
      <c r="H166" s="9"/>
      <c r="I166" s="9"/>
      <c r="J166" s="9"/>
      <c r="K166" s="9"/>
      <c r="L166" s="62"/>
      <c r="M166" s="62"/>
      <c r="N166" s="62"/>
      <c r="O166" s="62"/>
      <c r="P166" s="62"/>
      <c r="Q166" s="62"/>
      <c r="R166" s="62"/>
    </row>
    <row r="167" spans="2:18" s="59" customFormat="1" ht="15" x14ac:dyDescent="0.25">
      <c r="B167" s="75"/>
      <c r="C167" s="57"/>
      <c r="D167" s="9"/>
      <c r="E167" s="57"/>
      <c r="F167" s="57"/>
      <c r="G167" s="56"/>
      <c r="H167" s="9"/>
      <c r="I167" s="9"/>
      <c r="J167" s="9"/>
      <c r="K167" s="9"/>
      <c r="L167" s="76"/>
      <c r="M167" s="76"/>
      <c r="N167" s="76"/>
      <c r="O167" s="76"/>
      <c r="P167" s="76"/>
      <c r="Q167" s="76"/>
      <c r="R167" s="62"/>
    </row>
    <row r="168" spans="2:18" s="59" customFormat="1" ht="15" x14ac:dyDescent="0.25">
      <c r="B168" s="57"/>
      <c r="C168" s="57"/>
      <c r="D168" s="9"/>
      <c r="E168" s="57"/>
      <c r="F168" s="57"/>
      <c r="G168" s="57"/>
      <c r="H168" s="9"/>
      <c r="I168" s="9"/>
      <c r="J168" s="9"/>
      <c r="K168" s="9"/>
      <c r="L168" s="62"/>
      <c r="M168" s="62"/>
      <c r="N168" s="62"/>
      <c r="O168" s="62"/>
      <c r="P168" s="62"/>
      <c r="Q168" s="62"/>
      <c r="R168" s="62"/>
    </row>
    <row r="169" spans="2:18" s="59" customFormat="1" ht="15" x14ac:dyDescent="0.25">
      <c r="B169" s="57"/>
      <c r="C169" s="57"/>
      <c r="D169" s="9"/>
      <c r="E169" s="57"/>
      <c r="F169" s="57"/>
      <c r="G169" s="57"/>
      <c r="H169" s="9"/>
      <c r="I169" s="9"/>
      <c r="J169" s="9"/>
      <c r="K169" s="9"/>
      <c r="L169" s="62"/>
      <c r="M169" s="62"/>
      <c r="N169" s="62"/>
      <c r="O169" s="62"/>
      <c r="P169" s="62"/>
      <c r="Q169" s="62"/>
      <c r="R169" s="62"/>
    </row>
    <row r="170" spans="2:18" s="59" customFormat="1" ht="15" x14ac:dyDescent="0.25">
      <c r="B170" s="57"/>
      <c r="C170" s="57"/>
      <c r="D170" s="9"/>
      <c r="E170" s="57"/>
      <c r="F170" s="57"/>
      <c r="G170" s="57"/>
      <c r="H170" s="9"/>
      <c r="I170" s="9"/>
      <c r="J170" s="9"/>
      <c r="K170" s="9"/>
      <c r="L170" s="62"/>
      <c r="M170" s="62"/>
      <c r="N170" s="62"/>
      <c r="O170" s="62"/>
      <c r="P170" s="62"/>
      <c r="Q170" s="62"/>
      <c r="R170" s="62"/>
    </row>
    <row r="171" spans="2:18" s="59" customFormat="1" ht="15" x14ac:dyDescent="0.25">
      <c r="B171" s="57"/>
      <c r="C171" s="57"/>
      <c r="D171" s="9"/>
      <c r="E171" s="57"/>
      <c r="F171" s="57"/>
      <c r="G171" s="57"/>
      <c r="H171" s="9"/>
      <c r="I171" s="9"/>
      <c r="J171" s="9"/>
      <c r="K171" s="9"/>
      <c r="L171" s="62"/>
      <c r="M171" s="62"/>
      <c r="N171" s="62"/>
      <c r="O171" s="62"/>
      <c r="P171" s="62"/>
      <c r="Q171" s="62"/>
      <c r="R171" s="62"/>
    </row>
    <row r="172" spans="2:18" s="59" customFormat="1" ht="15" x14ac:dyDescent="0.25">
      <c r="D172" s="9"/>
      <c r="H172" s="9"/>
      <c r="I172" s="9"/>
      <c r="J172" s="9"/>
      <c r="K172" s="9"/>
      <c r="L172" s="61"/>
      <c r="M172" s="61"/>
      <c r="N172" s="61"/>
      <c r="O172" s="61"/>
      <c r="P172" s="61"/>
      <c r="Q172" s="61"/>
      <c r="R172" s="61"/>
    </row>
    <row r="173" spans="2:18" s="59" customFormat="1" ht="15" x14ac:dyDescent="0.25">
      <c r="B173" s="77"/>
      <c r="D173" s="9"/>
      <c r="H173" s="9"/>
      <c r="I173" s="9"/>
      <c r="J173" s="9"/>
      <c r="K173" s="9"/>
      <c r="L173" s="61"/>
      <c r="M173" s="61"/>
      <c r="N173" s="61"/>
      <c r="O173" s="61"/>
      <c r="P173" s="61"/>
      <c r="Q173" s="61"/>
      <c r="R173" s="61"/>
    </row>
    <row r="174" spans="2:18" s="59" customFormat="1" ht="15" x14ac:dyDescent="0.25">
      <c r="D174" s="9"/>
      <c r="H174" s="9"/>
      <c r="I174" s="9"/>
      <c r="J174" s="9"/>
      <c r="K174" s="9"/>
      <c r="L174" s="61"/>
      <c r="M174" s="61"/>
      <c r="N174" s="61"/>
      <c r="O174" s="61"/>
      <c r="P174" s="61"/>
      <c r="Q174" s="61"/>
      <c r="R174" s="61"/>
    </row>
    <row r="175" spans="2:18" s="59" customFormat="1" ht="15" x14ac:dyDescent="0.25">
      <c r="D175" s="9"/>
      <c r="F175" s="57"/>
      <c r="H175" s="9"/>
      <c r="I175" s="9"/>
      <c r="J175" s="9"/>
      <c r="K175" s="9"/>
      <c r="L175" s="61"/>
      <c r="M175" s="61"/>
      <c r="N175" s="61"/>
      <c r="O175" s="61"/>
      <c r="P175" s="61"/>
      <c r="Q175" s="62"/>
      <c r="R175" s="61"/>
    </row>
    <row r="176" spans="2:18" s="59" customFormat="1" ht="15" x14ac:dyDescent="0.25">
      <c r="D176" s="9"/>
      <c r="F176" s="57"/>
      <c r="H176" s="9"/>
      <c r="I176" s="9"/>
      <c r="J176" s="9"/>
      <c r="K176" s="9"/>
      <c r="L176" s="61"/>
      <c r="M176" s="61"/>
      <c r="N176" s="61"/>
      <c r="O176" s="62"/>
      <c r="P176" s="61"/>
      <c r="Q176" s="61"/>
      <c r="R176" s="61"/>
    </row>
    <row r="177" s="59" customFormat="1" ht="15" x14ac:dyDescent="0.25"/>
    <row r="178" s="59" customFormat="1" ht="15" x14ac:dyDescent="0.25"/>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2:Z175"/>
  <sheetViews>
    <sheetView showGridLines="0" zoomScale="85" zoomScaleNormal="85" workbookViewId="0">
      <pane xSplit="6" ySplit="10" topLeftCell="G11" activePane="bottomRight" state="frozen"/>
      <selection activeCell="Q51" sqref="Q51"/>
      <selection pane="topRight" activeCell="Q51" sqref="Q51"/>
      <selection pane="bottomLeft" activeCell="Q51" sqref="Q51"/>
      <selection pane="bottomRight" activeCell="G11" sqref="G11"/>
    </sheetView>
  </sheetViews>
  <sheetFormatPr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2.5703125" style="2" customWidth="1"/>
    <col min="19" max="20" width="2.7109375" style="2" customWidth="1"/>
    <col min="21" max="21" width="17.140625" style="2" customWidth="1"/>
    <col min="22" max="22" width="2.7109375" style="2" customWidth="1"/>
    <col min="23" max="23" width="13.7109375" style="2" customWidth="1"/>
    <col min="24" max="24" width="2.7109375" style="2" customWidth="1"/>
    <col min="25" max="39" width="13.7109375" style="2" customWidth="1"/>
    <col min="40" max="16384" width="9.140625" style="2"/>
  </cols>
  <sheetData>
    <row r="2" spans="2:23" s="27" customFormat="1" ht="18" x14ac:dyDescent="0.25">
      <c r="B2" s="27" t="s">
        <v>299</v>
      </c>
    </row>
    <row r="4" spans="2:23" ht="15" x14ac:dyDescent="0.25">
      <c r="B4" s="1" t="s">
        <v>29</v>
      </c>
      <c r="C4" s="1"/>
      <c r="D4" s="1"/>
      <c r="L4" s="39"/>
      <c r="M4" s="39"/>
    </row>
    <row r="5" spans="2:23" x14ac:dyDescent="0.25">
      <c r="B5" s="2" t="s">
        <v>300</v>
      </c>
    </row>
    <row r="6" spans="2:23" x14ac:dyDescent="0.25">
      <c r="B6" s="2" t="s">
        <v>298</v>
      </c>
    </row>
    <row r="7" spans="2:23" x14ac:dyDescent="0.25">
      <c r="B7" s="2" t="s">
        <v>202</v>
      </c>
    </row>
    <row r="9" spans="2:23" s="8" customFormat="1" x14ac:dyDescent="0.25">
      <c r="B9" s="8" t="s">
        <v>45</v>
      </c>
      <c r="F9" s="8" t="s">
        <v>27</v>
      </c>
      <c r="H9" s="8" t="s">
        <v>28</v>
      </c>
      <c r="J9" s="8" t="s">
        <v>49</v>
      </c>
      <c r="L9" s="8" t="s">
        <v>165</v>
      </c>
      <c r="M9" s="8" t="s">
        <v>65</v>
      </c>
      <c r="N9" s="8" t="s">
        <v>66</v>
      </c>
      <c r="O9" s="8" t="s">
        <v>67</v>
      </c>
      <c r="P9" s="8" t="s">
        <v>68</v>
      </c>
      <c r="Q9" s="8" t="s">
        <v>69</v>
      </c>
      <c r="R9" s="8" t="s">
        <v>70</v>
      </c>
      <c r="U9" s="8" t="s">
        <v>46</v>
      </c>
      <c r="W9" s="8" t="s">
        <v>47</v>
      </c>
    </row>
    <row r="12" spans="2:23" s="8" customFormat="1" x14ac:dyDescent="0.25">
      <c r="B12" s="8" t="s">
        <v>104</v>
      </c>
    </row>
    <row r="14" spans="2:23" x14ac:dyDescent="0.25">
      <c r="B14" s="40" t="s">
        <v>73</v>
      </c>
    </row>
    <row r="16" spans="2:23" x14ac:dyDescent="0.25">
      <c r="B16" s="40" t="s">
        <v>74</v>
      </c>
    </row>
    <row r="17" spans="2:21" x14ac:dyDescent="0.2">
      <c r="B17" s="2" t="s">
        <v>75</v>
      </c>
      <c r="F17" s="41" t="s">
        <v>76</v>
      </c>
      <c r="J17" s="64"/>
      <c r="L17" s="143"/>
      <c r="M17" s="143"/>
      <c r="N17" s="143"/>
      <c r="O17" s="143"/>
      <c r="P17" s="143"/>
      <c r="Q17" s="143"/>
      <c r="R17" s="143"/>
      <c r="U17" s="2" t="s">
        <v>181</v>
      </c>
    </row>
    <row r="18" spans="2:21" ht="15" x14ac:dyDescent="0.25">
      <c r="B18" s="2" t="s">
        <v>77</v>
      </c>
      <c r="F18" s="41" t="s">
        <v>76</v>
      </c>
      <c r="J18" s="64"/>
      <c r="L18" s="143"/>
      <c r="M18" s="143"/>
      <c r="N18" s="143"/>
      <c r="O18" s="143"/>
      <c r="P18" s="143"/>
      <c r="Q18" s="143"/>
      <c r="R18" s="143"/>
      <c r="U18"/>
    </row>
    <row r="19" spans="2:21" ht="15" x14ac:dyDescent="0.25">
      <c r="B19" s="2" t="s">
        <v>78</v>
      </c>
      <c r="F19" s="41" t="s">
        <v>76</v>
      </c>
      <c r="J19" s="64"/>
      <c r="L19" s="143"/>
      <c r="M19" s="143"/>
      <c r="N19" s="143"/>
      <c r="O19" s="143"/>
      <c r="P19" s="143"/>
      <c r="Q19" s="143"/>
      <c r="R19" s="143"/>
      <c r="U19"/>
    </row>
    <row r="20" spans="2:21" ht="15" x14ac:dyDescent="0.25">
      <c r="B20" s="2" t="s">
        <v>79</v>
      </c>
      <c r="F20" s="41" t="s">
        <v>76</v>
      </c>
      <c r="J20" s="64"/>
      <c r="L20" s="143"/>
      <c r="M20" s="143"/>
      <c r="N20" s="143"/>
      <c r="O20" s="143"/>
      <c r="P20" s="143"/>
      <c r="Q20" s="143"/>
      <c r="R20" s="143"/>
      <c r="U20"/>
    </row>
    <row r="21" spans="2:21" ht="15" x14ac:dyDescent="0.25">
      <c r="B21" s="2" t="s">
        <v>80</v>
      </c>
      <c r="F21" s="41" t="s">
        <v>76</v>
      </c>
      <c r="J21" s="64"/>
      <c r="L21" s="143"/>
      <c r="M21" s="143"/>
      <c r="N21" s="143"/>
      <c r="O21" s="143"/>
      <c r="P21" s="143"/>
      <c r="Q21" s="143"/>
      <c r="R21" s="143"/>
      <c r="U21"/>
    </row>
    <row r="22" spans="2:21" ht="15" x14ac:dyDescent="0.25">
      <c r="B22" s="2" t="s">
        <v>81</v>
      </c>
      <c r="F22" s="41" t="s">
        <v>76</v>
      </c>
      <c r="J22" s="64"/>
      <c r="L22" s="143"/>
      <c r="M22" s="143"/>
      <c r="N22" s="143"/>
      <c r="O22" s="143"/>
      <c r="P22" s="143"/>
      <c r="Q22" s="143"/>
      <c r="R22" s="143"/>
      <c r="U22"/>
    </row>
    <row r="23" spans="2:21" x14ac:dyDescent="0.2">
      <c r="F23" s="41"/>
      <c r="J23" s="64"/>
      <c r="L23" s="42"/>
      <c r="M23" s="42"/>
      <c r="N23" s="42"/>
      <c r="O23" s="42"/>
      <c r="P23" s="42"/>
      <c r="Q23" s="42"/>
      <c r="R23" s="42"/>
    </row>
    <row r="24" spans="2:21" x14ac:dyDescent="0.2">
      <c r="B24" s="40" t="s">
        <v>82</v>
      </c>
      <c r="F24" s="41"/>
      <c r="J24" s="64"/>
      <c r="L24" s="42"/>
      <c r="M24" s="42"/>
      <c r="N24" s="42"/>
      <c r="O24" s="42"/>
      <c r="P24" s="42"/>
      <c r="Q24" s="42"/>
      <c r="R24" s="42"/>
    </row>
    <row r="25" spans="2:21" ht="15" x14ac:dyDescent="0.25">
      <c r="B25" s="2" t="s">
        <v>83</v>
      </c>
      <c r="F25" s="41" t="s">
        <v>76</v>
      </c>
      <c r="J25" s="64"/>
      <c r="L25" s="143"/>
      <c r="M25" s="143"/>
      <c r="N25" s="143"/>
      <c r="O25" s="143"/>
      <c r="P25" s="143"/>
      <c r="Q25" s="143"/>
      <c r="R25" s="143"/>
      <c r="U25"/>
    </row>
    <row r="26" spans="2:21" ht="15" x14ac:dyDescent="0.25">
      <c r="B26" s="2" t="s">
        <v>84</v>
      </c>
      <c r="F26" s="41" t="s">
        <v>76</v>
      </c>
      <c r="J26" s="64"/>
      <c r="L26" s="143"/>
      <c r="M26" s="143"/>
      <c r="N26" s="143"/>
      <c r="O26" s="143"/>
      <c r="P26" s="143"/>
      <c r="Q26" s="143"/>
      <c r="R26" s="143"/>
      <c r="U26"/>
    </row>
    <row r="27" spans="2:21" ht="15" x14ac:dyDescent="0.25">
      <c r="B27" s="2" t="s">
        <v>85</v>
      </c>
      <c r="F27" s="41" t="s">
        <v>76</v>
      </c>
      <c r="J27" s="64"/>
      <c r="L27" s="143"/>
      <c r="M27" s="143"/>
      <c r="N27" s="143"/>
      <c r="O27" s="143"/>
      <c r="P27" s="143"/>
      <c r="Q27" s="143"/>
      <c r="R27" s="143"/>
      <c r="U27"/>
    </row>
    <row r="28" spans="2:21" ht="15" x14ac:dyDescent="0.25">
      <c r="B28" s="2" t="s">
        <v>86</v>
      </c>
      <c r="F28" s="41" t="s">
        <v>76</v>
      </c>
      <c r="J28" s="64"/>
      <c r="L28" s="143"/>
      <c r="M28" s="143"/>
      <c r="N28" s="143"/>
      <c r="O28" s="143"/>
      <c r="P28" s="143"/>
      <c r="Q28" s="143"/>
      <c r="R28" s="143"/>
      <c r="U28"/>
    </row>
    <row r="29" spans="2:21" ht="15" x14ac:dyDescent="0.25">
      <c r="B29" s="2" t="s">
        <v>87</v>
      </c>
      <c r="F29" s="41" t="s">
        <v>76</v>
      </c>
      <c r="J29" s="64"/>
      <c r="L29" s="143"/>
      <c r="M29" s="143"/>
      <c r="N29" s="143"/>
      <c r="O29" s="143"/>
      <c r="P29" s="143"/>
      <c r="Q29" s="143"/>
      <c r="R29" s="143"/>
      <c r="U29"/>
    </row>
    <row r="30" spans="2:21" x14ac:dyDescent="0.2">
      <c r="F30" s="41"/>
      <c r="J30" s="64"/>
      <c r="L30" s="42"/>
      <c r="M30" s="42"/>
      <c r="N30" s="42"/>
      <c r="O30" s="42"/>
      <c r="P30" s="42"/>
      <c r="Q30" s="42"/>
      <c r="R30" s="42"/>
    </row>
    <row r="31" spans="2:21" x14ac:dyDescent="0.2">
      <c r="B31" s="40" t="s">
        <v>88</v>
      </c>
      <c r="F31" s="41"/>
      <c r="J31" s="64"/>
      <c r="L31" s="42"/>
      <c r="M31" s="42"/>
      <c r="N31" s="42"/>
      <c r="O31" s="42"/>
      <c r="P31" s="42"/>
      <c r="Q31" s="42"/>
      <c r="R31" s="42"/>
    </row>
    <row r="32" spans="2:21" x14ac:dyDescent="0.2">
      <c r="F32" s="41"/>
      <c r="J32" s="64"/>
      <c r="L32" s="42"/>
      <c r="M32" s="42"/>
      <c r="N32" s="42"/>
      <c r="O32" s="42"/>
      <c r="P32" s="42"/>
      <c r="Q32" s="42"/>
      <c r="R32" s="42"/>
    </row>
    <row r="33" spans="2:21" ht="15" x14ac:dyDescent="0.25">
      <c r="B33" s="40" t="s">
        <v>89</v>
      </c>
      <c r="F33" s="41"/>
      <c r="J33" s="65"/>
      <c r="L33"/>
      <c r="M33"/>
      <c r="N33"/>
      <c r="O33"/>
      <c r="P33"/>
      <c r="Q33"/>
      <c r="R33"/>
    </row>
    <row r="34" spans="2:21" ht="15" x14ac:dyDescent="0.25">
      <c r="B34" s="2" t="s">
        <v>90</v>
      </c>
      <c r="F34" s="41" t="s">
        <v>76</v>
      </c>
      <c r="J34" s="64"/>
      <c r="L34" s="143">
        <v>1</v>
      </c>
      <c r="M34" s="143"/>
      <c r="N34" s="143"/>
      <c r="O34" s="143"/>
      <c r="P34" s="143"/>
      <c r="Q34" s="143"/>
      <c r="R34" s="143"/>
      <c r="U34"/>
    </row>
    <row r="35" spans="2:21" ht="15" x14ac:dyDescent="0.25">
      <c r="B35" s="2" t="s">
        <v>91</v>
      </c>
      <c r="F35" s="41" t="s">
        <v>76</v>
      </c>
      <c r="J35" s="64"/>
      <c r="L35" s="143"/>
      <c r="M35" s="143"/>
      <c r="N35" s="143"/>
      <c r="O35" s="143"/>
      <c r="P35" s="143"/>
      <c r="Q35" s="143"/>
      <c r="R35" s="143"/>
      <c r="U35"/>
    </row>
    <row r="36" spans="2:21" ht="15" x14ac:dyDescent="0.25">
      <c r="F36" s="41"/>
      <c r="J36" s="64"/>
      <c r="L36" s="42"/>
      <c r="M36" s="42"/>
      <c r="N36" s="42"/>
      <c r="O36" s="42"/>
      <c r="P36" s="42"/>
      <c r="Q36" s="42"/>
      <c r="R36" s="42"/>
      <c r="U36"/>
    </row>
    <row r="37" spans="2:21" ht="15" x14ac:dyDescent="0.25">
      <c r="B37" s="2" t="s">
        <v>92</v>
      </c>
      <c r="F37" s="41" t="s">
        <v>76</v>
      </c>
      <c r="J37" s="64"/>
      <c r="L37" s="143"/>
      <c r="M37" s="143"/>
      <c r="N37" s="113">
        <f>10+0.904057971014493</f>
        <v>10.904057971014494</v>
      </c>
      <c r="O37" s="143">
        <v>6</v>
      </c>
      <c r="P37" s="143"/>
      <c r="Q37" s="143">
        <v>3</v>
      </c>
      <c r="R37" s="143"/>
      <c r="U37"/>
    </row>
    <row r="38" spans="2:21" x14ac:dyDescent="0.2">
      <c r="F38" s="41"/>
      <c r="J38" s="64"/>
      <c r="L38" s="42"/>
      <c r="M38" s="42"/>
      <c r="N38" s="42"/>
      <c r="O38" s="42"/>
      <c r="P38" s="42"/>
      <c r="Q38" s="42"/>
      <c r="R38" s="42"/>
    </row>
    <row r="39" spans="2:21" x14ac:dyDescent="0.2">
      <c r="B39" s="40" t="s">
        <v>93</v>
      </c>
      <c r="F39" s="41"/>
      <c r="J39" s="64"/>
      <c r="L39" s="42"/>
      <c r="M39" s="42"/>
      <c r="N39" s="42"/>
      <c r="O39" s="42"/>
      <c r="P39" s="42"/>
      <c r="Q39" s="42"/>
      <c r="R39" s="42"/>
    </row>
    <row r="40" spans="2:21" x14ac:dyDescent="0.2">
      <c r="F40" s="41"/>
      <c r="J40" s="64"/>
      <c r="L40" s="42"/>
      <c r="M40" s="42"/>
      <c r="N40" s="42"/>
      <c r="O40" s="42"/>
      <c r="P40" s="42"/>
      <c r="Q40" s="42"/>
      <c r="R40" s="42"/>
    </row>
    <row r="41" spans="2:21" x14ac:dyDescent="0.2">
      <c r="B41" s="40" t="s">
        <v>89</v>
      </c>
      <c r="F41" s="41"/>
      <c r="J41" s="64"/>
      <c r="L41" s="42"/>
      <c r="M41" s="42"/>
      <c r="N41" s="42"/>
      <c r="O41" s="42"/>
      <c r="P41" s="42"/>
      <c r="Q41" s="42"/>
      <c r="R41" s="42"/>
    </row>
    <row r="42" spans="2:21" ht="15" x14ac:dyDescent="0.25">
      <c r="B42" s="2" t="s">
        <v>90</v>
      </c>
      <c r="F42" s="41" t="s">
        <v>76</v>
      </c>
      <c r="J42" s="64"/>
      <c r="L42" s="143">
        <v>0</v>
      </c>
      <c r="M42" s="143"/>
      <c r="N42" s="143"/>
      <c r="O42" s="143"/>
      <c r="P42" s="143"/>
      <c r="Q42" s="143"/>
      <c r="R42" s="143"/>
      <c r="U42"/>
    </row>
    <row r="43" spans="2:21" ht="15" x14ac:dyDescent="0.25">
      <c r="B43" s="2" t="s">
        <v>91</v>
      </c>
      <c r="F43" s="41" t="s">
        <v>76</v>
      </c>
      <c r="J43" s="64"/>
      <c r="L43" s="143"/>
      <c r="M43" s="143"/>
      <c r="N43" s="143"/>
      <c r="O43" s="143"/>
      <c r="P43" s="143"/>
      <c r="Q43" s="143"/>
      <c r="R43" s="143"/>
      <c r="U43"/>
    </row>
    <row r="44" spans="2:21" ht="15" x14ac:dyDescent="0.25">
      <c r="F44" s="41"/>
      <c r="J44" s="64"/>
      <c r="L44" s="42"/>
      <c r="M44" s="42"/>
      <c r="N44" s="42"/>
      <c r="O44" s="42"/>
      <c r="P44" s="42"/>
      <c r="Q44" s="42"/>
      <c r="R44" s="42"/>
      <c r="U44"/>
    </row>
    <row r="45" spans="2:21" ht="15" x14ac:dyDescent="0.25">
      <c r="B45" s="2" t="s">
        <v>94</v>
      </c>
      <c r="F45" s="41" t="s">
        <v>76</v>
      </c>
      <c r="J45" s="64"/>
      <c r="L45" s="143"/>
      <c r="M45" s="143"/>
      <c r="N45" s="113">
        <f>9842+369.570652173913</f>
        <v>10211.570652173912</v>
      </c>
      <c r="O45" s="143">
        <v>2145</v>
      </c>
      <c r="P45" s="143"/>
      <c r="Q45" s="143">
        <v>523.99894695274452</v>
      </c>
      <c r="R45" s="143"/>
      <c r="U45"/>
    </row>
    <row r="47" spans="2:21" s="8" customFormat="1" x14ac:dyDescent="0.25">
      <c r="B47" s="8" t="s">
        <v>105</v>
      </c>
    </row>
    <row r="49" spans="2:21" x14ac:dyDescent="0.25">
      <c r="B49" s="40" t="s">
        <v>73</v>
      </c>
    </row>
    <row r="51" spans="2:21" x14ac:dyDescent="0.25">
      <c r="B51" s="40" t="s">
        <v>74</v>
      </c>
    </row>
    <row r="52" spans="2:21" x14ac:dyDescent="0.2">
      <c r="B52" s="2" t="s">
        <v>75</v>
      </c>
      <c r="F52" s="41" t="s">
        <v>76</v>
      </c>
      <c r="J52" s="64"/>
      <c r="L52" s="143"/>
      <c r="M52" s="143"/>
      <c r="N52" s="143"/>
      <c r="O52" s="143"/>
      <c r="P52" s="143"/>
      <c r="Q52" s="143"/>
      <c r="R52" s="143"/>
      <c r="U52" s="2" t="s">
        <v>181</v>
      </c>
    </row>
    <row r="53" spans="2:21" ht="15" x14ac:dyDescent="0.25">
      <c r="B53" s="2" t="s">
        <v>77</v>
      </c>
      <c r="F53" s="41" t="s">
        <v>76</v>
      </c>
      <c r="J53" s="64"/>
      <c r="L53" s="143"/>
      <c r="M53" s="143"/>
      <c r="N53" s="143"/>
      <c r="O53" s="143"/>
      <c r="P53" s="143"/>
      <c r="Q53" s="143"/>
      <c r="R53" s="143"/>
      <c r="U53"/>
    </row>
    <row r="54" spans="2:21" ht="15" x14ac:dyDescent="0.25">
      <c r="B54" s="2" t="s">
        <v>78</v>
      </c>
      <c r="F54" s="41" t="s">
        <v>76</v>
      </c>
      <c r="J54" s="64"/>
      <c r="L54" s="143"/>
      <c r="M54" s="143"/>
      <c r="N54" s="143"/>
      <c r="O54" s="143"/>
      <c r="P54" s="143"/>
      <c r="Q54" s="143"/>
      <c r="R54" s="143"/>
      <c r="U54"/>
    </row>
    <row r="55" spans="2:21" ht="15" x14ac:dyDescent="0.25">
      <c r="B55" s="2" t="s">
        <v>79</v>
      </c>
      <c r="F55" s="41" t="s">
        <v>76</v>
      </c>
      <c r="J55" s="64"/>
      <c r="L55" s="143"/>
      <c r="M55" s="143"/>
      <c r="N55" s="143"/>
      <c r="O55" s="143"/>
      <c r="P55" s="143"/>
      <c r="Q55" s="143"/>
      <c r="R55" s="143"/>
      <c r="U55"/>
    </row>
    <row r="56" spans="2:21" ht="15" x14ac:dyDescent="0.25">
      <c r="B56" s="2" t="s">
        <v>80</v>
      </c>
      <c r="F56" s="41" t="s">
        <v>76</v>
      </c>
      <c r="J56" s="64"/>
      <c r="L56" s="143"/>
      <c r="M56" s="143"/>
      <c r="N56" s="143"/>
      <c r="O56" s="143"/>
      <c r="P56" s="143"/>
      <c r="Q56" s="143"/>
      <c r="R56" s="143"/>
      <c r="U56"/>
    </row>
    <row r="57" spans="2:21" ht="15" x14ac:dyDescent="0.25">
      <c r="B57" s="2" t="s">
        <v>81</v>
      </c>
      <c r="F57" s="41" t="s">
        <v>76</v>
      </c>
      <c r="J57" s="64"/>
      <c r="L57" s="143"/>
      <c r="M57" s="143"/>
      <c r="N57" s="143"/>
      <c r="O57" s="143"/>
      <c r="P57" s="143"/>
      <c r="Q57" s="143"/>
      <c r="R57" s="143"/>
      <c r="U57"/>
    </row>
    <row r="58" spans="2:21" x14ac:dyDescent="0.2">
      <c r="F58" s="41"/>
      <c r="J58" s="64"/>
      <c r="L58" s="42"/>
      <c r="M58" s="42"/>
      <c r="N58" s="42"/>
      <c r="O58" s="42"/>
      <c r="P58" s="42"/>
      <c r="Q58" s="42"/>
      <c r="R58" s="42"/>
    </row>
    <row r="59" spans="2:21" x14ac:dyDescent="0.2">
      <c r="B59" s="40" t="s">
        <v>82</v>
      </c>
      <c r="F59" s="41"/>
      <c r="J59" s="64"/>
      <c r="L59" s="42"/>
      <c r="M59" s="42"/>
      <c r="N59" s="42"/>
      <c r="O59" s="42"/>
      <c r="P59" s="42"/>
      <c r="Q59" s="42"/>
      <c r="R59" s="42"/>
    </row>
    <row r="60" spans="2:21" ht="15" x14ac:dyDescent="0.25">
      <c r="B60" s="2" t="s">
        <v>83</v>
      </c>
      <c r="F60" s="41" t="s">
        <v>76</v>
      </c>
      <c r="J60" s="64"/>
      <c r="L60" s="143"/>
      <c r="M60" s="143"/>
      <c r="N60" s="143"/>
      <c r="O60" s="143"/>
      <c r="P60" s="143"/>
      <c r="Q60" s="143"/>
      <c r="R60" s="143"/>
      <c r="U60"/>
    </row>
    <row r="61" spans="2:21" ht="15" x14ac:dyDescent="0.25">
      <c r="B61" s="2" t="s">
        <v>84</v>
      </c>
      <c r="F61" s="41" t="s">
        <v>76</v>
      </c>
      <c r="J61" s="64"/>
      <c r="L61" s="143"/>
      <c r="M61" s="143"/>
      <c r="N61" s="143"/>
      <c r="O61" s="143"/>
      <c r="P61" s="143"/>
      <c r="Q61" s="143"/>
      <c r="R61" s="143"/>
      <c r="U61"/>
    </row>
    <row r="62" spans="2:21" ht="15" x14ac:dyDescent="0.25">
      <c r="B62" s="2" t="s">
        <v>85</v>
      </c>
      <c r="F62" s="41" t="s">
        <v>76</v>
      </c>
      <c r="J62" s="64"/>
      <c r="L62" s="143"/>
      <c r="M62" s="143"/>
      <c r="N62" s="143"/>
      <c r="O62" s="143"/>
      <c r="P62" s="143"/>
      <c r="Q62" s="143"/>
      <c r="R62" s="143"/>
      <c r="U62"/>
    </row>
    <row r="63" spans="2:21" ht="15" x14ac:dyDescent="0.25">
      <c r="B63" s="2" t="s">
        <v>86</v>
      </c>
      <c r="F63" s="41" t="s">
        <v>76</v>
      </c>
      <c r="J63" s="64"/>
      <c r="L63" s="143"/>
      <c r="M63" s="143"/>
      <c r="N63" s="143"/>
      <c r="O63" s="143"/>
      <c r="P63" s="143"/>
      <c r="Q63" s="143"/>
      <c r="R63" s="143"/>
      <c r="U63"/>
    </row>
    <row r="64" spans="2:21" ht="15" x14ac:dyDescent="0.25">
      <c r="B64" s="2" t="s">
        <v>87</v>
      </c>
      <c r="F64" s="41" t="s">
        <v>76</v>
      </c>
      <c r="J64" s="64"/>
      <c r="L64" s="143"/>
      <c r="M64" s="143"/>
      <c r="N64" s="143"/>
      <c r="O64" s="143"/>
      <c r="P64" s="143"/>
      <c r="Q64" s="143"/>
      <c r="R64" s="143"/>
      <c r="U64"/>
    </row>
    <row r="65" spans="2:21" x14ac:dyDescent="0.2">
      <c r="F65" s="41"/>
      <c r="J65" s="64"/>
      <c r="L65" s="42"/>
      <c r="M65" s="42"/>
      <c r="N65" s="42"/>
      <c r="O65" s="42"/>
      <c r="P65" s="42"/>
      <c r="Q65" s="42"/>
      <c r="R65" s="42"/>
    </row>
    <row r="66" spans="2:21" x14ac:dyDescent="0.2">
      <c r="B66" s="40" t="s">
        <v>88</v>
      </c>
      <c r="F66" s="41"/>
      <c r="J66" s="64"/>
      <c r="L66" s="42"/>
      <c r="M66" s="42"/>
      <c r="N66" s="42"/>
      <c r="O66" s="42"/>
      <c r="P66" s="42"/>
      <c r="Q66" s="42"/>
      <c r="R66" s="42"/>
    </row>
    <row r="67" spans="2:21" x14ac:dyDescent="0.2">
      <c r="F67" s="41"/>
      <c r="J67" s="64"/>
      <c r="L67" s="42"/>
      <c r="M67" s="42"/>
      <c r="N67" s="42"/>
      <c r="O67" s="42"/>
      <c r="P67" s="42"/>
      <c r="Q67" s="42"/>
      <c r="R67" s="42"/>
    </row>
    <row r="68" spans="2:21" ht="15" x14ac:dyDescent="0.25">
      <c r="B68" s="40" t="s">
        <v>89</v>
      </c>
      <c r="F68" s="41"/>
      <c r="J68" s="65"/>
      <c r="L68"/>
      <c r="M68"/>
      <c r="N68"/>
      <c r="O68"/>
      <c r="P68"/>
      <c r="Q68"/>
      <c r="R68"/>
    </row>
    <row r="69" spans="2:21" ht="15" x14ac:dyDescent="0.25">
      <c r="B69" s="2" t="s">
        <v>90</v>
      </c>
      <c r="F69" s="41" t="s">
        <v>76</v>
      </c>
      <c r="J69" s="64"/>
      <c r="L69" s="143">
        <v>1</v>
      </c>
      <c r="M69" s="143"/>
      <c r="N69" s="143"/>
      <c r="O69" s="143"/>
      <c r="P69" s="143">
        <v>0.42</v>
      </c>
      <c r="Q69" s="143"/>
      <c r="R69" s="143"/>
      <c r="U69"/>
    </row>
    <row r="70" spans="2:21" ht="15" x14ac:dyDescent="0.25">
      <c r="B70" s="2" t="s">
        <v>91</v>
      </c>
      <c r="F70" s="41" t="s">
        <v>76</v>
      </c>
      <c r="J70" s="64"/>
      <c r="L70" s="143"/>
      <c r="M70" s="143"/>
      <c r="N70" s="143"/>
      <c r="O70" s="143"/>
      <c r="P70" s="143"/>
      <c r="Q70" s="143"/>
      <c r="R70" s="143"/>
      <c r="U70"/>
    </row>
    <row r="71" spans="2:21" ht="15" x14ac:dyDescent="0.25">
      <c r="F71" s="41"/>
      <c r="J71" s="64"/>
      <c r="L71" s="42"/>
      <c r="M71" s="42"/>
      <c r="N71" s="42"/>
      <c r="O71" s="42"/>
      <c r="P71" s="42"/>
      <c r="Q71" s="42"/>
      <c r="R71" s="42"/>
      <c r="U71"/>
    </row>
    <row r="72" spans="2:21" ht="15" x14ac:dyDescent="0.25">
      <c r="B72" s="2" t="s">
        <v>92</v>
      </c>
      <c r="F72" s="41" t="s">
        <v>76</v>
      </c>
      <c r="J72" s="64"/>
      <c r="L72" s="143"/>
      <c r="M72" s="143"/>
      <c r="N72" s="113">
        <f>10+1.99983849764</f>
        <v>11.999838497640001</v>
      </c>
      <c r="O72" s="143">
        <v>7</v>
      </c>
      <c r="P72" s="143"/>
      <c r="Q72" s="143">
        <v>3</v>
      </c>
      <c r="R72" s="143"/>
      <c r="U72"/>
    </row>
    <row r="73" spans="2:21" x14ac:dyDescent="0.2">
      <c r="F73" s="41"/>
      <c r="J73" s="64"/>
      <c r="L73" s="42"/>
      <c r="M73" s="42"/>
      <c r="N73" s="42"/>
      <c r="O73" s="42"/>
      <c r="P73" s="42"/>
      <c r="Q73" s="42"/>
      <c r="R73" s="42"/>
    </row>
    <row r="74" spans="2:21" x14ac:dyDescent="0.2">
      <c r="B74" s="40" t="s">
        <v>93</v>
      </c>
      <c r="F74" s="41"/>
      <c r="J74" s="64"/>
      <c r="L74" s="42"/>
      <c r="M74" s="42"/>
      <c r="N74" s="42"/>
      <c r="O74" s="42"/>
      <c r="P74" s="42"/>
      <c r="Q74" s="42"/>
      <c r="R74" s="42"/>
    </row>
    <row r="75" spans="2:21" x14ac:dyDescent="0.2">
      <c r="F75" s="41"/>
      <c r="J75" s="64"/>
      <c r="L75" s="42"/>
      <c r="M75" s="42"/>
      <c r="N75" s="42"/>
      <c r="O75" s="42"/>
      <c r="P75" s="42"/>
      <c r="Q75" s="42"/>
      <c r="R75" s="42"/>
    </row>
    <row r="76" spans="2:21" x14ac:dyDescent="0.2">
      <c r="B76" s="40" t="s">
        <v>89</v>
      </c>
      <c r="F76" s="41"/>
      <c r="J76" s="64"/>
      <c r="L76" s="42"/>
      <c r="M76" s="42"/>
      <c r="N76" s="42"/>
      <c r="O76" s="42"/>
      <c r="P76" s="42"/>
      <c r="Q76" s="42"/>
      <c r="R76" s="42"/>
    </row>
    <row r="77" spans="2:21" ht="15" x14ac:dyDescent="0.25">
      <c r="B77" s="2" t="s">
        <v>90</v>
      </c>
      <c r="F77" s="41" t="s">
        <v>76</v>
      </c>
      <c r="J77" s="64"/>
      <c r="L77" s="143">
        <v>0</v>
      </c>
      <c r="M77" s="143"/>
      <c r="N77" s="143"/>
      <c r="O77" s="143"/>
      <c r="P77" s="143">
        <v>1008</v>
      </c>
      <c r="Q77" s="143"/>
      <c r="R77" s="143"/>
      <c r="U77"/>
    </row>
    <row r="78" spans="2:21" ht="15" x14ac:dyDescent="0.25">
      <c r="B78" s="2" t="s">
        <v>91</v>
      </c>
      <c r="F78" s="41" t="s">
        <v>76</v>
      </c>
      <c r="J78" s="64"/>
      <c r="L78" s="143"/>
      <c r="M78" s="143"/>
      <c r="N78" s="143"/>
      <c r="O78" s="143"/>
      <c r="P78" s="143"/>
      <c r="Q78" s="143"/>
      <c r="R78" s="143"/>
      <c r="U78"/>
    </row>
    <row r="79" spans="2:21" ht="15" x14ac:dyDescent="0.25">
      <c r="F79" s="41"/>
      <c r="J79" s="64"/>
      <c r="L79" s="42"/>
      <c r="M79" s="42"/>
      <c r="N79" s="42"/>
      <c r="O79" s="42"/>
      <c r="P79" s="42"/>
      <c r="Q79" s="42"/>
      <c r="R79" s="42"/>
      <c r="U79"/>
    </row>
    <row r="80" spans="2:21" ht="15" x14ac:dyDescent="0.25">
      <c r="B80" s="2" t="s">
        <v>94</v>
      </c>
      <c r="F80" s="41" t="s">
        <v>76</v>
      </c>
      <c r="J80" s="64"/>
      <c r="L80" s="143"/>
      <c r="M80" s="143"/>
      <c r="N80" s="113">
        <f>10338+1049.91521126124</f>
        <v>11387.915211261239</v>
      </c>
      <c r="O80" s="143">
        <v>2675</v>
      </c>
      <c r="P80" s="143"/>
      <c r="Q80" s="143">
        <v>524</v>
      </c>
      <c r="R80" s="143"/>
      <c r="U80"/>
    </row>
    <row r="81" spans="2:21" x14ac:dyDescent="0.25">
      <c r="J81" s="66"/>
    </row>
    <row r="82" spans="2:21" s="8" customFormat="1" x14ac:dyDescent="0.25">
      <c r="B82" s="8" t="s">
        <v>106</v>
      </c>
    </row>
    <row r="84" spans="2:21" x14ac:dyDescent="0.25">
      <c r="B84" s="40" t="s">
        <v>73</v>
      </c>
    </row>
    <row r="86" spans="2:21" x14ac:dyDescent="0.25">
      <c r="B86" s="40" t="s">
        <v>74</v>
      </c>
      <c r="J86" s="66"/>
    </row>
    <row r="87" spans="2:21" x14ac:dyDescent="0.2">
      <c r="B87" s="2" t="s">
        <v>75</v>
      </c>
      <c r="F87" s="41" t="s">
        <v>76</v>
      </c>
      <c r="J87" s="64"/>
      <c r="L87" s="143"/>
      <c r="M87" s="143"/>
      <c r="N87" s="143"/>
      <c r="O87" s="143"/>
      <c r="P87" s="143"/>
      <c r="Q87" s="143"/>
      <c r="R87" s="143"/>
      <c r="U87" s="2" t="s">
        <v>181</v>
      </c>
    </row>
    <row r="88" spans="2:21" ht="15" x14ac:dyDescent="0.25">
      <c r="B88" s="2" t="s">
        <v>77</v>
      </c>
      <c r="F88" s="41" t="s">
        <v>76</v>
      </c>
      <c r="J88" s="64"/>
      <c r="L88" s="143"/>
      <c r="M88" s="143"/>
      <c r="N88" s="143"/>
      <c r="O88" s="143"/>
      <c r="P88" s="143"/>
      <c r="Q88" s="143"/>
      <c r="R88" s="143"/>
      <c r="U88"/>
    </row>
    <row r="89" spans="2:21" ht="15" x14ac:dyDescent="0.25">
      <c r="B89" s="2" t="s">
        <v>78</v>
      </c>
      <c r="F89" s="41" t="s">
        <v>76</v>
      </c>
      <c r="J89" s="64"/>
      <c r="L89" s="143"/>
      <c r="M89" s="143"/>
      <c r="N89" s="143"/>
      <c r="O89" s="143"/>
      <c r="P89" s="143"/>
      <c r="Q89" s="143"/>
      <c r="R89" s="143"/>
      <c r="U89"/>
    </row>
    <row r="90" spans="2:21" ht="15" x14ac:dyDescent="0.25">
      <c r="B90" s="2" t="s">
        <v>79</v>
      </c>
      <c r="F90" s="41" t="s">
        <v>76</v>
      </c>
      <c r="J90" s="64"/>
      <c r="L90" s="143"/>
      <c r="M90" s="143"/>
      <c r="N90" s="143"/>
      <c r="O90" s="143"/>
      <c r="P90" s="143"/>
      <c r="Q90" s="143"/>
      <c r="R90" s="143"/>
      <c r="U90"/>
    </row>
    <row r="91" spans="2:21" ht="15" x14ac:dyDescent="0.25">
      <c r="B91" s="2" t="s">
        <v>80</v>
      </c>
      <c r="F91" s="41" t="s">
        <v>76</v>
      </c>
      <c r="J91" s="64"/>
      <c r="L91" s="143"/>
      <c r="M91" s="143"/>
      <c r="N91" s="143"/>
      <c r="O91" s="143"/>
      <c r="P91" s="143"/>
      <c r="Q91" s="143"/>
      <c r="R91" s="143"/>
      <c r="U91"/>
    </row>
    <row r="92" spans="2:21" ht="15" x14ac:dyDescent="0.25">
      <c r="B92" s="2" t="s">
        <v>81</v>
      </c>
      <c r="F92" s="41" t="s">
        <v>76</v>
      </c>
      <c r="J92" s="64"/>
      <c r="L92" s="143"/>
      <c r="M92" s="143"/>
      <c r="N92" s="143"/>
      <c r="O92" s="143"/>
      <c r="P92" s="143"/>
      <c r="Q92" s="143">
        <v>0.31506849315068491</v>
      </c>
      <c r="R92" s="143"/>
      <c r="U92"/>
    </row>
    <row r="93" spans="2:21" x14ac:dyDescent="0.2">
      <c r="F93" s="41"/>
      <c r="J93" s="64"/>
      <c r="L93" s="42"/>
      <c r="M93" s="42"/>
      <c r="N93" s="42"/>
      <c r="O93" s="42"/>
      <c r="P93" s="42"/>
      <c r="Q93" s="42"/>
      <c r="R93" s="42"/>
    </row>
    <row r="94" spans="2:21" x14ac:dyDescent="0.2">
      <c r="B94" s="40" t="s">
        <v>82</v>
      </c>
      <c r="F94" s="41"/>
      <c r="J94" s="64"/>
      <c r="L94" s="42"/>
      <c r="M94" s="42"/>
      <c r="N94" s="42"/>
      <c r="O94" s="42"/>
      <c r="P94" s="42"/>
      <c r="Q94" s="42"/>
      <c r="R94" s="42"/>
    </row>
    <row r="95" spans="2:21" ht="15" x14ac:dyDescent="0.25">
      <c r="B95" s="2" t="s">
        <v>83</v>
      </c>
      <c r="F95" s="41" t="s">
        <v>76</v>
      </c>
      <c r="J95" s="64"/>
      <c r="L95" s="143"/>
      <c r="M95" s="143"/>
      <c r="N95" s="143"/>
      <c r="O95" s="143"/>
      <c r="P95" s="143"/>
      <c r="Q95" s="143"/>
      <c r="R95" s="143"/>
      <c r="U95"/>
    </row>
    <row r="96" spans="2:21" ht="15" x14ac:dyDescent="0.25">
      <c r="B96" s="2" t="s">
        <v>84</v>
      </c>
      <c r="F96" s="41" t="s">
        <v>76</v>
      </c>
      <c r="J96" s="64"/>
      <c r="L96" s="143"/>
      <c r="M96" s="143"/>
      <c r="N96" s="143"/>
      <c r="O96" s="143">
        <v>1</v>
      </c>
      <c r="P96" s="143"/>
      <c r="Q96" s="143"/>
      <c r="R96" s="143"/>
      <c r="U96"/>
    </row>
    <row r="97" spans="2:21" ht="15" x14ac:dyDescent="0.25">
      <c r="B97" s="2" t="s">
        <v>85</v>
      </c>
      <c r="F97" s="41" t="s">
        <v>76</v>
      </c>
      <c r="J97" s="64"/>
      <c r="L97" s="143"/>
      <c r="M97" s="143"/>
      <c r="N97" s="143"/>
      <c r="O97" s="143"/>
      <c r="P97" s="143"/>
      <c r="Q97" s="143"/>
      <c r="R97" s="143"/>
      <c r="U97"/>
    </row>
    <row r="98" spans="2:21" ht="15" x14ac:dyDescent="0.25">
      <c r="B98" s="2" t="s">
        <v>86</v>
      </c>
      <c r="F98" s="41" t="s">
        <v>76</v>
      </c>
      <c r="J98" s="64"/>
      <c r="L98" s="143"/>
      <c r="M98" s="143"/>
      <c r="N98" s="143"/>
      <c r="O98" s="143"/>
      <c r="P98" s="143"/>
      <c r="Q98" s="143"/>
      <c r="R98" s="143"/>
      <c r="U98"/>
    </row>
    <row r="99" spans="2:21" ht="15" x14ac:dyDescent="0.25">
      <c r="B99" s="2" t="s">
        <v>87</v>
      </c>
      <c r="F99" s="41" t="s">
        <v>76</v>
      </c>
      <c r="J99" s="64"/>
      <c r="L99" s="143"/>
      <c r="M99" s="143"/>
      <c r="N99" s="143"/>
      <c r="O99" s="143"/>
      <c r="P99" s="143"/>
      <c r="Q99" s="143"/>
      <c r="R99" s="143"/>
      <c r="U99"/>
    </row>
    <row r="100" spans="2:21" x14ac:dyDescent="0.2">
      <c r="F100" s="41"/>
      <c r="J100" s="64"/>
      <c r="L100" s="42"/>
      <c r="M100" s="42"/>
      <c r="N100" s="42"/>
      <c r="O100" s="42"/>
      <c r="P100" s="42"/>
      <c r="Q100" s="42"/>
      <c r="R100" s="42"/>
    </row>
    <row r="101" spans="2:21" x14ac:dyDescent="0.2">
      <c r="B101" s="40" t="s">
        <v>88</v>
      </c>
      <c r="F101" s="41"/>
      <c r="J101" s="64"/>
      <c r="L101" s="42"/>
      <c r="M101" s="42"/>
      <c r="N101" s="42"/>
      <c r="O101" s="42"/>
      <c r="P101" s="42"/>
      <c r="Q101" s="42"/>
      <c r="R101" s="42"/>
    </row>
    <row r="102" spans="2:21" x14ac:dyDescent="0.2">
      <c r="F102" s="41"/>
      <c r="J102" s="64"/>
      <c r="L102" s="42"/>
      <c r="M102" s="42"/>
      <c r="N102" s="42"/>
      <c r="O102" s="42"/>
      <c r="P102" s="42"/>
      <c r="Q102" s="42"/>
      <c r="R102" s="42"/>
    </row>
    <row r="103" spans="2:21" ht="15" x14ac:dyDescent="0.25">
      <c r="B103" s="40" t="s">
        <v>89</v>
      </c>
      <c r="F103" s="41"/>
      <c r="J103" s="65"/>
      <c r="L103"/>
      <c r="M103"/>
      <c r="N103"/>
      <c r="O103"/>
      <c r="P103"/>
      <c r="Q103"/>
      <c r="R103"/>
    </row>
    <row r="104" spans="2:21" ht="15" x14ac:dyDescent="0.25">
      <c r="B104" s="2" t="s">
        <v>90</v>
      </c>
      <c r="F104" s="41" t="s">
        <v>76</v>
      </c>
      <c r="J104" s="64"/>
      <c r="L104" s="143">
        <v>1</v>
      </c>
      <c r="M104" s="143"/>
      <c r="N104" s="143"/>
      <c r="O104" s="143"/>
      <c r="P104" s="143">
        <v>1</v>
      </c>
      <c r="Q104" s="143"/>
      <c r="R104" s="143"/>
      <c r="U104"/>
    </row>
    <row r="105" spans="2:21" ht="15" x14ac:dyDescent="0.25">
      <c r="B105" s="2" t="s">
        <v>91</v>
      </c>
      <c r="F105" s="41" t="s">
        <v>76</v>
      </c>
      <c r="J105" s="64"/>
      <c r="L105" s="143"/>
      <c r="M105" s="143"/>
      <c r="N105" s="143"/>
      <c r="O105" s="143"/>
      <c r="P105" s="143"/>
      <c r="Q105" s="143"/>
      <c r="R105" s="143"/>
      <c r="U105"/>
    </row>
    <row r="106" spans="2:21" ht="15" x14ac:dyDescent="0.25">
      <c r="F106" s="41"/>
      <c r="J106" s="64"/>
      <c r="L106" s="42"/>
      <c r="M106" s="42"/>
      <c r="N106" s="42"/>
      <c r="O106" s="42"/>
      <c r="P106" s="42"/>
      <c r="Q106" s="42"/>
      <c r="R106" s="42"/>
      <c r="U106"/>
    </row>
    <row r="107" spans="2:21" ht="15" x14ac:dyDescent="0.25">
      <c r="B107" s="2" t="s">
        <v>92</v>
      </c>
      <c r="F107" s="41" t="s">
        <v>76</v>
      </c>
      <c r="J107" s="64"/>
      <c r="L107" s="143"/>
      <c r="M107" s="143"/>
      <c r="N107" s="113">
        <f>11+1.99993334690031</f>
        <v>12.99993334690031</v>
      </c>
      <c r="O107" s="143">
        <v>6.75</v>
      </c>
      <c r="P107" s="143"/>
      <c r="Q107" s="143">
        <v>3</v>
      </c>
      <c r="R107" s="143"/>
      <c r="U107"/>
    </row>
    <row r="108" spans="2:21" x14ac:dyDescent="0.2">
      <c r="F108" s="41"/>
      <c r="J108" s="64"/>
      <c r="L108" s="42"/>
      <c r="M108" s="42"/>
      <c r="N108" s="42"/>
      <c r="O108" s="42"/>
      <c r="P108" s="42"/>
      <c r="Q108" s="42"/>
      <c r="R108" s="42"/>
    </row>
    <row r="109" spans="2:21" x14ac:dyDescent="0.2">
      <c r="B109" s="40" t="s">
        <v>93</v>
      </c>
      <c r="F109" s="41"/>
      <c r="J109" s="64"/>
      <c r="L109" s="42"/>
      <c r="M109" s="42"/>
      <c r="N109" s="42"/>
      <c r="O109" s="42"/>
      <c r="P109" s="42"/>
      <c r="Q109" s="42"/>
      <c r="R109" s="42"/>
    </row>
    <row r="110" spans="2:21" x14ac:dyDescent="0.2">
      <c r="F110" s="41"/>
      <c r="J110" s="64"/>
      <c r="L110" s="42"/>
      <c r="M110" s="42"/>
      <c r="N110" s="42"/>
      <c r="O110" s="42"/>
      <c r="P110" s="42"/>
      <c r="Q110" s="42"/>
      <c r="R110" s="42"/>
    </row>
    <row r="111" spans="2:21" x14ac:dyDescent="0.2">
      <c r="B111" s="40" t="s">
        <v>89</v>
      </c>
      <c r="F111" s="41"/>
      <c r="J111" s="64"/>
      <c r="L111" s="42"/>
      <c r="M111" s="42"/>
      <c r="N111" s="42"/>
      <c r="O111" s="42"/>
      <c r="P111" s="42"/>
      <c r="Q111" s="42"/>
      <c r="R111" s="42"/>
    </row>
    <row r="112" spans="2:21" ht="15" x14ac:dyDescent="0.25">
      <c r="B112" s="2" t="s">
        <v>90</v>
      </c>
      <c r="F112" s="41" t="s">
        <v>76</v>
      </c>
      <c r="J112" s="64"/>
      <c r="L112" s="143">
        <v>0</v>
      </c>
      <c r="M112" s="143"/>
      <c r="N112" s="143"/>
      <c r="O112" s="143"/>
      <c r="P112" s="143">
        <v>1135</v>
      </c>
      <c r="Q112" s="143"/>
      <c r="R112" s="143"/>
      <c r="U112"/>
    </row>
    <row r="113" spans="1:21" ht="15" x14ac:dyDescent="0.25">
      <c r="B113" s="2" t="s">
        <v>91</v>
      </c>
      <c r="F113" s="41" t="s">
        <v>76</v>
      </c>
      <c r="J113" s="64"/>
      <c r="L113" s="143"/>
      <c r="M113" s="143"/>
      <c r="N113" s="143"/>
      <c r="O113" s="143"/>
      <c r="P113" s="143"/>
      <c r="Q113" s="143"/>
      <c r="R113" s="143"/>
      <c r="U113"/>
    </row>
    <row r="114" spans="1:21" ht="15" x14ac:dyDescent="0.25">
      <c r="F114" s="41"/>
      <c r="J114" s="64"/>
      <c r="L114" s="42"/>
      <c r="M114" s="42"/>
      <c r="N114" s="42"/>
      <c r="O114" s="42"/>
      <c r="P114" s="42"/>
      <c r="Q114" s="42"/>
      <c r="R114" s="42"/>
      <c r="U114"/>
    </row>
    <row r="115" spans="1:21" ht="15" x14ac:dyDescent="0.25">
      <c r="B115" s="2" t="s">
        <v>94</v>
      </c>
      <c r="F115" s="41" t="s">
        <v>76</v>
      </c>
      <c r="J115" s="64"/>
      <c r="L115" s="143"/>
      <c r="M115" s="143"/>
      <c r="N115" s="113">
        <f>9368+1049.96500712266</f>
        <v>10417.965007122661</v>
      </c>
      <c r="O115" s="143">
        <v>3125</v>
      </c>
      <c r="P115" s="143"/>
      <c r="Q115" s="143">
        <v>524</v>
      </c>
      <c r="R115" s="143"/>
      <c r="U115"/>
    </row>
    <row r="117" spans="1:21" s="8" customFormat="1" x14ac:dyDescent="0.25">
      <c r="B117" s="48" t="s">
        <v>95</v>
      </c>
      <c r="L117" s="47"/>
      <c r="M117" s="47"/>
      <c r="N117" s="47"/>
      <c r="O117" s="47"/>
      <c r="P117" s="47"/>
      <c r="Q117" s="47"/>
      <c r="R117" s="47"/>
    </row>
    <row r="118" spans="1:21" customFormat="1" ht="15" x14ac:dyDescent="0.25">
      <c r="A118" s="41"/>
      <c r="B118" s="41"/>
      <c r="C118" s="41"/>
      <c r="D118" s="41"/>
      <c r="E118" s="41"/>
      <c r="F118" s="43"/>
      <c r="G118" s="41"/>
      <c r="H118" s="42"/>
      <c r="I118" s="42"/>
      <c r="J118" s="42"/>
      <c r="K118" s="42"/>
      <c r="L118" s="42"/>
      <c r="M118" s="42"/>
      <c r="N118" s="42"/>
    </row>
    <row r="119" spans="1:21" customFormat="1" ht="15" x14ac:dyDescent="0.25">
      <c r="B119" s="40" t="s">
        <v>73</v>
      </c>
      <c r="C119" s="41"/>
      <c r="D119" s="41"/>
      <c r="E119" s="41"/>
      <c r="F119" s="43"/>
      <c r="G119" s="41"/>
      <c r="H119" s="42"/>
      <c r="I119" s="42"/>
      <c r="J119" s="42"/>
      <c r="K119" s="42"/>
      <c r="L119" s="42"/>
      <c r="M119" s="42"/>
      <c r="N119" s="42"/>
    </row>
    <row r="120" spans="1:21" customFormat="1" ht="15" x14ac:dyDescent="0.25">
      <c r="B120" s="41"/>
      <c r="C120" s="41"/>
      <c r="D120" s="41"/>
      <c r="E120" s="41"/>
      <c r="F120" s="43"/>
      <c r="G120" s="41"/>
      <c r="H120" s="42"/>
      <c r="I120" s="42"/>
      <c r="J120" s="42"/>
      <c r="K120" s="42"/>
      <c r="L120" s="42"/>
      <c r="M120" s="42"/>
      <c r="N120" s="42"/>
    </row>
    <row r="121" spans="1:21" customFormat="1" ht="15" x14ac:dyDescent="0.25">
      <c r="B121" s="40" t="s">
        <v>74</v>
      </c>
      <c r="C121" s="41"/>
      <c r="D121" s="41"/>
      <c r="E121" s="41"/>
      <c r="F121" s="43"/>
      <c r="G121" s="41"/>
      <c r="H121" s="42"/>
      <c r="I121" s="42"/>
      <c r="J121" s="42"/>
      <c r="K121" s="42"/>
      <c r="L121" s="42"/>
      <c r="M121" s="42"/>
      <c r="N121" s="42"/>
    </row>
    <row r="122" spans="1:21" customFormat="1" ht="15" x14ac:dyDescent="0.25">
      <c r="B122" s="41" t="s">
        <v>75</v>
      </c>
      <c r="C122" s="2"/>
      <c r="D122" s="2"/>
      <c r="E122" s="41"/>
      <c r="F122" s="41" t="s">
        <v>76</v>
      </c>
      <c r="G122" s="2"/>
      <c r="H122" s="2"/>
      <c r="I122" s="2"/>
      <c r="J122" s="64"/>
      <c r="K122" s="41"/>
      <c r="L122" s="55">
        <f t="shared" ref="L122:R122" si="0">SUM(L17,L52,L87)/3</f>
        <v>0</v>
      </c>
      <c r="M122" s="55">
        <f t="shared" si="0"/>
        <v>0</v>
      </c>
      <c r="N122" s="55">
        <f t="shared" si="0"/>
        <v>0</v>
      </c>
      <c r="O122" s="55">
        <f t="shared" si="0"/>
        <v>0</v>
      </c>
      <c r="P122" s="55">
        <f t="shared" si="0"/>
        <v>0</v>
      </c>
      <c r="Q122" s="55">
        <f t="shared" si="0"/>
        <v>0</v>
      </c>
      <c r="R122" s="55">
        <f t="shared" si="0"/>
        <v>0</v>
      </c>
    </row>
    <row r="123" spans="1:21" customFormat="1" ht="15" x14ac:dyDescent="0.25">
      <c r="B123" s="41" t="s">
        <v>77</v>
      </c>
      <c r="C123" s="2"/>
      <c r="D123" s="2"/>
      <c r="E123" s="41"/>
      <c r="F123" s="41" t="s">
        <v>76</v>
      </c>
      <c r="G123" s="2"/>
      <c r="H123" s="2"/>
      <c r="I123" s="2"/>
      <c r="J123" s="64"/>
      <c r="K123" s="41"/>
      <c r="L123" s="55">
        <f t="shared" ref="L123:R123" si="1">SUM(L18,L53,L88)/3</f>
        <v>0</v>
      </c>
      <c r="M123" s="55">
        <f t="shared" si="1"/>
        <v>0</v>
      </c>
      <c r="N123" s="55">
        <f t="shared" si="1"/>
        <v>0</v>
      </c>
      <c r="O123" s="55">
        <f t="shared" si="1"/>
        <v>0</v>
      </c>
      <c r="P123" s="55">
        <f t="shared" si="1"/>
        <v>0</v>
      </c>
      <c r="Q123" s="55">
        <f t="shared" si="1"/>
        <v>0</v>
      </c>
      <c r="R123" s="55">
        <f t="shared" si="1"/>
        <v>0</v>
      </c>
    </row>
    <row r="124" spans="1:21" customFormat="1" ht="15" x14ac:dyDescent="0.25">
      <c r="B124" s="41" t="s">
        <v>78</v>
      </c>
      <c r="C124" s="2"/>
      <c r="D124" s="2"/>
      <c r="E124" s="41"/>
      <c r="F124" s="41" t="s">
        <v>76</v>
      </c>
      <c r="G124" s="2"/>
      <c r="H124" s="2"/>
      <c r="I124" s="2"/>
      <c r="J124" s="64"/>
      <c r="K124" s="41"/>
      <c r="L124" s="55">
        <f t="shared" ref="L124:R124" si="2">SUM(L19,L54,L89)/3</f>
        <v>0</v>
      </c>
      <c r="M124" s="55">
        <f t="shared" si="2"/>
        <v>0</v>
      </c>
      <c r="N124" s="55">
        <f t="shared" si="2"/>
        <v>0</v>
      </c>
      <c r="O124" s="55">
        <f t="shared" si="2"/>
        <v>0</v>
      </c>
      <c r="P124" s="55">
        <f t="shared" si="2"/>
        <v>0</v>
      </c>
      <c r="Q124" s="55">
        <f t="shared" si="2"/>
        <v>0</v>
      </c>
      <c r="R124" s="55">
        <f t="shared" si="2"/>
        <v>0</v>
      </c>
    </row>
    <row r="125" spans="1:21" customFormat="1" ht="15" x14ac:dyDescent="0.25">
      <c r="B125" s="41" t="s">
        <v>79</v>
      </c>
      <c r="C125" s="2"/>
      <c r="D125" s="2"/>
      <c r="E125" s="41"/>
      <c r="F125" s="41" t="s">
        <v>76</v>
      </c>
      <c r="G125" s="2"/>
      <c r="H125" s="2"/>
      <c r="I125" s="2"/>
      <c r="J125" s="64"/>
      <c r="K125" s="41"/>
      <c r="L125" s="55">
        <f t="shared" ref="L125:R125" si="3">SUM(L20,L55,L90)/3</f>
        <v>0</v>
      </c>
      <c r="M125" s="55">
        <f t="shared" si="3"/>
        <v>0</v>
      </c>
      <c r="N125" s="55">
        <f t="shared" si="3"/>
        <v>0</v>
      </c>
      <c r="O125" s="55">
        <f t="shared" si="3"/>
        <v>0</v>
      </c>
      <c r="P125" s="55">
        <f t="shared" si="3"/>
        <v>0</v>
      </c>
      <c r="Q125" s="55">
        <f t="shared" si="3"/>
        <v>0</v>
      </c>
      <c r="R125" s="55">
        <f t="shared" si="3"/>
        <v>0</v>
      </c>
    </row>
    <row r="126" spans="1:21" customFormat="1" ht="15" x14ac:dyDescent="0.25">
      <c r="B126" s="41" t="s">
        <v>80</v>
      </c>
      <c r="C126" s="2"/>
      <c r="D126" s="2"/>
      <c r="E126" s="41"/>
      <c r="F126" s="41" t="s">
        <v>76</v>
      </c>
      <c r="G126" s="2"/>
      <c r="H126" s="2"/>
      <c r="I126" s="2"/>
      <c r="J126" s="64"/>
      <c r="K126" s="41"/>
      <c r="L126" s="55">
        <f t="shared" ref="L126:R126" si="4">SUM(L21,L56,L91)/3</f>
        <v>0</v>
      </c>
      <c r="M126" s="55">
        <f t="shared" si="4"/>
        <v>0</v>
      </c>
      <c r="N126" s="55">
        <f t="shared" si="4"/>
        <v>0</v>
      </c>
      <c r="O126" s="55">
        <f t="shared" si="4"/>
        <v>0</v>
      </c>
      <c r="P126" s="55">
        <f t="shared" si="4"/>
        <v>0</v>
      </c>
      <c r="Q126" s="55">
        <f t="shared" si="4"/>
        <v>0</v>
      </c>
      <c r="R126" s="55">
        <f t="shared" si="4"/>
        <v>0</v>
      </c>
    </row>
    <row r="127" spans="1:21" customFormat="1" ht="15" x14ac:dyDescent="0.25">
      <c r="B127" s="41" t="s">
        <v>81</v>
      </c>
      <c r="C127" s="2"/>
      <c r="D127" s="2"/>
      <c r="E127" s="41"/>
      <c r="F127" s="41" t="s">
        <v>76</v>
      </c>
      <c r="G127" s="2"/>
      <c r="H127" s="2"/>
      <c r="I127" s="2"/>
      <c r="J127" s="64"/>
      <c r="K127" s="41"/>
      <c r="L127" s="55">
        <f t="shared" ref="L127:R127" si="5">SUM(L22,L57,L92)/3</f>
        <v>0</v>
      </c>
      <c r="M127" s="55">
        <f t="shared" si="5"/>
        <v>0</v>
      </c>
      <c r="N127" s="55">
        <f t="shared" si="5"/>
        <v>0</v>
      </c>
      <c r="O127" s="55">
        <f t="shared" si="5"/>
        <v>0</v>
      </c>
      <c r="P127" s="55">
        <f t="shared" si="5"/>
        <v>0</v>
      </c>
      <c r="Q127" s="55">
        <f t="shared" si="5"/>
        <v>0.1050228310502283</v>
      </c>
      <c r="R127" s="55">
        <f t="shared" si="5"/>
        <v>0</v>
      </c>
    </row>
    <row r="128" spans="1:21" customFormat="1" ht="15" x14ac:dyDescent="0.25">
      <c r="B128" s="41"/>
      <c r="C128" s="2"/>
      <c r="D128" s="2"/>
      <c r="E128" s="41"/>
      <c r="F128" s="41"/>
      <c r="G128" s="2"/>
      <c r="H128" s="2"/>
      <c r="I128" s="2"/>
      <c r="J128" s="64"/>
      <c r="K128" s="57"/>
      <c r="L128" s="58"/>
      <c r="M128" s="58"/>
      <c r="N128" s="58"/>
      <c r="O128" s="58"/>
      <c r="P128" s="58"/>
      <c r="Q128" s="58"/>
      <c r="R128" s="58"/>
    </row>
    <row r="129" spans="2:22" customFormat="1" ht="15" x14ac:dyDescent="0.25">
      <c r="B129" s="40" t="s">
        <v>82</v>
      </c>
      <c r="C129" s="2"/>
      <c r="D129" s="2"/>
      <c r="E129" s="41"/>
      <c r="F129" s="41"/>
      <c r="G129" s="2"/>
      <c r="H129" s="2"/>
      <c r="I129" s="2"/>
      <c r="J129" s="64"/>
      <c r="K129" s="57"/>
      <c r="L129" s="58"/>
      <c r="M129" s="58"/>
      <c r="N129" s="58"/>
      <c r="O129" s="58"/>
      <c r="P129" s="58"/>
      <c r="Q129" s="58"/>
      <c r="R129" s="58"/>
    </row>
    <row r="130" spans="2:22" customFormat="1" ht="15" x14ac:dyDescent="0.25">
      <c r="B130" s="41" t="s">
        <v>83</v>
      </c>
      <c r="C130" s="2"/>
      <c r="D130" s="2"/>
      <c r="E130" s="41"/>
      <c r="F130" s="41" t="s">
        <v>76</v>
      </c>
      <c r="G130" s="2"/>
      <c r="H130" s="2"/>
      <c r="I130" s="2"/>
      <c r="J130" s="64"/>
      <c r="K130" s="41"/>
      <c r="L130" s="55">
        <f t="shared" ref="L130:R130" si="6">SUM(L25,L60,L95)/3</f>
        <v>0</v>
      </c>
      <c r="M130" s="55">
        <f t="shared" si="6"/>
        <v>0</v>
      </c>
      <c r="N130" s="55">
        <f t="shared" si="6"/>
        <v>0</v>
      </c>
      <c r="O130" s="55">
        <f t="shared" si="6"/>
        <v>0</v>
      </c>
      <c r="P130" s="55">
        <f t="shared" si="6"/>
        <v>0</v>
      </c>
      <c r="Q130" s="55">
        <f t="shared" si="6"/>
        <v>0</v>
      </c>
      <c r="R130" s="55">
        <f t="shared" si="6"/>
        <v>0</v>
      </c>
    </row>
    <row r="131" spans="2:22" customFormat="1" ht="15" x14ac:dyDescent="0.25">
      <c r="B131" s="41" t="s">
        <v>84</v>
      </c>
      <c r="C131" s="2"/>
      <c r="D131" s="2"/>
      <c r="E131" s="41"/>
      <c r="F131" s="41" t="s">
        <v>76</v>
      </c>
      <c r="G131" s="2"/>
      <c r="H131" s="2"/>
      <c r="I131" s="2"/>
      <c r="J131" s="64"/>
      <c r="K131" s="41"/>
      <c r="L131" s="55">
        <f t="shared" ref="L131:R131" si="7">SUM(L26,L61,L96)/3</f>
        <v>0</v>
      </c>
      <c r="M131" s="55">
        <f t="shared" si="7"/>
        <v>0</v>
      </c>
      <c r="N131" s="55">
        <f t="shared" si="7"/>
        <v>0</v>
      </c>
      <c r="O131" s="55">
        <f t="shared" si="7"/>
        <v>0.33333333333333331</v>
      </c>
      <c r="P131" s="55">
        <f t="shared" si="7"/>
        <v>0</v>
      </c>
      <c r="Q131" s="55">
        <f t="shared" si="7"/>
        <v>0</v>
      </c>
      <c r="R131" s="55">
        <f t="shared" si="7"/>
        <v>0</v>
      </c>
    </row>
    <row r="132" spans="2:22" customFormat="1" ht="15" x14ac:dyDescent="0.25">
      <c r="B132" s="41" t="s">
        <v>85</v>
      </c>
      <c r="C132" s="2"/>
      <c r="D132" s="2"/>
      <c r="E132" s="41"/>
      <c r="F132" s="41" t="s">
        <v>76</v>
      </c>
      <c r="G132" s="2"/>
      <c r="H132" s="2"/>
      <c r="I132" s="2"/>
      <c r="J132" s="64"/>
      <c r="K132" s="41"/>
      <c r="L132" s="55">
        <f t="shared" ref="L132:R132" si="8">SUM(L27,L62,L97)/3</f>
        <v>0</v>
      </c>
      <c r="M132" s="55">
        <f t="shared" si="8"/>
        <v>0</v>
      </c>
      <c r="N132" s="55">
        <f t="shared" si="8"/>
        <v>0</v>
      </c>
      <c r="O132" s="55">
        <f t="shared" si="8"/>
        <v>0</v>
      </c>
      <c r="P132" s="55">
        <f t="shared" si="8"/>
        <v>0</v>
      </c>
      <c r="Q132" s="55">
        <f t="shared" si="8"/>
        <v>0</v>
      </c>
      <c r="R132" s="55">
        <f t="shared" si="8"/>
        <v>0</v>
      </c>
    </row>
    <row r="133" spans="2:22" customFormat="1" ht="15" x14ac:dyDescent="0.25">
      <c r="B133" s="41" t="s">
        <v>86</v>
      </c>
      <c r="C133" s="2"/>
      <c r="D133" s="2"/>
      <c r="E133" s="41"/>
      <c r="F133" s="41" t="s">
        <v>76</v>
      </c>
      <c r="G133" s="2"/>
      <c r="H133" s="2"/>
      <c r="I133" s="2"/>
      <c r="J133" s="64"/>
      <c r="K133" s="41"/>
      <c r="L133" s="55">
        <f t="shared" ref="L133:R133" si="9">SUM(L28,L63,L98)/3</f>
        <v>0</v>
      </c>
      <c r="M133" s="55">
        <f t="shared" si="9"/>
        <v>0</v>
      </c>
      <c r="N133" s="55">
        <f t="shared" si="9"/>
        <v>0</v>
      </c>
      <c r="O133" s="55">
        <f t="shared" si="9"/>
        <v>0</v>
      </c>
      <c r="P133" s="55">
        <f t="shared" si="9"/>
        <v>0</v>
      </c>
      <c r="Q133" s="55">
        <f t="shared" si="9"/>
        <v>0</v>
      </c>
      <c r="R133" s="55">
        <f t="shared" si="9"/>
        <v>0</v>
      </c>
    </row>
    <row r="134" spans="2:22" customFormat="1" ht="15" x14ac:dyDescent="0.25">
      <c r="B134" s="41" t="s">
        <v>87</v>
      </c>
      <c r="C134" s="2"/>
      <c r="D134" s="2"/>
      <c r="E134" s="41"/>
      <c r="F134" s="41" t="s">
        <v>76</v>
      </c>
      <c r="G134" s="2"/>
      <c r="H134" s="2"/>
      <c r="I134" s="2"/>
      <c r="J134" s="64"/>
      <c r="K134" s="41"/>
      <c r="L134" s="55">
        <f t="shared" ref="L134:R134" si="10">SUM(L29,L64,L99)/3</f>
        <v>0</v>
      </c>
      <c r="M134" s="55">
        <f t="shared" si="10"/>
        <v>0</v>
      </c>
      <c r="N134" s="55">
        <f t="shared" si="10"/>
        <v>0</v>
      </c>
      <c r="O134" s="55">
        <f t="shared" si="10"/>
        <v>0</v>
      </c>
      <c r="P134" s="55">
        <f t="shared" si="10"/>
        <v>0</v>
      </c>
      <c r="Q134" s="55">
        <f t="shared" si="10"/>
        <v>0</v>
      </c>
      <c r="R134" s="55">
        <f t="shared" si="10"/>
        <v>0</v>
      </c>
    </row>
    <row r="135" spans="2:22" customFormat="1" ht="15" x14ac:dyDescent="0.25">
      <c r="B135" s="41"/>
      <c r="C135" s="2"/>
      <c r="D135" s="2"/>
      <c r="E135" s="41"/>
      <c r="F135" s="41"/>
      <c r="G135" s="2"/>
      <c r="H135" s="2"/>
      <c r="I135" s="2"/>
      <c r="J135" s="64"/>
      <c r="K135" s="57"/>
      <c r="L135" s="58"/>
      <c r="M135" s="58"/>
      <c r="N135" s="58"/>
      <c r="O135" s="58"/>
      <c r="P135" s="58"/>
      <c r="Q135" s="58"/>
      <c r="R135" s="58"/>
      <c r="S135" s="59"/>
      <c r="T135" s="59"/>
      <c r="U135" s="59"/>
      <c r="V135" s="59"/>
    </row>
    <row r="136" spans="2:22" customFormat="1" ht="15" x14ac:dyDescent="0.25">
      <c r="B136" s="40" t="s">
        <v>88</v>
      </c>
      <c r="C136" s="2"/>
      <c r="D136" s="2"/>
      <c r="E136" s="41"/>
      <c r="F136" s="41"/>
      <c r="G136" s="2"/>
      <c r="H136" s="2"/>
      <c r="I136" s="2"/>
      <c r="J136" s="64"/>
      <c r="K136" s="57"/>
      <c r="L136" s="58"/>
      <c r="M136" s="58"/>
      <c r="N136" s="58"/>
      <c r="O136" s="58"/>
      <c r="P136" s="58"/>
      <c r="Q136" s="58"/>
      <c r="R136" s="58"/>
      <c r="S136" s="59"/>
      <c r="T136" s="59"/>
      <c r="U136" s="59"/>
      <c r="V136" s="59"/>
    </row>
    <row r="137" spans="2:22" customFormat="1" ht="15" x14ac:dyDescent="0.25">
      <c r="B137" s="41"/>
      <c r="C137" s="2"/>
      <c r="D137" s="2"/>
      <c r="E137" s="41"/>
      <c r="F137" s="41"/>
      <c r="G137" s="2"/>
      <c r="H137" s="2"/>
      <c r="I137" s="2"/>
      <c r="J137" s="64"/>
      <c r="K137" s="57"/>
      <c r="L137" s="58"/>
      <c r="M137" s="58"/>
      <c r="N137" s="58"/>
      <c r="O137" s="58"/>
      <c r="P137" s="58"/>
      <c r="Q137" s="58"/>
      <c r="R137" s="58"/>
      <c r="S137" s="59"/>
      <c r="T137" s="59"/>
      <c r="U137" s="59"/>
      <c r="V137" s="59"/>
    </row>
    <row r="138" spans="2:22" customFormat="1" ht="15" x14ac:dyDescent="0.25">
      <c r="B138" s="40" t="s">
        <v>89</v>
      </c>
      <c r="C138" s="2"/>
      <c r="D138" s="2"/>
      <c r="E138" s="41"/>
      <c r="F138" s="41"/>
      <c r="G138" s="2"/>
      <c r="H138" s="2"/>
      <c r="I138" s="2"/>
      <c r="J138" s="65"/>
      <c r="K138" s="57"/>
      <c r="L138" s="58"/>
      <c r="M138" s="58"/>
      <c r="N138" s="58"/>
      <c r="O138" s="58"/>
      <c r="P138" s="58"/>
      <c r="Q138" s="58"/>
      <c r="R138" s="58"/>
      <c r="S138" s="59"/>
      <c r="T138" s="59"/>
      <c r="U138" s="59"/>
      <c r="V138" s="59"/>
    </row>
    <row r="139" spans="2:22" customFormat="1" ht="15" x14ac:dyDescent="0.25">
      <c r="B139" s="41" t="s">
        <v>90</v>
      </c>
      <c r="C139" s="2"/>
      <c r="D139" s="2"/>
      <c r="E139" s="41"/>
      <c r="F139" s="41" t="s">
        <v>76</v>
      </c>
      <c r="G139" s="2"/>
      <c r="H139" s="2"/>
      <c r="I139" s="2"/>
      <c r="J139" s="64"/>
      <c r="K139" s="41"/>
      <c r="L139" s="55">
        <f t="shared" ref="L139:R139" si="11">SUM(L34,L69,L104)/3</f>
        <v>1</v>
      </c>
      <c r="M139" s="55">
        <f t="shared" si="11"/>
        <v>0</v>
      </c>
      <c r="N139" s="55">
        <f t="shared" si="11"/>
        <v>0</v>
      </c>
      <c r="O139" s="55">
        <f t="shared" si="11"/>
        <v>0</v>
      </c>
      <c r="P139" s="55">
        <f t="shared" si="11"/>
        <v>0.47333333333333333</v>
      </c>
      <c r="Q139" s="55">
        <f t="shared" si="11"/>
        <v>0</v>
      </c>
      <c r="R139" s="55">
        <f t="shared" si="11"/>
        <v>0</v>
      </c>
    </row>
    <row r="140" spans="2:22" customFormat="1" ht="15" x14ac:dyDescent="0.25">
      <c r="B140" s="41" t="s">
        <v>91</v>
      </c>
      <c r="C140" s="2"/>
      <c r="D140" s="2"/>
      <c r="E140" s="41"/>
      <c r="F140" s="41" t="s">
        <v>76</v>
      </c>
      <c r="G140" s="2"/>
      <c r="H140" s="2"/>
      <c r="I140" s="2"/>
      <c r="J140" s="64"/>
      <c r="K140" s="41"/>
      <c r="L140" s="55">
        <f t="shared" ref="L140:R140" si="12">SUM(L35,L70,L105)/3</f>
        <v>0</v>
      </c>
      <c r="M140" s="55">
        <f t="shared" si="12"/>
        <v>0</v>
      </c>
      <c r="N140" s="55">
        <f t="shared" si="12"/>
        <v>0</v>
      </c>
      <c r="O140" s="55">
        <f t="shared" si="12"/>
        <v>0</v>
      </c>
      <c r="P140" s="55">
        <f t="shared" si="12"/>
        <v>0</v>
      </c>
      <c r="Q140" s="55">
        <f t="shared" si="12"/>
        <v>0</v>
      </c>
      <c r="R140" s="55">
        <f t="shared" si="12"/>
        <v>0</v>
      </c>
    </row>
    <row r="141" spans="2:22" customFormat="1" ht="15" x14ac:dyDescent="0.25">
      <c r="C141" s="2"/>
      <c r="D141" s="2"/>
      <c r="E141" s="41"/>
      <c r="F141" s="41"/>
      <c r="G141" s="2"/>
      <c r="H141" s="2"/>
      <c r="I141" s="2"/>
      <c r="J141" s="64"/>
      <c r="K141" s="57"/>
      <c r="L141" s="58"/>
      <c r="M141" s="58"/>
      <c r="N141" s="58"/>
      <c r="O141" s="58"/>
      <c r="P141" s="58"/>
      <c r="Q141" s="58"/>
      <c r="R141" s="58"/>
      <c r="S141" s="59"/>
      <c r="T141" s="59"/>
    </row>
    <row r="142" spans="2:22" customFormat="1" ht="15" x14ac:dyDescent="0.25">
      <c r="B142" s="41" t="s">
        <v>92</v>
      </c>
      <c r="C142" s="2"/>
      <c r="D142" s="2"/>
      <c r="E142" s="41"/>
      <c r="F142" s="41" t="s">
        <v>76</v>
      </c>
      <c r="G142" s="2"/>
      <c r="H142" s="2"/>
      <c r="I142" s="2"/>
      <c r="J142" s="64"/>
      <c r="K142" s="41"/>
      <c r="L142" s="55">
        <f t="shared" ref="L142:R142" si="13">SUM(L37,L72,L107)/3</f>
        <v>0</v>
      </c>
      <c r="M142" s="55">
        <f t="shared" si="13"/>
        <v>0</v>
      </c>
      <c r="N142" s="55">
        <f t="shared" si="13"/>
        <v>11.967943271851601</v>
      </c>
      <c r="O142" s="55">
        <f t="shared" si="13"/>
        <v>6.583333333333333</v>
      </c>
      <c r="P142" s="55">
        <f t="shared" si="13"/>
        <v>0</v>
      </c>
      <c r="Q142" s="55">
        <f t="shared" si="13"/>
        <v>3</v>
      </c>
      <c r="R142" s="55">
        <f t="shared" si="13"/>
        <v>0</v>
      </c>
    </row>
    <row r="143" spans="2:22" customFormat="1" ht="15" x14ac:dyDescent="0.25">
      <c r="B143" s="41"/>
      <c r="C143" s="2"/>
      <c r="D143" s="2"/>
      <c r="E143" s="41"/>
      <c r="F143" s="41"/>
      <c r="G143" s="2"/>
      <c r="H143" s="2"/>
      <c r="I143" s="2"/>
      <c r="J143" s="64"/>
      <c r="K143" s="57"/>
      <c r="L143" s="58"/>
      <c r="M143" s="58"/>
      <c r="N143" s="58"/>
      <c r="O143" s="58"/>
      <c r="P143" s="58"/>
      <c r="Q143" s="58"/>
      <c r="R143" s="58"/>
      <c r="S143" s="59"/>
      <c r="T143" s="59"/>
    </row>
    <row r="144" spans="2:22" customFormat="1" ht="15" x14ac:dyDescent="0.25">
      <c r="B144" s="40" t="s">
        <v>93</v>
      </c>
      <c r="C144" s="2"/>
      <c r="D144" s="2"/>
      <c r="E144" s="41"/>
      <c r="F144" s="41"/>
      <c r="G144" s="2"/>
      <c r="H144" s="2"/>
      <c r="I144" s="2"/>
      <c r="J144" s="64"/>
      <c r="K144" s="57"/>
      <c r="L144" s="58"/>
      <c r="M144" s="58"/>
      <c r="N144" s="58"/>
      <c r="O144" s="58"/>
      <c r="P144" s="58"/>
      <c r="Q144" s="58"/>
      <c r="R144" s="58"/>
      <c r="S144" s="59"/>
      <c r="T144" s="59"/>
    </row>
    <row r="145" spans="1:21" customFormat="1" ht="15" x14ac:dyDescent="0.25">
      <c r="B145" s="41"/>
      <c r="C145" s="2"/>
      <c r="D145" s="2"/>
      <c r="E145" s="41"/>
      <c r="F145" s="41"/>
      <c r="G145" s="2"/>
      <c r="H145" s="2"/>
      <c r="I145" s="2"/>
      <c r="J145" s="64"/>
      <c r="K145" s="57"/>
      <c r="L145" s="58"/>
      <c r="M145" s="58"/>
      <c r="N145" s="58"/>
      <c r="O145" s="58"/>
      <c r="P145" s="58"/>
      <c r="Q145" s="58"/>
      <c r="R145" s="58"/>
      <c r="S145" s="59"/>
      <c r="T145" s="59"/>
    </row>
    <row r="146" spans="1:21" customFormat="1" ht="15" x14ac:dyDescent="0.25">
      <c r="B146" s="40" t="s">
        <v>89</v>
      </c>
      <c r="C146" s="2"/>
      <c r="D146" s="2"/>
      <c r="E146" s="41"/>
      <c r="F146" s="41"/>
      <c r="G146" s="2"/>
      <c r="H146" s="2"/>
      <c r="I146" s="2"/>
      <c r="J146" s="64"/>
      <c r="K146" s="57"/>
      <c r="L146" s="58"/>
      <c r="M146" s="58"/>
      <c r="N146" s="58"/>
      <c r="O146" s="58"/>
      <c r="P146" s="58"/>
      <c r="Q146" s="58"/>
      <c r="R146" s="58"/>
      <c r="S146" s="59"/>
      <c r="T146" s="59"/>
    </row>
    <row r="147" spans="1:21" customFormat="1" ht="15" x14ac:dyDescent="0.25">
      <c r="B147" s="41" t="s">
        <v>90</v>
      </c>
      <c r="C147" s="2"/>
      <c r="D147" s="2"/>
      <c r="E147" s="41"/>
      <c r="F147" s="41" t="s">
        <v>76</v>
      </c>
      <c r="G147" s="2"/>
      <c r="H147" s="2"/>
      <c r="I147" s="2"/>
      <c r="J147" s="64"/>
      <c r="K147" s="41"/>
      <c r="L147" s="55">
        <f t="shared" ref="L147:R147" si="14">SUM(L42,L77,L112)/3</f>
        <v>0</v>
      </c>
      <c r="M147" s="55">
        <f t="shared" si="14"/>
        <v>0</v>
      </c>
      <c r="N147" s="55">
        <f t="shared" si="14"/>
        <v>0</v>
      </c>
      <c r="O147" s="55">
        <f t="shared" si="14"/>
        <v>0</v>
      </c>
      <c r="P147" s="55">
        <f t="shared" si="14"/>
        <v>714.33333333333337</v>
      </c>
      <c r="Q147" s="55">
        <f t="shared" si="14"/>
        <v>0</v>
      </c>
      <c r="R147" s="55">
        <f t="shared" si="14"/>
        <v>0</v>
      </c>
    </row>
    <row r="148" spans="1:21" customFormat="1" ht="15" x14ac:dyDescent="0.25">
      <c r="B148" s="41" t="s">
        <v>91</v>
      </c>
      <c r="C148" s="2"/>
      <c r="D148" s="2"/>
      <c r="E148" s="41"/>
      <c r="F148" s="41" t="s">
        <v>76</v>
      </c>
      <c r="G148" s="2"/>
      <c r="H148" s="2"/>
      <c r="I148" s="2"/>
      <c r="J148" s="64"/>
      <c r="K148" s="41"/>
      <c r="L148" s="55">
        <f t="shared" ref="L148:R148" si="15">SUM(L43,L78,L113)/3</f>
        <v>0</v>
      </c>
      <c r="M148" s="55">
        <f t="shared" si="15"/>
        <v>0</v>
      </c>
      <c r="N148" s="55">
        <f t="shared" si="15"/>
        <v>0</v>
      </c>
      <c r="O148" s="55">
        <f t="shared" si="15"/>
        <v>0</v>
      </c>
      <c r="P148" s="55">
        <f t="shared" si="15"/>
        <v>0</v>
      </c>
      <c r="Q148" s="55">
        <f t="shared" si="15"/>
        <v>0</v>
      </c>
      <c r="R148" s="55">
        <f t="shared" si="15"/>
        <v>0</v>
      </c>
    </row>
    <row r="149" spans="1:21" customFormat="1" ht="15" x14ac:dyDescent="0.25">
      <c r="B149" s="41"/>
      <c r="C149" s="2"/>
      <c r="D149" s="2"/>
      <c r="E149" s="41"/>
      <c r="F149" s="41"/>
      <c r="G149" s="2"/>
      <c r="H149" s="2"/>
      <c r="I149" s="2"/>
      <c r="J149" s="64"/>
      <c r="K149" s="57"/>
      <c r="L149" s="58"/>
      <c r="M149" s="58"/>
      <c r="N149" s="58"/>
      <c r="O149" s="58"/>
      <c r="P149" s="58"/>
      <c r="Q149" s="58"/>
      <c r="R149" s="58"/>
      <c r="S149" s="59"/>
      <c r="T149" s="59"/>
    </row>
    <row r="150" spans="1:21" customFormat="1" ht="15" x14ac:dyDescent="0.25">
      <c r="B150" s="41" t="s">
        <v>94</v>
      </c>
      <c r="C150" s="2"/>
      <c r="D150" s="2"/>
      <c r="E150" s="41"/>
      <c r="F150" s="41" t="s">
        <v>76</v>
      </c>
      <c r="G150" s="2"/>
      <c r="H150" s="2"/>
      <c r="I150" s="2"/>
      <c r="J150" s="64"/>
      <c r="K150" s="41"/>
      <c r="L150" s="55">
        <f t="shared" ref="L150:R150" si="16">SUM(L45,L80,L115)/3</f>
        <v>0</v>
      </c>
      <c r="M150" s="55">
        <f t="shared" si="16"/>
        <v>0</v>
      </c>
      <c r="N150" s="55">
        <f t="shared" si="16"/>
        <v>10672.483623519271</v>
      </c>
      <c r="O150" s="55">
        <f t="shared" si="16"/>
        <v>2648.3333333333335</v>
      </c>
      <c r="P150" s="55">
        <f t="shared" si="16"/>
        <v>0</v>
      </c>
      <c r="Q150" s="55">
        <f t="shared" si="16"/>
        <v>523.99964898424821</v>
      </c>
      <c r="R150" s="55">
        <f t="shared" si="16"/>
        <v>0</v>
      </c>
    </row>
    <row r="151" spans="1:21" customFormat="1" ht="15" x14ac:dyDescent="0.25">
      <c r="C151" s="2"/>
      <c r="D151" s="2"/>
      <c r="J151" s="65"/>
    </row>
    <row r="152" spans="1:21" s="8" customFormat="1" x14ac:dyDescent="0.25">
      <c r="B152" s="8" t="s">
        <v>435</v>
      </c>
    </row>
    <row r="153" spans="1:21" customFormat="1" ht="15" x14ac:dyDescent="0.25">
      <c r="A153" s="41"/>
      <c r="B153" s="41"/>
      <c r="C153" s="41"/>
      <c r="D153" s="41"/>
      <c r="E153" s="41"/>
      <c r="F153" s="43"/>
      <c r="G153" s="41"/>
      <c r="H153" s="42"/>
      <c r="I153" s="42"/>
      <c r="J153" s="42"/>
      <c r="K153" s="42"/>
      <c r="L153" s="42"/>
      <c r="M153" s="42"/>
      <c r="N153" s="42"/>
    </row>
    <row r="154" spans="1:21" customFormat="1" ht="15" x14ac:dyDescent="0.25">
      <c r="B154" s="40" t="s">
        <v>96</v>
      </c>
      <c r="C154" s="41"/>
      <c r="D154" s="41"/>
      <c r="E154" s="41"/>
      <c r="F154" s="43"/>
      <c r="G154" s="41"/>
      <c r="H154" s="42"/>
      <c r="I154" s="42"/>
      <c r="J154" s="42"/>
      <c r="K154" s="42"/>
      <c r="L154" s="42"/>
      <c r="M154" s="42"/>
      <c r="N154" s="42"/>
    </row>
    <row r="155" spans="1:21" customFormat="1" ht="15" x14ac:dyDescent="0.25">
      <c r="B155" s="41"/>
      <c r="C155" s="41"/>
      <c r="D155" s="41"/>
      <c r="E155" s="41"/>
      <c r="F155" s="43"/>
      <c r="G155" s="41"/>
      <c r="H155" s="42"/>
      <c r="I155" s="42"/>
      <c r="J155" s="42"/>
      <c r="K155" s="42"/>
      <c r="L155" s="42"/>
      <c r="M155" s="42"/>
      <c r="N155" s="42"/>
      <c r="U155" s="2"/>
    </row>
    <row r="156" spans="1:21" customFormat="1" ht="15" x14ac:dyDescent="0.25">
      <c r="B156" s="40" t="s">
        <v>97</v>
      </c>
      <c r="C156" s="41"/>
      <c r="D156" s="41"/>
      <c r="E156" s="41"/>
      <c r="F156" s="43"/>
      <c r="G156" s="41"/>
      <c r="H156" s="42"/>
      <c r="I156" s="42"/>
      <c r="J156" s="42"/>
      <c r="K156" s="42"/>
      <c r="L156" s="42"/>
      <c r="M156" s="42"/>
      <c r="N156" s="42"/>
      <c r="U156" s="2"/>
    </row>
    <row r="157" spans="1:21" customFormat="1" ht="15" x14ac:dyDescent="0.25">
      <c r="B157" s="41" t="s">
        <v>98</v>
      </c>
      <c r="C157" s="41"/>
      <c r="D157" s="2"/>
      <c r="E157" s="41"/>
      <c r="F157" s="41" t="s">
        <v>223</v>
      </c>
      <c r="G157" s="41"/>
      <c r="H157" s="2"/>
      <c r="I157" s="2"/>
      <c r="J157" s="2"/>
      <c r="K157" s="2"/>
      <c r="L157" s="50"/>
      <c r="M157" s="50"/>
      <c r="N157" s="50"/>
      <c r="O157" s="50"/>
      <c r="P157" s="50"/>
      <c r="Q157" s="138">
        <v>18</v>
      </c>
      <c r="R157" s="50"/>
      <c r="U157" s="2" t="s">
        <v>301</v>
      </c>
    </row>
    <row r="158" spans="1:21" customFormat="1" ht="15" x14ac:dyDescent="0.25">
      <c r="B158" s="41" t="s">
        <v>99</v>
      </c>
      <c r="C158" s="41"/>
      <c r="D158" s="2"/>
      <c r="E158" s="41"/>
      <c r="F158" s="41" t="s">
        <v>223</v>
      </c>
      <c r="G158" s="41"/>
      <c r="H158" s="2"/>
      <c r="I158" s="2"/>
      <c r="J158" s="2"/>
      <c r="K158" s="2"/>
      <c r="L158" s="50"/>
      <c r="M158" s="50"/>
      <c r="N158" s="50"/>
      <c r="O158" s="50"/>
      <c r="P158" s="50"/>
      <c r="Q158" s="138">
        <v>28.565000000000001</v>
      </c>
      <c r="R158" s="50"/>
      <c r="U158" s="2" t="s">
        <v>301</v>
      </c>
    </row>
    <row r="159" spans="1:21" customFormat="1" ht="15" x14ac:dyDescent="0.25">
      <c r="B159" s="41"/>
      <c r="C159" s="41"/>
      <c r="D159" s="2"/>
      <c r="E159" s="41"/>
      <c r="F159" s="41"/>
      <c r="G159" s="41"/>
      <c r="H159" s="2"/>
      <c r="I159" s="2"/>
      <c r="J159" s="2"/>
      <c r="K159" s="2"/>
      <c r="L159" s="44"/>
      <c r="M159" s="44"/>
      <c r="N159" s="44"/>
      <c r="O159" s="44"/>
      <c r="P159" s="44"/>
      <c r="Q159" s="44"/>
      <c r="R159" s="44"/>
      <c r="U159" s="2"/>
    </row>
    <row r="160" spans="1:21" customFormat="1" ht="15" x14ac:dyDescent="0.25">
      <c r="B160" s="40" t="s">
        <v>100</v>
      </c>
      <c r="C160" s="41"/>
      <c r="D160" s="2"/>
      <c r="E160" s="41"/>
      <c r="F160" s="41"/>
      <c r="G160" s="41"/>
      <c r="H160" s="2"/>
      <c r="I160" s="2"/>
      <c r="J160" s="2"/>
      <c r="K160" s="2"/>
      <c r="L160" s="44"/>
      <c r="M160" s="44"/>
      <c r="N160" s="44"/>
      <c r="O160" s="44"/>
      <c r="P160" s="44"/>
      <c r="Q160" s="44"/>
      <c r="R160" s="44"/>
      <c r="U160" s="2"/>
    </row>
    <row r="161" spans="2:26" customFormat="1" ht="15" x14ac:dyDescent="0.25">
      <c r="B161" s="41" t="s">
        <v>98</v>
      </c>
      <c r="C161" s="41"/>
      <c r="D161" s="2"/>
      <c r="E161" s="41"/>
      <c r="F161" s="41" t="s">
        <v>223</v>
      </c>
      <c r="G161" s="41"/>
      <c r="H161" s="2"/>
      <c r="I161" s="2"/>
      <c r="J161" s="2"/>
      <c r="K161" s="2"/>
      <c r="L161" s="50"/>
      <c r="M161" s="50"/>
      <c r="N161" s="50"/>
      <c r="O161" s="138">
        <v>18</v>
      </c>
      <c r="P161" s="50"/>
      <c r="Q161" s="50"/>
      <c r="R161" s="50"/>
      <c r="U161" s="2" t="s">
        <v>301</v>
      </c>
    </row>
    <row r="162" spans="2:26" customFormat="1" ht="15" x14ac:dyDescent="0.25">
      <c r="B162" s="41" t="s">
        <v>99</v>
      </c>
      <c r="C162" s="41"/>
      <c r="D162" s="2"/>
      <c r="E162" s="41"/>
      <c r="F162" s="41" t="s">
        <v>223</v>
      </c>
      <c r="G162" s="41"/>
      <c r="H162" s="2"/>
      <c r="I162" s="2"/>
      <c r="J162" s="2"/>
      <c r="K162" s="2"/>
      <c r="L162" s="50"/>
      <c r="M162" s="50"/>
      <c r="N162" s="50"/>
      <c r="O162" s="138">
        <v>31.200000000000003</v>
      </c>
      <c r="P162" s="50"/>
      <c r="Q162" s="50"/>
      <c r="R162" s="50"/>
      <c r="U162" s="2" t="s">
        <v>301</v>
      </c>
    </row>
    <row r="163" spans="2:26" customFormat="1" ht="15" x14ac:dyDescent="0.25">
      <c r="B163" s="41"/>
      <c r="C163" s="41"/>
      <c r="D163" s="2"/>
      <c r="E163" s="41"/>
      <c r="F163" s="41"/>
      <c r="G163" s="41"/>
      <c r="H163" s="2"/>
      <c r="I163" s="2"/>
      <c r="J163" s="2"/>
      <c r="K163" s="2"/>
      <c r="L163" s="44"/>
      <c r="M163" s="44"/>
      <c r="N163" s="44"/>
      <c r="O163" s="44"/>
      <c r="P163" s="44"/>
      <c r="Q163" s="44"/>
      <c r="R163" s="44"/>
      <c r="U163" s="2"/>
    </row>
    <row r="164" spans="2:26" customFormat="1" ht="15" x14ac:dyDescent="0.25">
      <c r="B164" s="40" t="s">
        <v>101</v>
      </c>
      <c r="C164" s="41"/>
      <c r="D164" s="2"/>
      <c r="E164" s="41"/>
      <c r="F164" s="41"/>
      <c r="G164" s="43"/>
      <c r="H164" s="2"/>
      <c r="I164" s="2"/>
      <c r="J164" s="2"/>
      <c r="K164" s="2"/>
      <c r="L164" s="51"/>
      <c r="M164" s="51"/>
      <c r="N164" s="51"/>
      <c r="O164" s="51"/>
      <c r="P164" s="51"/>
      <c r="Q164" s="51"/>
      <c r="R164" s="44"/>
      <c r="U164" s="2"/>
    </row>
    <row r="165" spans="2:26" customFormat="1" ht="15" x14ac:dyDescent="0.25">
      <c r="B165" s="41" t="s">
        <v>98</v>
      </c>
      <c r="C165" s="41"/>
      <c r="D165" s="2"/>
      <c r="E165" s="41"/>
      <c r="F165" s="41" t="s">
        <v>223</v>
      </c>
      <c r="G165" s="41"/>
      <c r="H165" s="2"/>
      <c r="I165" s="2"/>
      <c r="J165" s="2"/>
      <c r="K165" s="2"/>
      <c r="L165" s="138">
        <v>514</v>
      </c>
      <c r="M165" s="50"/>
      <c r="N165" s="138">
        <v>1000.22</v>
      </c>
      <c r="O165" s="138">
        <v>855</v>
      </c>
      <c r="P165" s="138">
        <v>596.25</v>
      </c>
      <c r="Q165" s="138">
        <v>766.2</v>
      </c>
      <c r="R165" s="50"/>
      <c r="U165" s="2" t="s">
        <v>301</v>
      </c>
    </row>
    <row r="166" spans="2:26" customFormat="1" ht="15" x14ac:dyDescent="0.25">
      <c r="B166" s="41" t="s">
        <v>90</v>
      </c>
      <c r="C166" s="41"/>
      <c r="D166" s="2"/>
      <c r="E166" s="41"/>
      <c r="F166" s="41" t="s">
        <v>223</v>
      </c>
      <c r="G166" s="41"/>
      <c r="H166" s="2"/>
      <c r="I166" s="2"/>
      <c r="J166" s="2"/>
      <c r="K166" s="2"/>
      <c r="L166" s="50"/>
      <c r="M166" s="50"/>
      <c r="N166" s="50"/>
      <c r="O166" s="50"/>
      <c r="P166" s="138">
        <v>32.33</v>
      </c>
      <c r="Q166" s="50"/>
      <c r="R166" s="50"/>
      <c r="U166" s="2" t="s">
        <v>301</v>
      </c>
    </row>
    <row r="167" spans="2:26" customFormat="1" ht="15" x14ac:dyDescent="0.25">
      <c r="B167" s="41" t="s">
        <v>91</v>
      </c>
      <c r="C167" s="41"/>
      <c r="D167" s="2"/>
      <c r="E167" s="41"/>
      <c r="F167" s="41" t="s">
        <v>223</v>
      </c>
      <c r="G167" s="41"/>
      <c r="H167" s="2"/>
      <c r="I167" s="2"/>
      <c r="J167" s="2"/>
      <c r="K167" s="2"/>
      <c r="L167" s="50"/>
      <c r="M167" s="50"/>
      <c r="N167" s="50"/>
      <c r="O167" s="50"/>
      <c r="P167" s="50"/>
      <c r="Q167" s="50"/>
      <c r="R167" s="50"/>
      <c r="U167" s="2" t="s">
        <v>301</v>
      </c>
    </row>
    <row r="168" spans="2:26" customFormat="1" ht="15" x14ac:dyDescent="0.25">
      <c r="B168" s="41" t="s">
        <v>102</v>
      </c>
      <c r="C168" s="41"/>
      <c r="D168" s="2"/>
      <c r="E168" s="41"/>
      <c r="F168" s="41" t="s">
        <v>223</v>
      </c>
      <c r="G168" s="41"/>
      <c r="H168" s="2"/>
      <c r="I168" s="2"/>
      <c r="J168" s="2"/>
      <c r="K168" s="2"/>
      <c r="L168" s="50"/>
      <c r="M168" s="50"/>
      <c r="N168" s="138">
        <v>22.9986</v>
      </c>
      <c r="O168" s="138">
        <v>21.6</v>
      </c>
      <c r="P168" s="50"/>
      <c r="Q168" s="138">
        <v>24.35</v>
      </c>
      <c r="R168" s="50"/>
      <c r="U168" s="2" t="s">
        <v>301</v>
      </c>
    </row>
    <row r="169" spans="2:26" customFormat="1" ht="15" x14ac:dyDescent="0.25">
      <c r="D169" s="2"/>
      <c r="H169" s="2"/>
      <c r="I169" s="2"/>
      <c r="J169" s="2"/>
      <c r="K169" s="2"/>
      <c r="L169" s="52"/>
      <c r="M169" s="52"/>
      <c r="N169" s="52"/>
      <c r="O169" s="52"/>
      <c r="P169" s="52"/>
      <c r="Q169" s="52"/>
      <c r="R169" s="52"/>
      <c r="U169" s="2"/>
    </row>
    <row r="170" spans="2:26" customFormat="1" ht="15" x14ac:dyDescent="0.25">
      <c r="B170" s="40" t="s">
        <v>103</v>
      </c>
      <c r="D170" s="2"/>
      <c r="H170" s="2"/>
      <c r="I170" s="2"/>
      <c r="J170" s="2"/>
      <c r="K170" s="2"/>
      <c r="L170" s="52"/>
      <c r="M170" s="52"/>
      <c r="N170" s="52"/>
      <c r="O170" s="52"/>
      <c r="P170" s="52"/>
      <c r="Q170" s="52"/>
      <c r="R170" s="52"/>
    </row>
    <row r="171" spans="2:26" customFormat="1" ht="15" x14ac:dyDescent="0.25">
      <c r="B171" s="2"/>
      <c r="D171" s="2"/>
      <c r="H171" s="2"/>
      <c r="I171" s="2"/>
      <c r="J171" s="2"/>
      <c r="K171" s="2"/>
      <c r="L171" s="52"/>
      <c r="M171" s="52"/>
      <c r="N171" s="52"/>
      <c r="O171" s="52"/>
      <c r="P171" s="52"/>
      <c r="Q171" s="52"/>
      <c r="R171" s="52"/>
    </row>
    <row r="172" spans="2:26" customFormat="1" ht="15" x14ac:dyDescent="0.25">
      <c r="B172" s="2" t="s">
        <v>81</v>
      </c>
      <c r="D172" s="2"/>
      <c r="F172" s="41" t="s">
        <v>201</v>
      </c>
      <c r="H172" s="2"/>
      <c r="I172" s="2"/>
      <c r="J172" s="2"/>
      <c r="K172" s="2"/>
      <c r="L172" s="54"/>
      <c r="M172" s="54"/>
      <c r="N172" s="54"/>
      <c r="O172" s="54"/>
      <c r="P172" s="54"/>
      <c r="Q172" s="138">
        <v>25</v>
      </c>
      <c r="R172" s="54"/>
      <c r="U172" s="2" t="s">
        <v>302</v>
      </c>
      <c r="Z172" s="39"/>
    </row>
    <row r="173" spans="2:26" customFormat="1" ht="15" x14ac:dyDescent="0.25">
      <c r="B173" s="2" t="s">
        <v>84</v>
      </c>
      <c r="D173" s="2"/>
      <c r="F173" s="41" t="s">
        <v>201</v>
      </c>
      <c r="H173" s="2"/>
      <c r="I173" s="2"/>
      <c r="J173" s="2"/>
      <c r="K173" s="2"/>
      <c r="L173" s="54"/>
      <c r="M173" s="54"/>
      <c r="N173" s="54"/>
      <c r="O173" s="138">
        <v>65</v>
      </c>
      <c r="P173" s="54"/>
      <c r="Q173" s="54"/>
      <c r="R173" s="54"/>
      <c r="U173" s="2" t="s">
        <v>303</v>
      </c>
      <c r="Z173" s="39"/>
    </row>
    <row r="174" spans="2:26" customFormat="1" ht="15" x14ac:dyDescent="0.25"/>
    <row r="175" spans="2:26" customFormat="1" 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42BCD4D3B3464A9D2A7788490F1CE1" ma:contentTypeVersion="0" ma:contentTypeDescription="Een nieuw document maken." ma:contentTypeScope="" ma:versionID="167cf73272f810ef01c088e1633461d1">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B3A86E-602F-4E80-A341-BED6C4CC9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purl.org/dc/dcmitype/"/>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23</vt:i4>
      </vt:variant>
    </vt:vector>
  </HeadingPairs>
  <TitlesOfParts>
    <vt:vector size="23" baseType="lpstr">
      <vt:lpstr>Titelblad</vt:lpstr>
      <vt:lpstr>Toelichting</vt:lpstr>
      <vt:lpstr>Bronnen en toepassingen</vt:lpstr>
      <vt:lpstr>TI-berekening 2021</vt:lpstr>
      <vt:lpstr>Input --&gt;</vt:lpstr>
      <vt:lpstr>Input parameters</vt:lpstr>
      <vt:lpstr>Input x-factor, begininkomsten</vt:lpstr>
      <vt:lpstr>Input lokale heffingen 2019</vt:lpstr>
      <vt:lpstr>Input invoeding groen gas 2020</vt:lpstr>
      <vt:lpstr>Input faillissement Robin 2019</vt:lpstr>
      <vt:lpstr>Input nieuwe taken 2021</vt:lpstr>
      <vt:lpstr>Input gewijzigde x-factoren</vt:lpstr>
      <vt:lpstr>Input richtbedragen</vt:lpstr>
      <vt:lpstr>Berekeningen --&gt;</vt:lpstr>
      <vt:lpstr>Parameters</vt:lpstr>
      <vt:lpstr>Lokale heffingen 2019</vt:lpstr>
      <vt:lpstr>Invoeding groen gas 2020</vt:lpstr>
      <vt:lpstr>Faillissement Robin 2019</vt:lpstr>
      <vt:lpstr>Gewijzigde x-factoren</vt:lpstr>
      <vt:lpstr>Lagere tarieven RENDO</vt:lpstr>
      <vt:lpstr>Correctie nieuwe taken 2020</vt:lpstr>
      <vt:lpstr>Overdracht Weert</vt:lpstr>
      <vt:lpstr>Richtbedragen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2021-01-25T14:49:45Z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0x010100DC42BCD4D3B3464A9D2A7788490F1CE1</vt:lpwstr>
  </property>
</Properties>
</file>