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385" yWindow="-15" windowWidth="14430" windowHeight="14295"/>
  </bookViews>
  <sheets>
    <sheet name="Titelblad" sheetId="9" r:id="rId1"/>
    <sheet name="Toelichting" sheetId="10" r:id="rId2"/>
    <sheet name="Bronnen en toepassingen" sheetId="11" r:id="rId3"/>
    <sheet name="TI-berekening 2019" sheetId="21" r:id="rId4"/>
    <sheet name="Input --&gt;" sheetId="13" r:id="rId5"/>
    <sheet name="Input x-factor, begininkomsten" sheetId="28" r:id="rId6"/>
    <sheet name="Input parameters" sheetId="26" r:id="rId7"/>
    <sheet name="Input lokale heffingen 2017" sheetId="25" r:id="rId8"/>
    <sheet name="Input invoeding groen gas 2018" sheetId="18" r:id="rId9"/>
    <sheet name="Input richtbedragen" sheetId="32" r:id="rId10"/>
    <sheet name="Berekeningen --&gt;" sheetId="15" r:id="rId11"/>
    <sheet name="Parameters" sheetId="27" r:id="rId12"/>
    <sheet name="Lokale heffingen 2017" sheetId="24" r:id="rId13"/>
    <sheet name="Invoeding groen gas 2018" sheetId="22" r:id="rId14"/>
    <sheet name="Overdracht Weert" sheetId="30" r:id="rId15"/>
    <sheet name="Richtbedragen" sheetId="31" r:id="rId16"/>
  </sheets>
  <calcPr calcId="145621"/>
</workbook>
</file>

<file path=xl/calcChain.xml><?xml version="1.0" encoding="utf-8"?>
<calcChain xmlns="http://schemas.openxmlformats.org/spreadsheetml/2006/main">
  <c r="H17" i="21" l="1"/>
  <c r="H23" i="24" l="1"/>
  <c r="H16" i="21"/>
  <c r="H15" i="21"/>
  <c r="J12" i="21" l="1"/>
  <c r="H21" i="30" l="1"/>
  <c r="S27" i="31" l="1"/>
  <c r="R27" i="31"/>
  <c r="Q27" i="31"/>
  <c r="P27" i="31"/>
  <c r="O27" i="31"/>
  <c r="N27" i="31"/>
  <c r="M27" i="31"/>
  <c r="L27" i="31"/>
  <c r="S26" i="31"/>
  <c r="R26" i="31"/>
  <c r="Q26" i="31"/>
  <c r="P26" i="31"/>
  <c r="O26" i="31"/>
  <c r="N26" i="31"/>
  <c r="M26" i="31"/>
  <c r="L26" i="31"/>
  <c r="S25" i="31"/>
  <c r="R25" i="31"/>
  <c r="R36" i="31" s="1"/>
  <c r="Q25" i="31"/>
  <c r="P25" i="31"/>
  <c r="O25" i="31"/>
  <c r="N25" i="31"/>
  <c r="N36" i="31" s="1"/>
  <c r="M25" i="31"/>
  <c r="L25" i="31"/>
  <c r="S24" i="31"/>
  <c r="R24" i="31"/>
  <c r="Q24" i="31"/>
  <c r="Q35" i="31" s="1"/>
  <c r="P24" i="31"/>
  <c r="O24" i="31"/>
  <c r="N24" i="31"/>
  <c r="M24" i="31"/>
  <c r="M35" i="31" s="1"/>
  <c r="L24" i="31"/>
  <c r="M19" i="31"/>
  <c r="N19" i="31"/>
  <c r="O19" i="31"/>
  <c r="P19" i="31"/>
  <c r="Q19" i="31"/>
  <c r="R19" i="31"/>
  <c r="S19" i="31"/>
  <c r="M20" i="31"/>
  <c r="N20" i="31"/>
  <c r="O20" i="31"/>
  <c r="P20" i="31"/>
  <c r="Q20" i="31"/>
  <c r="R20" i="31"/>
  <c r="S20" i="31"/>
  <c r="M21" i="31"/>
  <c r="N21" i="31"/>
  <c r="O21" i="31"/>
  <c r="P21" i="31"/>
  <c r="Q21" i="31"/>
  <c r="R21" i="31"/>
  <c r="S21" i="31"/>
  <c r="M22" i="31"/>
  <c r="N22" i="31"/>
  <c r="O22" i="31"/>
  <c r="P22" i="31"/>
  <c r="Q22" i="31"/>
  <c r="R22" i="31"/>
  <c r="S22" i="31"/>
  <c r="L20" i="31"/>
  <c r="L21" i="31"/>
  <c r="L37" i="31" s="1"/>
  <c r="L22" i="31"/>
  <c r="L38" i="31" s="1"/>
  <c r="L19" i="31"/>
  <c r="N35" i="31"/>
  <c r="O35" i="31"/>
  <c r="P35" i="31"/>
  <c r="R35" i="31"/>
  <c r="S35" i="31"/>
  <c r="M36" i="31"/>
  <c r="O36" i="31"/>
  <c r="P36" i="31"/>
  <c r="Q36" i="31"/>
  <c r="S36" i="31"/>
  <c r="M37" i="31"/>
  <c r="N37" i="31"/>
  <c r="O37" i="31"/>
  <c r="P37" i="31"/>
  <c r="Q37" i="31"/>
  <c r="R37" i="31"/>
  <c r="S37" i="31"/>
  <c r="M38" i="31"/>
  <c r="N38" i="31"/>
  <c r="O38" i="31"/>
  <c r="P38" i="31"/>
  <c r="Q38" i="31"/>
  <c r="R38" i="31"/>
  <c r="S38" i="31"/>
  <c r="L36" i="31"/>
  <c r="L35" i="31"/>
  <c r="T14" i="27" l="1"/>
  <c r="T15" i="27"/>
  <c r="N73" i="18" l="1"/>
  <c r="N116" i="18"/>
  <c r="N108" i="18"/>
  <c r="N81" i="18"/>
  <c r="N46" i="18"/>
  <c r="N38" i="18"/>
  <c r="N21" i="24" l="1"/>
  <c r="O21" i="24"/>
  <c r="P21" i="24"/>
  <c r="Q21" i="24"/>
  <c r="R21" i="24"/>
  <c r="S21" i="24"/>
  <c r="N20" i="24"/>
  <c r="O20" i="24"/>
  <c r="P20" i="24"/>
  <c r="Q20" i="24"/>
  <c r="R20" i="24"/>
  <c r="S20" i="24"/>
  <c r="M12" i="21" l="1"/>
  <c r="N12" i="21"/>
  <c r="M13" i="21" l="1"/>
  <c r="N13" i="21"/>
  <c r="O13" i="21"/>
  <c r="P13" i="21"/>
  <c r="Q13" i="21"/>
  <c r="R13" i="21"/>
  <c r="S13" i="21"/>
  <c r="L13" i="21"/>
  <c r="O12" i="21"/>
  <c r="P12" i="21"/>
  <c r="Q12" i="21"/>
  <c r="R12" i="21"/>
  <c r="S12" i="21"/>
  <c r="L12" i="21"/>
  <c r="S17" i="27" l="1"/>
  <c r="R17" i="27"/>
  <c r="Q17" i="27"/>
  <c r="P17" i="27"/>
  <c r="O17" i="27"/>
  <c r="N17" i="27"/>
  <c r="M17" i="27"/>
  <c r="L17" i="27"/>
  <c r="S16" i="27"/>
  <c r="R16" i="27"/>
  <c r="Q16" i="27"/>
  <c r="P16" i="27"/>
  <c r="O16" i="27"/>
  <c r="N16" i="27"/>
  <c r="M16" i="27"/>
  <c r="L16" i="27"/>
  <c r="S15" i="27"/>
  <c r="R15" i="27"/>
  <c r="Q15" i="27"/>
  <c r="P15" i="27"/>
  <c r="O15" i="27"/>
  <c r="N15" i="27"/>
  <c r="M15" i="27"/>
  <c r="L15" i="27"/>
  <c r="S14" i="27"/>
  <c r="R14" i="27"/>
  <c r="Q14" i="27"/>
  <c r="P14" i="27"/>
  <c r="O14" i="27"/>
  <c r="N14" i="27"/>
  <c r="M14" i="27"/>
  <c r="L14" i="27"/>
  <c r="M23" i="27"/>
  <c r="N23" i="27"/>
  <c r="O23" i="27"/>
  <c r="P23" i="27"/>
  <c r="Q23" i="27"/>
  <c r="R23" i="27"/>
  <c r="S23" i="27"/>
  <c r="T23" i="27"/>
  <c r="T24" i="27" l="1"/>
  <c r="T34" i="27" s="1"/>
  <c r="H92" i="22" s="1"/>
  <c r="O24" i="27"/>
  <c r="O29" i="27" s="1"/>
  <c r="S24" i="27"/>
  <c r="S33" i="27" s="1"/>
  <c r="P24" i="27"/>
  <c r="P30" i="27" s="1"/>
  <c r="Q24" i="27"/>
  <c r="Q31" i="27" s="1"/>
  <c r="N24" i="27"/>
  <c r="N28" i="27" s="1"/>
  <c r="R24" i="27"/>
  <c r="R32" i="27" s="1"/>
  <c r="M24" i="27"/>
  <c r="M27" i="27" s="1"/>
  <c r="M20" i="24"/>
  <c r="M21" i="24"/>
  <c r="L21" i="24"/>
  <c r="L20" i="24"/>
  <c r="R25" i="24" l="1"/>
  <c r="T33" i="27"/>
  <c r="H31" i="24" s="1"/>
  <c r="M25" i="24"/>
  <c r="N25" i="24"/>
  <c r="Q25" i="24"/>
  <c r="P25" i="24"/>
  <c r="L25" i="24"/>
  <c r="S25" i="24"/>
  <c r="P29" i="27"/>
  <c r="S32" i="27"/>
  <c r="T32" i="27" s="1"/>
  <c r="O28" i="27"/>
  <c r="P28" i="27" s="1"/>
  <c r="Q28" i="27" s="1"/>
  <c r="R28" i="27" s="1"/>
  <c r="S28" i="27" s="1"/>
  <c r="T28" i="27" s="1"/>
  <c r="P19" i="21"/>
  <c r="N19" i="21"/>
  <c r="Q19" i="21"/>
  <c r="O19" i="21"/>
  <c r="M19" i="21"/>
  <c r="R19" i="21"/>
  <c r="S19" i="21"/>
  <c r="L19" i="21"/>
  <c r="R31" i="27"/>
  <c r="S31" i="27" s="1"/>
  <c r="T31" i="27" s="1"/>
  <c r="Q29" i="27"/>
  <c r="R29" i="27" s="1"/>
  <c r="S29" i="27" s="1"/>
  <c r="T29" i="27" s="1"/>
  <c r="Q30" i="27"/>
  <c r="R30" i="27" s="1"/>
  <c r="S30" i="27" s="1"/>
  <c r="T30" i="27" s="1"/>
  <c r="N27" i="27"/>
  <c r="O27" i="27" s="1"/>
  <c r="P27" i="27" s="1"/>
  <c r="Q27" i="27" s="1"/>
  <c r="R27" i="27" s="1"/>
  <c r="S27" i="27" s="1"/>
  <c r="T27" i="27" s="1"/>
  <c r="O25" i="24" l="1"/>
  <c r="J19" i="21"/>
  <c r="Q20" i="21"/>
  <c r="Q21" i="21" s="1"/>
  <c r="Q17" i="24"/>
  <c r="Q29" i="24" s="1"/>
  <c r="Q33" i="24" s="1"/>
  <c r="Q26" i="21" s="1"/>
  <c r="L20" i="21"/>
  <c r="L17" i="24"/>
  <c r="L29" i="24" s="1"/>
  <c r="L33" i="24" s="1"/>
  <c r="L26" i="21" s="1"/>
  <c r="O20" i="21"/>
  <c r="O21" i="21" s="1"/>
  <c r="O17" i="24"/>
  <c r="S20" i="21"/>
  <c r="S21" i="21" s="1"/>
  <c r="S17" i="24"/>
  <c r="S29" i="24" s="1"/>
  <c r="S33" i="24" s="1"/>
  <c r="S26" i="21" s="1"/>
  <c r="R20" i="21"/>
  <c r="R21" i="21" s="1"/>
  <c r="R17" i="24"/>
  <c r="R29" i="24" s="1"/>
  <c r="R33" i="24" s="1"/>
  <c r="R26" i="21" s="1"/>
  <c r="N20" i="21"/>
  <c r="N21" i="21" s="1"/>
  <c r="N17" i="24"/>
  <c r="N29" i="24" s="1"/>
  <c r="M20" i="21"/>
  <c r="M21" i="21" s="1"/>
  <c r="M17" i="24"/>
  <c r="M29" i="24" s="1"/>
  <c r="M33" i="24" s="1"/>
  <c r="M26" i="21" s="1"/>
  <c r="P20" i="21"/>
  <c r="P21" i="21" s="1"/>
  <c r="P17" i="24"/>
  <c r="P29" i="24" s="1"/>
  <c r="P33" i="24" s="1"/>
  <c r="P26" i="21" s="1"/>
  <c r="H23" i="30"/>
  <c r="H27" i="30" s="1"/>
  <c r="S90" i="22"/>
  <c r="S94" i="22" s="1"/>
  <c r="S27" i="21" s="1"/>
  <c r="R90" i="22"/>
  <c r="R94" i="22" s="1"/>
  <c r="R27" i="21" s="1"/>
  <c r="M90" i="22"/>
  <c r="M94" i="22" s="1"/>
  <c r="M27" i="21" s="1"/>
  <c r="O29" i="24" l="1"/>
  <c r="O33" i="24" s="1"/>
  <c r="O26" i="21" s="1"/>
  <c r="L21" i="21"/>
  <c r="J20" i="21"/>
  <c r="J21" i="21"/>
  <c r="N33" i="24"/>
  <c r="N26" i="21" s="1"/>
  <c r="J26" i="21" s="1"/>
  <c r="N29" i="30"/>
  <c r="N28" i="21" s="1"/>
  <c r="Q29" i="30"/>
  <c r="Q28" i="21" s="1"/>
  <c r="S30" i="21"/>
  <c r="S34" i="21" s="1"/>
  <c r="S42" i="31" s="1"/>
  <c r="M30" i="21"/>
  <c r="M34" i="21" s="1"/>
  <c r="M42" i="31" s="1"/>
  <c r="O70" i="22"/>
  <c r="Q69" i="22"/>
  <c r="Q65" i="22"/>
  <c r="O65" i="22"/>
  <c r="N65" i="22"/>
  <c r="P63" i="22"/>
  <c r="Q62" i="22"/>
  <c r="P62" i="22"/>
  <c r="O62" i="22"/>
  <c r="N62" i="22"/>
  <c r="L62" i="22"/>
  <c r="O59" i="22"/>
  <c r="O58" i="22"/>
  <c r="Q55" i="22"/>
  <c r="Q54" i="22"/>
  <c r="M151" i="18"/>
  <c r="M47" i="22" s="1"/>
  <c r="N151" i="18"/>
  <c r="N47" i="22" s="1"/>
  <c r="O151" i="18"/>
  <c r="O47" i="22" s="1"/>
  <c r="P151" i="18"/>
  <c r="P47" i="22" s="1"/>
  <c r="Q151" i="18"/>
  <c r="Q47" i="22" s="1"/>
  <c r="R151" i="18"/>
  <c r="R47" i="22" s="1"/>
  <c r="S151" i="18"/>
  <c r="S47" i="22" s="1"/>
  <c r="L151" i="18"/>
  <c r="L47" i="22" s="1"/>
  <c r="L149" i="18"/>
  <c r="M149" i="18"/>
  <c r="M45" i="22" s="1"/>
  <c r="N149" i="18"/>
  <c r="N45" i="22" s="1"/>
  <c r="O149" i="18"/>
  <c r="O45" i="22" s="1"/>
  <c r="P149" i="18"/>
  <c r="P45" i="22" s="1"/>
  <c r="Q149" i="18"/>
  <c r="Q45" i="22" s="1"/>
  <c r="R149" i="18"/>
  <c r="R45" i="22" s="1"/>
  <c r="S149" i="18"/>
  <c r="S45" i="22" s="1"/>
  <c r="M148" i="18"/>
  <c r="M44" i="22" s="1"/>
  <c r="N148" i="18"/>
  <c r="N44" i="22" s="1"/>
  <c r="O148" i="18"/>
  <c r="O44" i="22" s="1"/>
  <c r="P148" i="18"/>
  <c r="P44" i="22" s="1"/>
  <c r="Q148" i="18"/>
  <c r="Q44" i="22" s="1"/>
  <c r="R148" i="18"/>
  <c r="R44" i="22" s="1"/>
  <c r="S148" i="18"/>
  <c r="S44" i="22" s="1"/>
  <c r="L148" i="18"/>
  <c r="L44" i="22" s="1"/>
  <c r="M143" i="18"/>
  <c r="M39" i="22" s="1"/>
  <c r="N143" i="18"/>
  <c r="N39" i="22" s="1"/>
  <c r="O143" i="18"/>
  <c r="O39" i="22" s="1"/>
  <c r="P143" i="18"/>
  <c r="P39" i="22" s="1"/>
  <c r="Q143" i="18"/>
  <c r="Q39" i="22" s="1"/>
  <c r="R143" i="18"/>
  <c r="R39" i="22" s="1"/>
  <c r="S143" i="18"/>
  <c r="S39" i="22" s="1"/>
  <c r="L143" i="18"/>
  <c r="L39" i="22" s="1"/>
  <c r="M140" i="18"/>
  <c r="M36" i="22" s="1"/>
  <c r="N140" i="18"/>
  <c r="N36" i="22" s="1"/>
  <c r="O140" i="18"/>
  <c r="O36" i="22" s="1"/>
  <c r="P140" i="18"/>
  <c r="P36" i="22" s="1"/>
  <c r="Q140" i="18"/>
  <c r="Q36" i="22" s="1"/>
  <c r="R140" i="18"/>
  <c r="R36" i="22" s="1"/>
  <c r="S140" i="18"/>
  <c r="S36" i="22" s="1"/>
  <c r="M141" i="18"/>
  <c r="M37" i="22" s="1"/>
  <c r="N141" i="18"/>
  <c r="N37" i="22" s="1"/>
  <c r="O141" i="18"/>
  <c r="O37" i="22" s="1"/>
  <c r="P141" i="18"/>
  <c r="P37" i="22" s="1"/>
  <c r="Q141" i="18"/>
  <c r="Q37" i="22" s="1"/>
  <c r="R141" i="18"/>
  <c r="R37" i="22" s="1"/>
  <c r="S141" i="18"/>
  <c r="S37" i="22" s="1"/>
  <c r="L141" i="18"/>
  <c r="L37" i="22" s="1"/>
  <c r="L140" i="18"/>
  <c r="S135" i="18"/>
  <c r="S31" i="22" s="1"/>
  <c r="R135" i="18"/>
  <c r="R31" i="22" s="1"/>
  <c r="Q135" i="18"/>
  <c r="Q31" i="22" s="1"/>
  <c r="P135" i="18"/>
  <c r="P31" i="22" s="1"/>
  <c r="O135" i="18"/>
  <c r="O31" i="22" s="1"/>
  <c r="N135" i="18"/>
  <c r="N31" i="22" s="1"/>
  <c r="M135" i="18"/>
  <c r="M31" i="22" s="1"/>
  <c r="L135" i="18"/>
  <c r="L31" i="22" s="1"/>
  <c r="S134" i="18"/>
  <c r="S30" i="22" s="1"/>
  <c r="R134" i="18"/>
  <c r="R30" i="22" s="1"/>
  <c r="Q134" i="18"/>
  <c r="Q30" i="22" s="1"/>
  <c r="P134" i="18"/>
  <c r="P30" i="22" s="1"/>
  <c r="O134" i="18"/>
  <c r="O30" i="22" s="1"/>
  <c r="N134" i="18"/>
  <c r="N30" i="22" s="1"/>
  <c r="M134" i="18"/>
  <c r="M30" i="22" s="1"/>
  <c r="L134" i="18"/>
  <c r="S133" i="18"/>
  <c r="S29" i="22" s="1"/>
  <c r="R133" i="18"/>
  <c r="R29" i="22" s="1"/>
  <c r="Q133" i="18"/>
  <c r="Q29" i="22" s="1"/>
  <c r="P133" i="18"/>
  <c r="P29" i="22" s="1"/>
  <c r="O133" i="18"/>
  <c r="O29" i="22" s="1"/>
  <c r="N133" i="18"/>
  <c r="N29" i="22" s="1"/>
  <c r="M133" i="18"/>
  <c r="M29" i="22" s="1"/>
  <c r="L133" i="18"/>
  <c r="L29" i="22" s="1"/>
  <c r="S132" i="18"/>
  <c r="S28" i="22" s="1"/>
  <c r="R132" i="18"/>
  <c r="R28" i="22" s="1"/>
  <c r="Q132" i="18"/>
  <c r="Q28" i="22" s="1"/>
  <c r="P132" i="18"/>
  <c r="P28" i="22" s="1"/>
  <c r="O132" i="18"/>
  <c r="O28" i="22" s="1"/>
  <c r="N132" i="18"/>
  <c r="N28" i="22" s="1"/>
  <c r="M132" i="18"/>
  <c r="M28" i="22" s="1"/>
  <c r="L132" i="18"/>
  <c r="L28" i="22" s="1"/>
  <c r="S131" i="18"/>
  <c r="S27" i="22" s="1"/>
  <c r="R131" i="18"/>
  <c r="R27" i="22" s="1"/>
  <c r="Q131" i="18"/>
  <c r="Q27" i="22" s="1"/>
  <c r="P131" i="18"/>
  <c r="P27" i="22" s="1"/>
  <c r="O131" i="18"/>
  <c r="O27" i="22" s="1"/>
  <c r="N131" i="18"/>
  <c r="N27" i="22" s="1"/>
  <c r="M131" i="18"/>
  <c r="M27" i="22" s="1"/>
  <c r="L131" i="18"/>
  <c r="S128" i="18"/>
  <c r="S24" i="22" s="1"/>
  <c r="R128" i="18"/>
  <c r="R24" i="22" s="1"/>
  <c r="Q128" i="18"/>
  <c r="Q24" i="22" s="1"/>
  <c r="P128" i="18"/>
  <c r="P24" i="22" s="1"/>
  <c r="O128" i="18"/>
  <c r="O24" i="22" s="1"/>
  <c r="N128" i="18"/>
  <c r="N24" i="22" s="1"/>
  <c r="M128" i="18"/>
  <c r="M24" i="22" s="1"/>
  <c r="L128" i="18"/>
  <c r="S127" i="18"/>
  <c r="S23" i="22" s="1"/>
  <c r="R127" i="18"/>
  <c r="R23" i="22" s="1"/>
  <c r="Q127" i="18"/>
  <c r="Q23" i="22" s="1"/>
  <c r="P127" i="18"/>
  <c r="P23" i="22" s="1"/>
  <c r="O127" i="18"/>
  <c r="O23" i="22" s="1"/>
  <c r="N127" i="18"/>
  <c r="N23" i="22" s="1"/>
  <c r="M127" i="18"/>
  <c r="M23" i="22" s="1"/>
  <c r="L127" i="18"/>
  <c r="L23" i="22" s="1"/>
  <c r="S126" i="18"/>
  <c r="S22" i="22" s="1"/>
  <c r="R126" i="18"/>
  <c r="R22" i="22" s="1"/>
  <c r="Q126" i="18"/>
  <c r="Q22" i="22" s="1"/>
  <c r="P126" i="18"/>
  <c r="P22" i="22" s="1"/>
  <c r="O126" i="18"/>
  <c r="O22" i="22" s="1"/>
  <c r="N126" i="18"/>
  <c r="N22" i="22" s="1"/>
  <c r="M126" i="18"/>
  <c r="M22" i="22" s="1"/>
  <c r="L126" i="18"/>
  <c r="L22" i="22" s="1"/>
  <c r="S125" i="18"/>
  <c r="S21" i="22" s="1"/>
  <c r="R125" i="18"/>
  <c r="R21" i="22" s="1"/>
  <c r="Q125" i="18"/>
  <c r="Q21" i="22" s="1"/>
  <c r="P125" i="18"/>
  <c r="P21" i="22" s="1"/>
  <c r="O125" i="18"/>
  <c r="O21" i="22" s="1"/>
  <c r="N125" i="18"/>
  <c r="N21" i="22" s="1"/>
  <c r="M125" i="18"/>
  <c r="M21" i="22" s="1"/>
  <c r="L125" i="18"/>
  <c r="S124" i="18"/>
  <c r="S20" i="22" s="1"/>
  <c r="R124" i="18"/>
  <c r="R20" i="22" s="1"/>
  <c r="Q124" i="18"/>
  <c r="Q20" i="22" s="1"/>
  <c r="P124" i="18"/>
  <c r="P20" i="22" s="1"/>
  <c r="O124" i="18"/>
  <c r="O20" i="22" s="1"/>
  <c r="N124" i="18"/>
  <c r="N20" i="22" s="1"/>
  <c r="M124" i="18"/>
  <c r="M20" i="22" s="1"/>
  <c r="L124" i="18"/>
  <c r="L20" i="22" s="1"/>
  <c r="S123" i="18"/>
  <c r="S19" i="22" s="1"/>
  <c r="R123" i="18"/>
  <c r="R19" i="22" s="1"/>
  <c r="Q123" i="18"/>
  <c r="Q19" i="22" s="1"/>
  <c r="P123" i="18"/>
  <c r="P19" i="22" s="1"/>
  <c r="O123" i="18"/>
  <c r="O19" i="22" s="1"/>
  <c r="N123" i="18"/>
  <c r="N19" i="22" s="1"/>
  <c r="M123" i="18"/>
  <c r="M19" i="22" s="1"/>
  <c r="L123" i="18"/>
  <c r="J28" i="21" l="1"/>
  <c r="N83" i="22"/>
  <c r="N86" i="22"/>
  <c r="P83" i="22"/>
  <c r="M45" i="31"/>
  <c r="M47" i="31"/>
  <c r="M46" i="31"/>
  <c r="M44" i="31"/>
  <c r="S45" i="31"/>
  <c r="S46" i="31"/>
  <c r="S44" i="31"/>
  <c r="S47" i="31"/>
  <c r="O79" i="22"/>
  <c r="Q75" i="22"/>
  <c r="O80" i="22"/>
  <c r="Q83" i="22"/>
  <c r="P84" i="22"/>
  <c r="P90" i="22" s="1"/>
  <c r="P94" i="22" s="1"/>
  <c r="P27" i="21" s="1"/>
  <c r="O86" i="22"/>
  <c r="O83" i="22"/>
  <c r="Q76" i="22"/>
  <c r="Q86" i="22"/>
  <c r="L36" i="22"/>
  <c r="L83" i="22" s="1"/>
  <c r="L90" i="22" s="1"/>
  <c r="L94" i="22" s="1"/>
  <c r="L27" i="21" s="1"/>
  <c r="L24" i="22"/>
  <c r="L30" i="22"/>
  <c r="L45" i="22"/>
  <c r="L19" i="22"/>
  <c r="L21" i="22"/>
  <c r="L27" i="22"/>
  <c r="M48" i="31" l="1"/>
  <c r="S48" i="31"/>
  <c r="L30" i="21"/>
  <c r="L34" i="21" s="1"/>
  <c r="Q30" i="21"/>
  <c r="Q34" i="21" s="1"/>
  <c r="Q42" i="31" s="1"/>
  <c r="N90" i="22"/>
  <c r="N94" i="22" s="1"/>
  <c r="Q90" i="22"/>
  <c r="Q94" i="22" s="1"/>
  <c r="Q27" i="21" s="1"/>
  <c r="O90" i="22"/>
  <c r="O94" i="22" s="1"/>
  <c r="O27" i="21" s="1"/>
  <c r="B31" i="10"/>
  <c r="L42" i="31" l="1"/>
  <c r="L45" i="31" s="1"/>
  <c r="N27" i="21"/>
  <c r="Q45" i="31"/>
  <c r="Q46" i="31"/>
  <c r="Q44" i="31"/>
  <c r="Q47" i="31"/>
  <c r="L46" i="31"/>
  <c r="L47" i="31"/>
  <c r="O30" i="21"/>
  <c r="O34" i="21" s="1"/>
  <c r="O42" i="31" s="1"/>
  <c r="R30" i="21"/>
  <c r="R34" i="21" s="1"/>
  <c r="R42" i="31" s="1"/>
  <c r="P30" i="21"/>
  <c r="P34" i="21" s="1"/>
  <c r="P42" i="31" s="1"/>
  <c r="B38" i="10"/>
  <c r="B32" i="10"/>
  <c r="L44" i="31" l="1"/>
  <c r="N30" i="21"/>
  <c r="J30" i="21" s="1"/>
  <c r="J27" i="21"/>
  <c r="N34" i="21"/>
  <c r="P46" i="31"/>
  <c r="P45" i="31"/>
  <c r="P47" i="31"/>
  <c r="P44" i="31"/>
  <c r="R46" i="31"/>
  <c r="R47" i="31"/>
  <c r="R44" i="31"/>
  <c r="R45" i="31"/>
  <c r="Q48" i="31"/>
  <c r="O45" i="31"/>
  <c r="O47" i="31"/>
  <c r="O46" i="31"/>
  <c r="O44" i="31"/>
  <c r="L48" i="31"/>
  <c r="B33" i="10"/>
  <c r="B37" i="10" s="1"/>
  <c r="N42" i="31" l="1"/>
  <c r="J34" i="21"/>
  <c r="P48" i="31"/>
  <c r="R48" i="31"/>
  <c r="O48" i="31"/>
  <c r="B43" i="10"/>
  <c r="N47" i="31" l="1"/>
  <c r="N46" i="31"/>
  <c r="N44" i="31"/>
  <c r="N45" i="31"/>
  <c r="N48" i="31" l="1"/>
</calcChain>
</file>

<file path=xl/comments1.xml><?xml version="1.0" encoding="utf-8"?>
<comments xmlns="http://schemas.openxmlformats.org/spreadsheetml/2006/main">
  <authors>
    <author>Auteur</author>
  </authors>
  <commentList>
    <comment ref="T33" authorId="0">
      <text>
        <r>
          <rPr>
            <sz val="8"/>
            <color indexed="81"/>
            <rFont val="Tahoma"/>
            <family val="2"/>
          </rPr>
          <t>Waarde voor het vierde kwartaal 2018 kan naar verwachting nog worden ingevuld op basis van vaststelling van dit percentage door de Belastingdienst. Het eerste en tweede kwartaal 2019 zijn geschat op basis van de laatst bekende waarde.</t>
        </r>
      </text>
    </comment>
    <comment ref="T34" authorId="0">
      <text>
        <r>
          <rPr>
            <sz val="8"/>
            <color indexed="81"/>
            <rFont val="Tahoma"/>
            <family val="2"/>
          </rPr>
          <t>Waarde voor het vierde kwartaal 2018 kan naar verwachting nog worden ingevuld op basis van vaststelling van dit percentage door de Belastingdienst. Het eerste en tweede kwartaal 2019 zijn geschat op basis van de laatst bekende waarde.</t>
        </r>
      </text>
    </comment>
    <comment ref="S36" authorId="0">
      <text>
        <r>
          <rPr>
            <sz val="8"/>
            <color indexed="81"/>
            <rFont val="Tahoma"/>
            <family val="2"/>
          </rPr>
          <t>Waarde voor het vierde kwartaal 2018 kan naar verwachting nog worden ingevuld op basis van vaststelling van dit percentage door de Belastingdienst. Het eerste en tweede kwartaal 2019 zijn geschat op basis van de laatst bekende waarde.</t>
        </r>
      </text>
    </comment>
  </commentList>
</comments>
</file>

<file path=xl/comments2.xml><?xml version="1.0" encoding="utf-8"?>
<comments xmlns="http://schemas.openxmlformats.org/spreadsheetml/2006/main">
  <authors>
    <author>Auteur</author>
  </authors>
  <commentList>
    <comment ref="N43" authorId="0">
      <text>
        <r>
          <rPr>
            <sz val="8"/>
            <color indexed="81"/>
            <rFont val="Tahoma"/>
            <family val="2"/>
          </rPr>
          <t>Intergas bestaat in de GAW-berekening nog als afzonderlijke netbeheerder/netdeel. In de x-factorberekening worden de kapitaalkosten van Intergas opgeteld bij Enexis.</t>
        </r>
      </text>
    </comment>
    <comment ref="N44" authorId="0">
      <text>
        <r>
          <rPr>
            <sz val="8"/>
            <color indexed="81"/>
            <rFont val="Tahoma"/>
            <family val="2"/>
          </rPr>
          <t>Intergas bestaat in de GAW-berekening nog als afzonderlijke netbeheerder/netdeel. In de x-factorberekening worden de kapitaalkosten van Intergas opgeteld bij Enexis.</t>
        </r>
      </text>
    </comment>
    <comment ref="N45" authorId="0">
      <text>
        <r>
          <rPr>
            <sz val="8"/>
            <color indexed="81"/>
            <rFont val="Tahoma"/>
            <family val="2"/>
          </rPr>
          <t>Intergas bestaat in de GAW-berekening nog als afzonderlijke netbeheerder/netdeel. In de x-factorberekening worden de kapitaalkosten van Intergas opgeteld bij Enexis.</t>
        </r>
      </text>
    </comment>
  </commentList>
</comments>
</file>

<file path=xl/comments3.xml><?xml version="1.0" encoding="utf-8"?>
<comments xmlns="http://schemas.openxmlformats.org/spreadsheetml/2006/main">
  <authors>
    <author>Auteur</author>
  </authors>
  <commentList>
    <comment ref="T24" authorId="0">
      <text>
        <r>
          <rPr>
            <sz val="8"/>
            <color indexed="81"/>
            <rFont val="Tahoma"/>
            <family val="2"/>
          </rPr>
          <t>Waarde voor 2019 wordt vastgesteld door de meest recente waarde (naar verwachting kwartaal vier) ook te gebruiken als schatting voor ontbrekende kwartalen (eerste en tweede kwartaal van 2019)</t>
        </r>
      </text>
    </comment>
  </commentList>
</comments>
</file>

<file path=xl/sharedStrings.xml><?xml version="1.0" encoding="utf-8"?>
<sst xmlns="http://schemas.openxmlformats.org/spreadsheetml/2006/main" count="840" uniqueCount="338">
  <si>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</si>
  <si>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</si>
  <si>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</si>
  <si>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</si>
  <si>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</si>
  <si>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</si>
  <si>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</si>
  <si>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</si>
  <si>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</si>
  <si>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</si>
  <si>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</si>
  <si>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</si>
  <si>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</si>
  <si>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</si>
  <si>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</si>
  <si>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</si>
  <si>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</si>
  <si>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</si>
  <si>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</si>
  <si>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</si>
  <si>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</si>
  <si>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</si>
  <si>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</si>
  <si>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</si>
  <si>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</si>
  <si>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</si>
  <si>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</si>
  <si>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</si>
  <si>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</si>
  <si>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</si>
  <si>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</si>
  <si>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</si>
  <si>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</si>
  <si>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</si>
  <si>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</si>
  <si>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</si>
  <si>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</si>
  <si>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</si>
  <si>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</si>
  <si>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</si>
  <si>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</si>
  <si>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</si>
  <si>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</si>
  <si>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</si>
  <si>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</si>
  <si>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</si>
  <si>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</si>
  <si>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</si>
  <si>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</si>
  <si>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</si>
  <si>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</si>
  <si>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</si>
  <si>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</si>
  <si>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</si>
  <si>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</si>
  <si>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</si>
  <si>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</si>
  <si>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</si>
  <si>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</si>
  <si>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</si>
  <si>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</si>
  <si>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</si>
  <si>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</si>
  <si>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</si>
  <si>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</si>
  <si>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</si>
  <si>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</si>
  <si>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</si>
  <si>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ENDURIS</t>
  </si>
  <si>
    <t>ENEXIS</t>
  </si>
  <si>
    <t>LIANDER</t>
  </si>
  <si>
    <t>RENDO</t>
  </si>
  <si>
    <t>STEDIN</t>
  </si>
  <si>
    <t>WESTLAND</t>
  </si>
  <si>
    <t>ZEBRA</t>
  </si>
  <si>
    <t>In het geschilbesluit 'Invoeding groen gas' van 24 mei 2016 heeft de ACM geoordeeld dat netbeheerders geen transporttarieven in rekening mogen brengen voor de invoeding van groen gas.</t>
  </si>
  <si>
    <t>Bij de vaststelling van de volumes van de netbeheerders over de jaren 2013 tot en met 2015, in het x-factorbesluit 2017-2021, heeft de ACM echter geen rekening gehouden met het feit dat hier ook volumes voor invoeding groen gas onderdeel van uitmaken.</t>
  </si>
  <si>
    <t>VOLUMES PROFIELVERBRUIK: AANTALLEN AANSLUITINGEN</t>
  </si>
  <si>
    <t>Kleinverbruikers</t>
  </si>
  <si>
    <t>=&lt; 10 m3(n)h, jaarverbruik &lt; 500 Nm3</t>
  </si>
  <si>
    <t>#</t>
  </si>
  <si>
    <t>Bron: informatieverzoek Invoeding groen gas 2013-2015</t>
  </si>
  <si>
    <t>=&lt; 10 m3(n)h, jaarverbruik vanaf 500 Nm3 en &lt; 4.000 Nm3</t>
  </si>
  <si>
    <t>=&lt; 10 m3(n)h, jaarverbruik vanaf 4.000 Nm3</t>
  </si>
  <si>
    <t>&gt; 10 en =&lt; 16 m3(n)h</t>
  </si>
  <si>
    <t>&gt; 16 en =&lt; 25 m3(n)h</t>
  </si>
  <si>
    <t>&gt; 25 en =&lt; 40 m3(n)h</t>
  </si>
  <si>
    <t>Profielgrootverbruikers</t>
  </si>
  <si>
    <t>&gt; 40 en =&lt; 65 m3(n)h</t>
  </si>
  <si>
    <t>&gt; 65 en =&lt; 100 m3(n)h</t>
  </si>
  <si>
    <t>&gt; 100 en =&lt; 160 m3(n)h</t>
  </si>
  <si>
    <t>&gt; 160 en =&lt; 250 m3(n)h</t>
  </si>
  <si>
    <t>&gt; 250 m3(n)h</t>
  </si>
  <si>
    <t>VOLUMES TELEMETRIE: AANTALLEN AANSLUITINGEN</t>
  </si>
  <si>
    <t>Telemetrie &lt; 16 bar</t>
  </si>
  <si>
    <t>Hoge druk (&gt;= 200 Mbar en &lt; 16 Bar)</t>
  </si>
  <si>
    <t>Lage druk (&lt; 200 Mbar)</t>
  </si>
  <si>
    <t>Indien geen onderscheid LD/HD: Standaard</t>
  </si>
  <si>
    <t>VOLUMES TELEMETRIE: GECONTRACTEERDE CAPACITEIT</t>
  </si>
  <si>
    <t>Totaal volume indien geen onderscheid LD/HD: Standaard</t>
  </si>
  <si>
    <t>Berekening Gemiddelde volumes invoeding gas 2013-2015</t>
  </si>
  <si>
    <t>TARIEVEN</t>
  </si>
  <si>
    <t>Kleinverbruik (t/m 40 m3/h)</t>
  </si>
  <si>
    <t>Vastrecht (TOVT)</t>
  </si>
  <si>
    <t>Capaciteitsafhankelijk tarief (TAVTc)</t>
  </si>
  <si>
    <t>Profielgrootverbruik ( &gt;40 m3/h)</t>
  </si>
  <si>
    <t>Telemetriegrootverbruik (&lt; 16 bar)</t>
  </si>
  <si>
    <t>Geen onderscheid LD/HD: Standaard</t>
  </si>
  <si>
    <t>REKENCAPACITEITEN</t>
  </si>
  <si>
    <t>Volumes invoeding gas 2013</t>
  </si>
  <si>
    <t>Volumes invoeding gas 2014</t>
  </si>
  <si>
    <t>Volumes invoeding gas 2015</t>
  </si>
  <si>
    <t>Gemiste omzet 2017</t>
  </si>
  <si>
    <t>Ophalen gegevens voor berekening: Gemiddelde volumes invoeding gas 2013-2015</t>
  </si>
  <si>
    <t>De ACM berekent de nacalculatiebedrag voor de te hoog vastgestelde rekenvolumes door de gemiddelde volumes voor invoeding groen gas in de jaren 2013 tot en met 2015 te vermenigvuldigen met de tarieven voor het jaar 2018.</t>
  </si>
  <si>
    <t xml:space="preserve">Gemiddelde volumes invoeding gas 2013-2015 </t>
  </si>
  <si>
    <t>Voor de kapitaalkosten van lokale heffingen is ook een uitbreiding van de GAW-sheet noodzakelijk. Om tot de juiste kapitaalkosten te komen worden de volgende stappen doorlopen:</t>
  </si>
  <si>
    <t>3. Op het blad 'Dashboard Boekjaar' kunnen nu de afschrijvingen en boekwaarde van afgekochte precario voor Intergas (tegenwoordig onderdeel van Enexis) en RENDO worden afgelezen. Voor alle andere netbeheerders zijn de bedragen nul.</t>
  </si>
  <si>
    <t>In onderstaand overzicht zijn de gegevens opgenomen die voor deze bewerking gebruikt zijn. In de gehele x-factorberekening wordt nu doorgerekend met deze nieuwe gegevens, waarbij de PV overigens niet beïnvloed wordt.</t>
  </si>
  <si>
    <t>KOSTENDATA</t>
  </si>
  <si>
    <t>Transportdienst &lt; 16 Bar</t>
  </si>
  <si>
    <t xml:space="preserve">Precario </t>
  </si>
  <si>
    <t>Gedoogbelastingen</t>
  </si>
  <si>
    <t>Afgekochte precario (Transportdienst)</t>
  </si>
  <si>
    <t>Investeringsbedrag boekjaar precario</t>
  </si>
  <si>
    <t>Afschrijvingen precario</t>
  </si>
  <si>
    <t>Boekwaarde precario</t>
  </si>
  <si>
    <t>RESULTAAT</t>
  </si>
  <si>
    <t>Uitkomsten TI-berekening na aanpassing van gegevens (zie toelichting hierboven)</t>
  </si>
  <si>
    <t>Nacalculatiebedrag</t>
  </si>
  <si>
    <t>2011</t>
  </si>
  <si>
    <t>2012</t>
  </si>
  <si>
    <t>2013</t>
  </si>
  <si>
    <t>2014</t>
  </si>
  <si>
    <t>2015</t>
  </si>
  <si>
    <t>2016</t>
  </si>
  <si>
    <t>2017</t>
  </si>
  <si>
    <t>2018</t>
  </si>
  <si>
    <t>2019</t>
  </si>
  <si>
    <t>2020</t>
  </si>
  <si>
    <t>2021</t>
  </si>
  <si>
    <t>De relatieve wijziging van de consumentenprijsindex wordt berekend uit het quotiënt van van deze index, gepubliceerd in de vierde maand voorafgaande aan het jaar t, en van deze index, gepubliceerd</t>
  </si>
  <si>
    <t>in de zestiende maand voorafgaande aan het jaar t, zoals deze maandelijks wordt vastgesteld door het CBS.</t>
  </si>
  <si>
    <t>%</t>
  </si>
  <si>
    <t>Data rentepercentage tariefcorrecties</t>
  </si>
  <si>
    <t>Toelichting gegevens rentepercentage tariefcorrecties</t>
  </si>
  <si>
    <t>Rentepercentage tariefcorrecties</t>
  </si>
  <si>
    <t>Eerste kwartaal</t>
  </si>
  <si>
    <t>Tweede kwartaal</t>
  </si>
  <si>
    <t>Derde kwartaal</t>
  </si>
  <si>
    <t>Vierde kwartaal</t>
  </si>
  <si>
    <t>Voor bedragen oorspronkelijk in prijspeil 2017</t>
  </si>
  <si>
    <t>Voor bedragen oorspronkelijk in prijspeil 2016</t>
  </si>
  <si>
    <t>Voor bedragen oorspronkelijk in prijspeil 2015</t>
  </si>
  <si>
    <t>Voor bedragen oorspronkelijk in prijspeil 2014</t>
  </si>
  <si>
    <t>Voor bedragen oorspronkelijk in prijspeil 2013</t>
  </si>
  <si>
    <t>Voor bedragen oorspronkelijk in prijspeil 2012</t>
  </si>
  <si>
    <t>Voor bedragen oorspronkelijk in prijspeil 2011</t>
  </si>
  <si>
    <t>Mutatie van bedrag in oorspronkelijk prijspeil naar boekjaar</t>
  </si>
  <si>
    <t>Samengesteld percentage op basis van juli - juli mutatie:</t>
  </si>
  <si>
    <t>Boekjaar waarvoor mutatie rentepercentage berekend wordt:</t>
  </si>
  <si>
    <t>Berekening rentepercentage tariefcorrecties op jaarbasis</t>
  </si>
  <si>
    <t>Berekening mutatie rentepercentage tariefcorrecties over meerdere jaren</t>
  </si>
  <si>
    <t>Berekening op basis van parameters</t>
  </si>
  <si>
    <t>Totale Inkomsten exclusief correcties</t>
  </si>
  <si>
    <t>Begininkomsten 2016</t>
  </si>
  <si>
    <t>X-factor 2017-2021</t>
  </si>
  <si>
    <t>cpi 2017</t>
  </si>
  <si>
    <t>cpi 2018</t>
  </si>
  <si>
    <t>TI 2017 (exclusief correcties)</t>
  </si>
  <si>
    <t>TI 2018 (exclusief correcties)</t>
  </si>
  <si>
    <t>cpi 2019</t>
  </si>
  <si>
    <t>TI 2019 (exclusief correcties)</t>
  </si>
  <si>
    <t>X-factor</t>
  </si>
  <si>
    <t>Begininkomsten</t>
  </si>
  <si>
    <t>Op dit blad worden input gegevens verzameld uit de x-factor modellen.</t>
  </si>
  <si>
    <t>Input x-factoren en begininkomsten</t>
  </si>
  <si>
    <t>COTEQ</t>
  </si>
  <si>
    <t>Totale Inkomsten 2019 (incl. correcties)</t>
  </si>
  <si>
    <t>Totale Inkomsten 2019 inclusief correcties</t>
  </si>
  <si>
    <t>Totaalbedrag Correcties in TI 2019</t>
  </si>
  <si>
    <t>Correcties in tarieven 2019</t>
  </si>
  <si>
    <t>Met ingang van 1 juli 2017 droeg Stedin het beheer van een deel van haar netgebied over aan Enexis. Het betreft hier het netgebied van Weert, voor zowel gas als elektriciteit.</t>
  </si>
  <si>
    <t>Het te verschuiven TI-bedrag is vastgesteld op basis van door Stedin en Enexis aangeleverde informatie met betrekking tot de aantallen afnemers in het overgedragen netgebied.</t>
  </si>
  <si>
    <t>Het TI-bedrag wat van Stedin wordt verschoven naar Enexis is gebaseerd op het aandeel van de toegestane inkomsten in 2017 van Stedin dat ziet op het netgebied Weert.</t>
  </si>
  <si>
    <t>Ophalen gegevens</t>
  </si>
  <si>
    <t>Overdracht netgebied Weert TI 2019</t>
  </si>
  <si>
    <t>TI (excl. correcties) Stedin 2019</t>
  </si>
  <si>
    <t>TI-berekening 2019</t>
  </si>
  <si>
    <t>Lokale heffingen 2017</t>
  </si>
  <si>
    <t>Invoeding groen gas 2018</t>
  </si>
  <si>
    <t>Het verschil tussen dit inkomstenbedrag en het inkomstenbedrag zoals bepaald in het tarievenbesluit 2017 (exclusief correcties), geeft het nacalculatiebedrag.</t>
  </si>
  <si>
    <t>Operationele kosten Lokale Heffingen 2017 op basis van RD2017</t>
  </si>
  <si>
    <t>Begininkomsten 2016 (exclusief correcties) na aanpassing gegevens</t>
  </si>
  <si>
    <t>(virtuele) X-factor 2017-2021 na aanpassing gegevens</t>
  </si>
  <si>
    <t>Toegestane inkomsten voor 2017 o.b.v.  geschatte kosten voor lokale heffingen</t>
  </si>
  <si>
    <t>TI-bedrag 2017 o.b.v. oorspronkelijke x-factorberekening</t>
  </si>
  <si>
    <t>Tarieven en rekencapaciteiten 2018</t>
  </si>
  <si>
    <t xml:space="preserve">StatLine </t>
  </si>
  <si>
    <t>https://opendata.cbs.nl/#/CBS/nl/dataset/83131NED/table?ts=1528811296678</t>
  </si>
  <si>
    <t>Belastingdienst</t>
  </si>
  <si>
    <t>https://www.belastingdienst.nl/wps/wcm/connect/bldcontentnl/standaard_functies/prive/contact/rechten_en_plichten_bij_de_belastingdienst/belastingrente/overzicht_percentages_belastingrente</t>
  </si>
  <si>
    <t>TI-berekening RNB G 2017</t>
  </si>
  <si>
    <t>In deze nacalculatie wordt bepaald welk inkomstenbedrag de netbeheerders gekregen zouden hebben wanneer de gegevens over lokale heffingen over 2017 bekend zouden zijn geweest bij het vaststellen van de x-factoren voor de reguleringsperiode 2017-2021 (REG2017).</t>
  </si>
  <si>
    <t>Berekening nacalculatie ORV Lokale Heffingen 2017</t>
  </si>
  <si>
    <t>Toegestane inkomsten voor 2017 o.b.v. daadwerkelijke kosten voor lokale heffingen</t>
  </si>
  <si>
    <t>CPI 2017</t>
  </si>
  <si>
    <t>Toegestane Inkomsten 2017 o.b.v. virtuele x-factor</t>
  </si>
  <si>
    <t>Nacalculatiebedrag Lokale Heffingen 2017</t>
  </si>
  <si>
    <t>Ophalen gegevens voor berekening: Tarieven en rekencapaciteiten 2018</t>
  </si>
  <si>
    <t>Te verschuiven tariefruimte Weert 2019</t>
  </si>
  <si>
    <t>Kapitaalkosten die volgen uit bewerkte GAW-berekening voor kosten Precario-afkoop 2017</t>
  </si>
  <si>
    <t>2. Op blad InpC wordt de CPI ingevuld voor 2017 (0,2%).</t>
  </si>
  <si>
    <t>EUR, pp 2016</t>
  </si>
  <si>
    <t>EUR, pp 2019</t>
  </si>
  <si>
    <t>EUR, pp 2017</t>
  </si>
  <si>
    <t>EUR, pp 2018</t>
  </si>
  <si>
    <t>16653_berekening-totale-inkomsten-2017-regionaal-netbeheer-gas</t>
  </si>
  <si>
    <t>n.v.t.</t>
  </si>
  <si>
    <t>https://www.acm.nl/nl/publicaties/publicatie/16653/Berekening-totale-inkomsten-2017-regionaal-netbeheer-gas</t>
  </si>
  <si>
    <t>16359_regionale-netbeheerders-gas-2017-2021-x-factorberekening</t>
  </si>
  <si>
    <t>Informatieverzoek Invoeding groen gas 2013-2015</t>
  </si>
  <si>
    <t>Berekening totale inkomsten regionale netbeheerders gas 2019</t>
  </si>
  <si>
    <t>Dit Excel-bestand bevat de berekening van de Totale Inkomsten (TI) voor het jaar 2019 voor de regionale netbeheerders gas.</t>
  </si>
  <si>
    <t>In dit bestand worden de berekeningen gepresenteerd voor de vaststelling van de tarieven voor 2019, inclusief de berekening van de nacalculatiebedragen.</t>
  </si>
  <si>
    <t>Deze berekeningen maken onderdeel uit van de tarievenbesluiten gas 2019.</t>
  </si>
  <si>
    <t>Tarievenbesluiten regionale netbeheerders gas 2019</t>
  </si>
  <si>
    <t>X-factor model REG2017-2021</t>
  </si>
  <si>
    <t>Tarievenbesluit regionale netbeheerders gas 2018</t>
  </si>
  <si>
    <t>Bijlage-2-tarievenblad-coteq-gas-2018; Bijlage-2-tarievenblad-enduris-gas-2018; Bijlage-2-tarievenblad-Enexis-gas-2018; Bijlage-2-tarievenblad-Liander-gas-2018; Bijlage-2-tarievenblad-RENDO-gas-2018; Bijlage-2-tarievenblad-Stedin-gas-2018; Bijlage-2-tarievenblad-Westland-gas-2018</t>
  </si>
  <si>
    <t xml:space="preserve">Parameters </t>
  </si>
  <si>
    <t>Op dit blad worden input gegevens verzameld voor de nacalculatie 'Invoeding groen gas 2018'.</t>
  </si>
  <si>
    <t>Ten behoeve van de nacalculatie worden op dit tabblad de tarieven 2018 en de invoedingsvolumes per netbeheerder opgehaald voor de jaren 2013 tot en met 2015.</t>
  </si>
  <si>
    <t>In de tarieven van 2019 zal de ACM rekening houden met de verschuiving van tariefruimte tussen Stedin en Enexis.</t>
  </si>
  <si>
    <t>Dit procentuele aandeel is berekend in de TI-berekening regionale netbeheerders gas 2018.</t>
  </si>
  <si>
    <t>Op dit tabblad worden de totale inkomsten (inclusief correcties) berekend. Dit gebeurt door de wettelijke formule toe te passen op de begininkomsten, dit resulteert in de TI 2019 (exclusief correcties), hierop worden vervolgens correcties toegepast.</t>
  </si>
  <si>
    <t>Berekening richtbedragen</t>
  </si>
  <si>
    <t>Vanuit het oogpunt van kostenoriëntatie is het van belang dat de tariefinkomsten voor de transport- en aansluitdienst de verhouding in onderliggende kosten weerspiegelen.</t>
  </si>
  <si>
    <t>Ten behoeve hiervan neemt ACM hier een berekening op van de richtbedragen voor de transport- en aansluitdienst, op basis van het nieuwe x-factormodel voor de periode 2017-2021.</t>
  </si>
  <si>
    <t>Om de richtbedragen te berekenen worden de volgende stappen doorlopen:</t>
  </si>
  <si>
    <t>- Ten eerste worden de efficiënte kosten voor de eenmalige aansluitdienst (EAV) bepaald aan de hand van gegevens uit het x-factormodel.</t>
  </si>
  <si>
    <t>- Ten tweede worden de efficiënte kosten voor 2016 en 2021 bepaald, onderverdeeld naar de transportdienst, de periodieke aansluitvergoeding (PAV), de EAV en EHD.</t>
  </si>
  <si>
    <t>- Vervolgens worden op basis van de aandelen in de efficiënte kosten in de jaren 2016 en 2021 de aandelen in de inkomsten voor het jaar 2018 bepaald.</t>
  </si>
  <si>
    <t>Berekening aandelen in totale efficiënte kosten</t>
  </si>
  <si>
    <t>Aandeel TD in efficiënte kosten 2016</t>
  </si>
  <si>
    <t>Aandeel AD PAV in efficiënte kosten 2016</t>
  </si>
  <si>
    <t>Aandeel AD EAV in efficiënte kosten 2016</t>
  </si>
  <si>
    <t>Aandeel EHD in efficiënte kosten 2016</t>
  </si>
  <si>
    <t>Aandeel TD in efficiënte kosten 2021</t>
  </si>
  <si>
    <t>Aandeel AD PAV in efficiënte kosten 2021</t>
  </si>
  <si>
    <t>Aandeel AD EAV in efficiënte kosten 2021</t>
  </si>
  <si>
    <t>Aandeel EHD in efficiënte kosten 2021</t>
  </si>
  <si>
    <t>Aandeel TD in inkomsten 2019 o.b.v. ingroei</t>
  </si>
  <si>
    <t>Aandeel AD PAV in inkomsten 2019 o.b.v. ingroei</t>
  </si>
  <si>
    <t>Aandeel AD EAV in inkomsten 2019 o.b.v. ingroei</t>
  </si>
  <si>
    <t>Aandeel EHD in inkomsten 2019 o.b.v. ingroei</t>
  </si>
  <si>
    <t>TI 2019 (inclusief correcties)</t>
  </si>
  <si>
    <t>Inkomsten TD 2019 o.b.v. ingroei</t>
  </si>
  <si>
    <t>Inkomsten AD PAV 2019 o.b.v. ingroei</t>
  </si>
  <si>
    <t>Inkomsten AD EAV 2019 o.b.v. ingroei</t>
  </si>
  <si>
    <t>Inkomsten EHD 2019 o.b.v. ingroei</t>
  </si>
  <si>
    <t>Totale inkomsten 2019</t>
  </si>
  <si>
    <t>- Op basis van de aandelen in de inkomsten voor het jaar 2019 worden de richtbedragen bepaald.</t>
  </si>
  <si>
    <t>Begininkomsten en x-factoren</t>
  </si>
  <si>
    <t>Verschuiving TI-aandeel Weert van Stedin</t>
  </si>
  <si>
    <t xml:space="preserve">Correctie Lokale Heffingen 2017 </t>
  </si>
  <si>
    <t>Nacalculatiebedrag gederfde inkomsten a.g.v. te hoge vaststelling rekenvolumes</t>
  </si>
  <si>
    <t>Correctie gederfde inkomsten a.g.v. te hoge vaststelling rekenvolumes</t>
  </si>
  <si>
    <t>Correctie overdracht Weert</t>
  </si>
  <si>
    <t>De ACM past dit procentuele aandeel  toe op de toegestane inkomsten (excl. correcties) van Stedin in het jaar 2019 om de tussen Stedin en Enexis te verschuiven tariefruimte te bepalen.</t>
  </si>
  <si>
    <t xml:space="preserve"> informatieverzoek Invoeding groen gas 2013-2015</t>
  </si>
  <si>
    <t>doorrekening in GAW-sheet</t>
  </si>
  <si>
    <t>X-factor model REG2017, tabblad 'x-factor + TI-bedragen', rij 81, na aanpassing van gegevens zoals boven beschreven</t>
  </si>
  <si>
    <t>X-factor model REG2017, tabblad 'x-factor + TI-bedragen', rij 85, na aanpassing van gegevens zoals boven beschreven</t>
  </si>
  <si>
    <t>Tarievencode gas, onder 2.3.6.1</t>
  </si>
  <si>
    <t>Tarievencode gas, onder 2.3a.5.1</t>
  </si>
  <si>
    <r>
      <t>m</t>
    </r>
    <r>
      <rPr>
        <sz val="9"/>
        <color theme="1"/>
        <rFont val="Arial"/>
        <family val="2"/>
      </rPr>
      <t>3</t>
    </r>
    <r>
      <rPr>
        <sz val="10"/>
        <color theme="1"/>
        <rFont val="Arial"/>
        <family val="2"/>
      </rPr>
      <t>/uur</t>
    </r>
  </si>
  <si>
    <t>Op dit blad worden input gegevens verzameld voor relevante parameters in de berekening van de Totale Inkomsten</t>
  </si>
  <si>
    <t>Per 1 januari 2017 is netbeheerder Endinet opgegaan in Enexis. Om deze reden zijn de invoedingsvolumes van Endinet opgeteld bij de volumes van Enexis in de roze cellen.</t>
  </si>
  <si>
    <t>Overdracht Weert TI 2019</t>
  </si>
  <si>
    <t>Deze parameters betreffen achtereenvolgens de cpi en het rentepercentage tariefcorrecties</t>
  </si>
  <si>
    <t>Data cpi</t>
  </si>
  <si>
    <t>Toelichting vaststelling jaarlijks cpi-percentage</t>
  </si>
  <si>
    <t>cpi percentage</t>
  </si>
  <si>
    <t>De heffingsrente is na 2012 vervangen door de belastingrente.</t>
  </si>
  <si>
    <t>De belastingrente wordt ieder kwartaal gepubliceerd door het Ministerie van Financiën.</t>
  </si>
  <si>
    <t>Deze percentages zijn te vinden op de websites van de rijksoverheid en de belastingdienst (zie onder voor bron).</t>
  </si>
  <si>
    <t>De paarse cellen betreffen een schatting, op basis van het laatst bekende kwartaal.</t>
  </si>
  <si>
    <t>Bron: https://www.belastingdienst.nl</t>
  </si>
  <si>
    <t>De gegevens zijn afkomstig uit StatLine, zie de reeks: Jaarmutatie consumentenprijsindex; vanaf 1963 (www.cbs.nl)</t>
  </si>
  <si>
    <t>Op dit blad worden input gegevens verzameld voor de nacalculatie 'Lokale heffingen 2017'. De berekening is uitgevoerd in het kostenbestand behorende bij de x-factorberekeningen RNB’s gas 2017-2021.</t>
  </si>
  <si>
    <t>Voor de operationele kosten van lokale heffingen wordt gebruik gemaakt van de reguleringsdata over 2017. Deze bedragen worden, na correctie voor het juiste CPI niveau, ingevoerd op het blad 'Import kosten 2012-2015' voor de jaren 2013 t/m 2015.</t>
  </si>
  <si>
    <t>1. Voor de bewerking wordt gebruik gemaakt van de GAW sheet bij x-factorbesluiten RNB’s gas 2017-2021</t>
  </si>
  <si>
    <t>4. Deze gegevens worden vervolgens, na correctie voor het juiste CPI niveau, ingevoerd in de GAW-tabellen in het x-factorbesluit op het blad 'Import GAW' voor de jaren 2013 t/m 2015.</t>
  </si>
  <si>
    <t>Op dit blad worden input gegevens berekend voor relevante parameters in de berekening van de Totale Inkomsten</t>
  </si>
  <si>
    <t>Voor bedragen oorspronkelijk in prijspeil 2018</t>
  </si>
  <si>
    <t>Mutatie rentepercentage van 2017 naar 2019</t>
  </si>
  <si>
    <t>Aangezien de ACM hiervoor deze volumes niet in mindering heeft gebracht, bestaan de rekenvolumes van de netbeheerders voor een deel uit volumes waar geen inkomsten tegenover staan.</t>
  </si>
  <si>
    <t>De op dit tabblad berekende bedragen zijn enkel van toepassing binnen de context van de berekening van de richtbedragen voor de tarievenbesluiten 2019.</t>
  </si>
  <si>
    <t>16355_regionale-netbeheerders-gas-2017-2021-gaw-sheet - aanpassing nacalculatie LH 2017</t>
  </si>
  <si>
    <t>De berekening is uitgevoerd in het x-factormodel voor reguleringsperiode 2017-2021, op het inputtablad voor deze nacalculatie staat een omschrijving van deze berekening.</t>
  </si>
  <si>
    <t>Mutatie rentepercentage van 2018 naar 2019</t>
  </si>
  <si>
    <t>Aansluitdienst &lt; 16 Bar - aansluitingen t/m 40 m3/n/h</t>
  </si>
  <si>
    <t>Aansluitdienst &lt; 16 Bar - aansluitingen &gt; 40 m3/n/h</t>
  </si>
  <si>
    <t>Deze parameters betreffen achtereenvolgens: cpi en rentepercentage tariefcorrecties</t>
  </si>
  <si>
    <t xml:space="preserve">Deze waarde is berekend op tabblad 'TI-berekening 2019', cel Q34. </t>
  </si>
  <si>
    <t xml:space="preserve">Deze waarde is berekend op tabblad 'TI-berekening 2019', regel 34. </t>
  </si>
  <si>
    <t>Beginjaar</t>
  </si>
  <si>
    <t>Eindjaar</t>
  </si>
  <si>
    <t>Jaar TI-berekening</t>
  </si>
  <si>
    <t>Aandelen in totale efficiënte kosten</t>
  </si>
  <si>
    <t>TI-berekening RNB gas 2018, tabblad 'berekening richtbedragen', regel 46</t>
  </si>
  <si>
    <t>TI-berekening RNB gas 2018, tabblad 'berekening richtbedragen', regel 47</t>
  </si>
  <si>
    <t>TI-berekening RNB gas 2018, tabblad 'berekening richtbedragen', regel 48</t>
  </si>
  <si>
    <t>TI-berekening RNB gas 2018, tabblad 'berekening richtbedragen', regel 49</t>
  </si>
  <si>
    <t>TI-berekening RNB gas 2018, tabblad 'berekening richtbedragen', regel 51</t>
  </si>
  <si>
    <t>TI-berekening RNB gas 2018, tabblad 'berekening richtbedragen', regel 52</t>
  </si>
  <si>
    <t>TI-berekening RNB gas 2018, tabblad 'berekening richtbedragen', regel 53</t>
  </si>
  <si>
    <t>TI-berekening RNB gas 2018, tabblad 'berekening richtbedragen', regel 54</t>
  </si>
  <si>
    <t>ACM/18/033224 en ACM/18/033244 tot en met ACM/18/033250</t>
  </si>
  <si>
    <t>Verschuiving TI-aandeel als gevolg van overdracht Weert</t>
  </si>
  <si>
    <t>X-factor model REG2017, tabblad 'x-factor + TI-bedragen', rij 81</t>
  </si>
  <si>
    <t>X-factor model REG2017, tabblad 'x-factor + TI-bedragen', rij 85</t>
  </si>
  <si>
    <t>TI-berekening RNB gas 2018, tabblad "Overdracht Weert TI 2018", cel F257.</t>
  </si>
  <si>
    <t>Ten behoeve hiervan berekent ACM de richtbedragen voor de transport- en aansluitdienst. De aandelen in de efficiënte kosten in de jaren 2016 en 2021 zijn berekend in de TI-berekening RNB gas 2018.</t>
  </si>
  <si>
    <t>Reguleringsdata 2017</t>
  </si>
  <si>
    <t>Individuele tarievenmodules RNB gas 2019</t>
  </si>
  <si>
    <t>https://www.acm.nl/nl/publicaties/publicatie/16359/X-factorberekening-bij-x-factorbesluiten-RNBs-Gas-2017---2021</t>
  </si>
  <si>
    <t xml:space="preserve">https://www.acm.nl/nl/publicaties/publicatie/16355/GAW-sheet-bij-x-factorbesluiten-RNBs-gas-2017-2021 </t>
  </si>
  <si>
    <t>TI-berekening RNB G 2017, tabblad 'TI berekening 2017', rij 11</t>
  </si>
  <si>
    <t>Reguleringsdata 2017, tabel 3A - Operat. kosten TD, cel 3A.A.44</t>
  </si>
  <si>
    <t>Reguleringsdata 2017, tabel 3A - Operat. kosten TD, cel 3A.A.45</t>
  </si>
  <si>
    <t>Reguleringsdata 2017, Tabel 3B - Operat. kosten AD, cel 3B.A.3</t>
  </si>
  <si>
    <t>Reguleringsdata 2017, Tabel 3B - Operat. kosten AD, cel 3B.A.4</t>
  </si>
  <si>
    <t>Reguleringsdata 2017, Tabel 3B - Operat. kosten AD, cel 3B.B.43</t>
  </si>
  <si>
    <t>Reguleringsdata 2017, Tabel 3B - Operat. kosten AD, cel 3B.B.44</t>
  </si>
  <si>
    <t>Het meest recente cijfer betreft het definitieve cijfer van het CBS voor de maand augustus 2018, deze is gewijzigd ten opzichte van het voorlopige cijfer.</t>
  </si>
  <si>
    <t>Ja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</si>
</sst>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 #,##0_ ;_ * \-#,##0_ ;_ * &quot;-&quot;??_ ;_ @_ "/>
    <numFmt numFmtId="166" formatCode="_-* #,##0.00_-;_-* #,##0.00\-;_-* &quot;-&quot;??_-;_-@_-"/>
    <numFmt numFmtId="167" formatCode="0.0%"/>
    <numFmt numFmtId="168" formatCode="_-* #,##0_-;_-* #,##0\-;_-* &quot;-&quot;_-;_-@_-"/>
  </numFmts>
  <fonts count="37" x14ac:knownFonts="1">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b/>
      <sz val="14"/>
      <color rgb="FFFF0000"/>
      <name val="Arial"/>
      <family val="2"/>
    </font>
    <font>
      <u/>
      <sz val="11"/>
      <color theme="1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1"/>
      <color theme="1"/>
      <name val="Calibri"/>
      <family val="2"/>
      <scheme val="minor"/>
    </font>
    <font>
      <i/>
      <sz val="10"/>
      <color theme="1"/>
      <name val="Arial"/>
      <family val="2"/>
    </font>
    <font>
      <i/>
      <sz val="10"/>
      <color rgb="FFFF0000"/>
      <name val="Arial"/>
      <family val="2"/>
    </font>
    <font>
      <b/>
      <sz val="11"/>
      <color indexed="8"/>
      <name val="Arial"/>
      <family val="2"/>
    </font>
    <font>
      <sz val="11"/>
      <color theme="1"/>
      <name val="Arial"/>
      <family val="2"/>
    </font>
    <font>
      <sz val="9"/>
      <color theme="1"/>
      <name val="Arial"/>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73">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24" borderId="1">
      <alignment vertical="top"/>
    </xf>
    <xf numFmtId="49" fontId="6" fillId="0" borderId="0">
      <alignment vertical="top"/>
    </xf>
    <xf numFmtId="43" fontId="5" fillId="17" borderId="0">
      <alignment vertical="top"/>
    </xf>
    <xf numFmtId="43" fontId="5" fillId="16" borderId="0">
      <alignment vertical="top"/>
    </xf>
    <xf numFmtId="43" fontId="5" fillId="14" borderId="0">
      <alignment vertical="top"/>
    </xf>
    <xf numFmtId="43" fontId="5" fillId="7" borderId="0">
      <alignment vertical="top"/>
    </xf>
    <xf numFmtId="43" fontId="5" fillId="9" borderId="0">
      <alignment vertical="top"/>
    </xf>
    <xf numFmtId="43" fontId="5" fillId="18" borderId="0">
      <alignment vertical="top"/>
    </xf>
    <xf numFmtId="49" fontId="11" fillId="0" borderId="0">
      <alignment vertical="top"/>
    </xf>
    <xf numFmtId="49" fontId="10" fillId="0" borderId="0">
      <alignment vertical="top"/>
    </xf>
    <xf numFmtId="0" fontId="17" fillId="20" borderId="3" applyNumberFormat="0" applyAlignment="0" applyProtection="0"/>
    <xf numFmtId="0" fontId="18" fillId="21" borderId="4" applyNumberFormat="0" applyAlignment="0" applyProtection="0"/>
    <xf numFmtId="0" fontId="19" fillId="21" borderId="3" applyNumberFormat="0" applyAlignment="0" applyProtection="0"/>
    <xf numFmtId="0" fontId="20" fillId="0" borderId="5" applyNumberFormat="0" applyFill="0" applyAlignment="0" applyProtection="0"/>
    <xf numFmtId="0" fontId="14" fillId="22" borderId="6" applyNumberFormat="0" applyAlignment="0" applyProtection="0"/>
    <xf numFmtId="0" fontId="16" fillId="23" borderId="7" applyNumberFormat="0" applyFont="0" applyAlignment="0" applyProtection="0"/>
    <xf numFmtId="0" fontId="22"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29" fillId="48" borderId="0" applyNumberFormat="0" applyBorder="0" applyAlignment="0" applyProtection="0"/>
    <xf numFmtId="0" fontId="30" fillId="0" borderId="0" applyNumberFormat="0" applyFill="0" applyBorder="0" applyAlignment="0" applyProtection="0"/>
    <xf numFmtId="43" fontId="16"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9" fontId="16" fillId="0" borderId="0" applyFont="0" applyFill="0" applyBorder="0" applyAlignment="0" applyProtection="0"/>
    <xf numFmtId="0" fontId="5" fillId="0" borderId="0"/>
    <xf numFmtId="0" fontId="22" fillId="0" borderId="0" applyNumberFormat="0" applyFill="0" applyBorder="0" applyAlignment="0" applyProtection="0"/>
    <xf numFmtId="165" fontId="5" fillId="8" borderId="0"/>
  </cellStyleXfs>
  <cellXfs count="163">
    <xf numFmtId="0" fontId="0" fillId="0" borderId="0" xfId="0"/>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6" fillId="24"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9" fillId="5" borderId="1" xfId="4" applyFont="1" applyFill="1" applyBorder="1">
      <alignment vertical="top"/>
    </xf>
    <xf numFmtId="0" fontId="8" fillId="5" borderId="1" xfId="4" applyFont="1" applyFill="1" applyBorder="1">
      <alignment vertical="top"/>
    </xf>
    <xf numFmtId="0" fontId="8" fillId="6" borderId="1" xfId="4" applyFont="1" applyFill="1" applyBorder="1">
      <alignment vertical="top"/>
    </xf>
    <xf numFmtId="0" fontId="11" fillId="0" borderId="0" xfId="4" applyFont="1" applyFill="1">
      <alignment vertical="top"/>
    </xf>
    <xf numFmtId="0" fontId="5" fillId="10" borderId="0" xfId="4" applyFill="1">
      <alignment vertical="top"/>
    </xf>
    <xf numFmtId="0" fontId="5" fillId="11" borderId="0" xfId="4" applyFill="1">
      <alignment vertical="top"/>
    </xf>
    <xf numFmtId="0" fontId="5" fillId="12" borderId="0" xfId="4" applyFill="1">
      <alignment vertical="top"/>
    </xf>
    <xf numFmtId="0" fontId="5" fillId="13" borderId="0" xfId="4" applyFill="1">
      <alignment vertical="top"/>
    </xf>
    <xf numFmtId="0" fontId="5" fillId="8" borderId="0" xfId="4" applyFill="1">
      <alignment vertical="top"/>
    </xf>
    <xf numFmtId="0" fontId="10" fillId="0" borderId="0" xfId="4" applyFont="1" applyFill="1">
      <alignment vertical="top"/>
    </xf>
    <xf numFmtId="1" fontId="5" fillId="14" borderId="0" xfId="4" applyNumberFormat="1" applyFill="1">
      <alignment vertical="top"/>
    </xf>
    <xf numFmtId="2" fontId="5" fillId="15" borderId="0" xfId="4" applyNumberFormat="1" applyFill="1">
      <alignment vertical="top"/>
    </xf>
    <xf numFmtId="1" fontId="5" fillId="0" borderId="0" xfId="4" applyNumberFormat="1" applyFill="1">
      <alignment vertical="top"/>
    </xf>
    <xf numFmtId="1" fontId="10" fillId="0" borderId="0" xfId="4" applyNumberFormat="1" applyFont="1" applyFill="1">
      <alignment vertical="top"/>
    </xf>
    <xf numFmtId="1" fontId="7" fillId="0" borderId="0" xfId="4" applyNumberFormat="1" applyFont="1" applyFill="1" applyBorder="1">
      <alignment vertical="top"/>
    </xf>
    <xf numFmtId="0" fontId="7" fillId="10" borderId="2" xfId="4" applyFont="1" applyFill="1" applyBorder="1">
      <alignment vertical="top"/>
    </xf>
    <xf numFmtId="0" fontId="13" fillId="0" borderId="0" xfId="4" applyFont="1">
      <alignment vertical="top"/>
    </xf>
    <xf numFmtId="0" fontId="13" fillId="0" borderId="0" xfId="4" applyFont="1" applyFill="1">
      <alignment vertical="top"/>
    </xf>
    <xf numFmtId="0" fontId="14" fillId="6" borderId="1" xfId="4" applyFont="1" applyFill="1" applyBorder="1">
      <alignment vertical="top"/>
    </xf>
    <xf numFmtId="49" fontId="7" fillId="24" borderId="2" xfId="6" applyFont="1" applyBorder="1">
      <alignment vertical="top"/>
    </xf>
    <xf numFmtId="0" fontId="9" fillId="5" borderId="1" xfId="5" applyNumberFormat="1">
      <alignment vertical="top"/>
    </xf>
    <xf numFmtId="0" fontId="15" fillId="0" borderId="0" xfId="4" applyFont="1">
      <alignment vertical="top"/>
    </xf>
    <xf numFmtId="0" fontId="7" fillId="10" borderId="0" xfId="4" applyFont="1" applyFill="1">
      <alignment vertical="top"/>
    </xf>
    <xf numFmtId="0" fontId="7" fillId="12" borderId="0" xfId="4" applyFont="1" applyFill="1">
      <alignment vertical="top"/>
    </xf>
    <xf numFmtId="0" fontId="7" fillId="13" borderId="0" xfId="4" applyFont="1" applyFill="1">
      <alignment vertical="top"/>
    </xf>
    <xf numFmtId="0" fontId="5" fillId="19" borderId="0" xfId="4" applyFill="1">
      <alignment vertical="top"/>
    </xf>
    <xf numFmtId="49" fontId="7" fillId="24" borderId="0" xfId="6" applyFont="1" applyBorder="1">
      <alignment vertical="top"/>
    </xf>
    <xf numFmtId="0" fontId="5" fillId="0" borderId="0" xfId="4" applyFont="1">
      <alignment vertical="top"/>
    </xf>
    <xf numFmtId="49" fontId="5" fillId="24" borderId="2" xfId="6" applyFont="1" applyBorder="1">
      <alignment vertical="top"/>
    </xf>
    <xf numFmtId="0" fontId="21" fillId="6" borderId="1" xfId="4" applyFont="1" applyFill="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1" fillId="0" borderId="0" xfId="14">
      <alignment vertical="top"/>
    </xf>
    <xf numFmtId="49" fontId="6" fillId="0" borderId="0" xfId="7">
      <alignment vertical="top"/>
    </xf>
    <xf numFmtId="0" fontId="1" fillId="0" borderId="0" xfId="0" applyFont="1"/>
    <xf numFmtId="165" fontId="5" fillId="7" borderId="0" xfId="61" applyNumberFormat="1" applyFont="1" applyFill="1"/>
    <xf numFmtId="165" fontId="5" fillId="0" borderId="0" xfId="61" applyNumberFormat="1" applyFont="1"/>
    <xf numFmtId="165" fontId="1" fillId="0" borderId="0" xfId="61" applyNumberFormat="1" applyFont="1"/>
    <xf numFmtId="43" fontId="5" fillId="0" borderId="0" xfId="61" applyNumberFormat="1" applyFont="1"/>
    <xf numFmtId="165" fontId="9" fillId="5" borderId="1" xfId="61" applyNumberFormat="1" applyFont="1" applyFill="1" applyBorder="1" applyAlignment="1">
      <alignment vertical="top"/>
    </xf>
    <xf numFmtId="165" fontId="5" fillId="0" borderId="0" xfId="61" applyNumberFormat="1" applyFont="1" applyAlignment="1">
      <alignment vertical="top"/>
    </xf>
    <xf numFmtId="165" fontId="6" fillId="24" borderId="1" xfId="61" applyNumberFormat="1" applyFont="1" applyFill="1" applyBorder="1" applyAlignment="1">
      <alignment vertical="top"/>
    </xf>
    <xf numFmtId="49" fontId="6" fillId="24" borderId="1" xfId="6" applyFont="1">
      <alignment vertical="top"/>
    </xf>
    <xf numFmtId="0" fontId="28" fillId="0" borderId="0" xfId="0" applyFont="1"/>
    <xf numFmtId="43" fontId="5" fillId="8" borderId="0" xfId="61" applyNumberFormat="1" applyFont="1" applyFill="1"/>
    <xf numFmtId="43" fontId="5" fillId="7" borderId="0" xfId="61" applyNumberFormat="1" applyFont="1" applyFill="1"/>
    <xf numFmtId="43" fontId="1" fillId="0" borderId="0" xfId="61" applyNumberFormat="1" applyFont="1"/>
    <xf numFmtId="43" fontId="0" fillId="0" borderId="0" xfId="0" applyNumberFormat="1"/>
    <xf numFmtId="0" fontId="31" fillId="0" borderId="0" xfId="0" applyFont="1"/>
    <xf numFmtId="43" fontId="0" fillId="8" borderId="0" xfId="0" applyNumberFormat="1" applyFill="1"/>
    <xf numFmtId="165" fontId="5" fillId="16" borderId="0" xfId="61" applyNumberFormat="1" applyFont="1" applyFill="1"/>
    <xf numFmtId="165" fontId="1" fillId="0" borderId="0" xfId="61" applyNumberFormat="1" applyFont="1" applyFill="1"/>
    <xf numFmtId="0" fontId="1" fillId="0" borderId="0" xfId="0" applyFont="1" applyFill="1"/>
    <xf numFmtId="165" fontId="5" fillId="0" borderId="0" xfId="61" applyNumberFormat="1" applyFont="1" applyFill="1"/>
    <xf numFmtId="0" fontId="0" fillId="0" borderId="0" xfId="0" applyFill="1"/>
    <xf numFmtId="165" fontId="5" fillId="8" borderId="0" xfId="61" applyNumberFormat="1" applyFont="1" applyFill="1"/>
    <xf numFmtId="43" fontId="0" fillId="0" borderId="0" xfId="0" applyNumberFormat="1" applyFill="1"/>
    <xf numFmtId="43" fontId="5" fillId="0" borderId="0" xfId="61" applyNumberFormat="1" applyFont="1" applyFill="1"/>
    <xf numFmtId="43" fontId="5" fillId="18" borderId="0" xfId="13">
      <alignment vertical="top"/>
    </xf>
    <xf numFmtId="43" fontId="1" fillId="0" borderId="0" xfId="61" applyFont="1" applyFill="1"/>
    <xf numFmtId="43" fontId="0" fillId="0" borderId="0" xfId="61" applyFont="1" applyFill="1"/>
    <xf numFmtId="43" fontId="5" fillId="0" borderId="0" xfId="61" applyFont="1" applyFill="1" applyAlignment="1">
      <alignment vertical="top"/>
    </xf>
    <xf numFmtId="165" fontId="5" fillId="17" borderId="0" xfId="8" applyNumberFormat="1">
      <alignment vertical="top"/>
    </xf>
    <xf numFmtId="165" fontId="5" fillId="16" borderId="0" xfId="9" applyNumberFormat="1">
      <alignment vertical="top"/>
    </xf>
    <xf numFmtId="0" fontId="5" fillId="0" borderId="0" xfId="62" applyFont="1" applyFill="1"/>
    <xf numFmtId="0" fontId="5" fillId="0" borderId="0" xfId="62" applyFont="1"/>
    <xf numFmtId="0" fontId="6" fillId="0" borderId="0" xfId="4" applyFont="1" applyFill="1">
      <alignment vertical="top"/>
    </xf>
    <xf numFmtId="49" fontId="6" fillId="0" borderId="1" xfId="6" applyFill="1">
      <alignment vertical="top"/>
    </xf>
    <xf numFmtId="49" fontId="6" fillId="0" borderId="1" xfId="6" applyFont="1" applyFill="1">
      <alignment vertical="top"/>
    </xf>
    <xf numFmtId="165" fontId="6" fillId="0" borderId="1" xfId="61" applyNumberFormat="1" applyFont="1" applyFill="1" applyBorder="1" applyAlignment="1">
      <alignment vertical="top"/>
    </xf>
    <xf numFmtId="0" fontId="28" fillId="0" borderId="0" xfId="0" applyFont="1" applyFill="1"/>
    <xf numFmtId="43" fontId="1" fillId="0" borderId="0" xfId="61" applyNumberFormat="1" applyFont="1" applyFill="1"/>
    <xf numFmtId="0" fontId="31" fillId="0" borderId="0" xfId="0" applyFont="1" applyFill="1"/>
    <xf numFmtId="0" fontId="6" fillId="0" borderId="0" xfId="63" applyFont="1" applyFill="1"/>
    <xf numFmtId="0" fontId="10" fillId="0" borderId="0" xfId="63" applyFont="1" applyFill="1"/>
    <xf numFmtId="0" fontId="1" fillId="0" borderId="0" xfId="65" applyFont="1" applyFill="1"/>
    <xf numFmtId="164" fontId="5" fillId="7" borderId="0" xfId="64" applyNumberFormat="1" applyFill="1"/>
    <xf numFmtId="0" fontId="5" fillId="0" borderId="0" xfId="0" applyFont="1" applyFill="1"/>
    <xf numFmtId="0" fontId="5" fillId="0" borderId="0" xfId="63" applyFont="1" applyFill="1"/>
    <xf numFmtId="0" fontId="32" fillId="0" borderId="0" xfId="0" applyFont="1" applyFill="1"/>
    <xf numFmtId="0" fontId="6" fillId="49" borderId="0" xfId="0" applyFont="1" applyFill="1" applyAlignment="1">
      <alignment vertical="top"/>
    </xf>
    <xf numFmtId="0" fontId="5" fillId="49" borderId="0" xfId="0" applyFont="1" applyFill="1" applyAlignment="1">
      <alignment horizontal="left" vertical="top" indent="1"/>
    </xf>
    <xf numFmtId="0" fontId="5" fillId="0" borderId="0" xfId="66" applyFont="1"/>
    <xf numFmtId="0" fontId="1" fillId="0" borderId="0" xfId="65" applyFont="1"/>
    <xf numFmtId="0" fontId="10" fillId="0" borderId="0" xfId="62" applyFont="1" applyFill="1"/>
    <xf numFmtId="0" fontId="5" fillId="0" borderId="0" xfId="66" applyFont="1" applyBorder="1"/>
    <xf numFmtId="0" fontId="5" fillId="0" borderId="0" xfId="4" applyFill="1" applyBorder="1">
      <alignment vertical="top"/>
    </xf>
    <xf numFmtId="0" fontId="1" fillId="0" borderId="0" xfId="65" applyFont="1" applyBorder="1"/>
    <xf numFmtId="49" fontId="6" fillId="0" borderId="0" xfId="6" applyFill="1" applyBorder="1">
      <alignment vertical="top"/>
    </xf>
    <xf numFmtId="0" fontId="33" fillId="0" borderId="0" xfId="63" applyFont="1" applyFill="1"/>
    <xf numFmtId="0" fontId="6" fillId="0" borderId="0" xfId="0" applyFont="1" applyFill="1" applyBorder="1"/>
    <xf numFmtId="165" fontId="1" fillId="0" borderId="0" xfId="61" applyNumberFormat="1" applyFont="1" applyFill="1" applyBorder="1" applyAlignment="1">
      <alignment vertical="top"/>
    </xf>
    <xf numFmtId="165" fontId="1" fillId="7" borderId="0" xfId="61" applyNumberFormat="1" applyFont="1" applyFill="1" applyAlignment="1">
      <alignment vertical="top"/>
    </xf>
    <xf numFmtId="0" fontId="5" fillId="0" borderId="0" xfId="63" applyFont="1"/>
    <xf numFmtId="164" fontId="5" fillId="7" borderId="0" xfId="68" applyNumberFormat="1" applyFont="1" applyFill="1"/>
    <xf numFmtId="166" fontId="5" fillId="7" borderId="0" xfId="64" applyNumberFormat="1" applyFont="1" applyFill="1"/>
    <xf numFmtId="166" fontId="5" fillId="7" borderId="0" xfId="68" applyNumberFormat="1" applyFont="1" applyFill="1"/>
    <xf numFmtId="0" fontId="5" fillId="0" borderId="0" xfId="62" applyFont="1" applyFill="1" applyBorder="1"/>
    <xf numFmtId="0" fontId="1" fillId="0" borderId="0" xfId="65" applyFont="1" applyFill="1" applyBorder="1"/>
    <xf numFmtId="0" fontId="5" fillId="0" borderId="0" xfId="66" applyFont="1" applyFill="1" applyBorder="1"/>
    <xf numFmtId="43" fontId="5" fillId="0" borderId="0" xfId="13" applyFill="1">
      <alignment vertical="top"/>
    </xf>
    <xf numFmtId="0" fontId="5" fillId="0" borderId="0" xfId="66" applyFont="1" applyFill="1"/>
    <xf numFmtId="165" fontId="5" fillId="18" borderId="0" xfId="13" applyNumberFormat="1">
      <alignment vertical="top"/>
    </xf>
    <xf numFmtId="164" fontId="5" fillId="16" borderId="0" xfId="64" applyNumberFormat="1" applyFont="1" applyFill="1"/>
    <xf numFmtId="0" fontId="6" fillId="0" borderId="0" xfId="63" applyFont="1" applyFill="1" applyBorder="1" applyAlignment="1">
      <alignment horizontal="center" textRotation="90"/>
    </xf>
    <xf numFmtId="0" fontId="11" fillId="0" borderId="0" xfId="63" applyFont="1" applyFill="1" applyBorder="1" applyAlignment="1">
      <alignment horizontal="center" textRotation="90"/>
    </xf>
    <xf numFmtId="0" fontId="6" fillId="0" borderId="0" xfId="63" applyFont="1" applyFill="1" applyBorder="1" applyAlignment="1">
      <alignment horizontal="left"/>
    </xf>
    <xf numFmtId="10" fontId="1" fillId="0" borderId="0" xfId="0" applyNumberFormat="1" applyFont="1" applyFill="1"/>
    <xf numFmtId="0" fontId="5" fillId="0" borderId="0" xfId="62"/>
    <xf numFmtId="167" fontId="5" fillId="7" borderId="0" xfId="69" applyNumberFormat="1" applyFont="1" applyFill="1" applyAlignment="1">
      <alignment vertical="top"/>
    </xf>
    <xf numFmtId="43" fontId="5" fillId="7" borderId="0" xfId="11">
      <alignment vertical="top"/>
    </xf>
    <xf numFmtId="167" fontId="5" fillId="18" borderId="0" xfId="69" applyNumberFormat="1" applyFont="1" applyFill="1" applyAlignment="1">
      <alignment vertical="top"/>
    </xf>
    <xf numFmtId="167" fontId="5" fillId="16" borderId="0" xfId="69" applyNumberFormat="1" applyFont="1" applyFill="1" applyAlignment="1">
      <alignment vertical="top"/>
    </xf>
    <xf numFmtId="49" fontId="5" fillId="0" borderId="0" xfId="4" applyNumberFormat="1">
      <alignment vertical="top"/>
    </xf>
    <xf numFmtId="167" fontId="5" fillId="14" borderId="0" xfId="69" applyNumberFormat="1" applyFont="1" applyFill="1" applyAlignment="1">
      <alignment vertical="top"/>
    </xf>
    <xf numFmtId="0" fontId="6" fillId="24" borderId="1" xfId="6" applyNumberFormat="1">
      <alignment vertical="top"/>
    </xf>
    <xf numFmtId="168" fontId="1" fillId="16" borderId="0" xfId="0" applyNumberFormat="1" applyFont="1" applyFill="1"/>
    <xf numFmtId="165" fontId="5" fillId="7" borderId="0" xfId="11" applyNumberFormat="1">
      <alignment vertical="top"/>
    </xf>
    <xf numFmtId="165" fontId="1" fillId="18" borderId="0" xfId="61" applyNumberFormat="1" applyFont="1" applyFill="1"/>
    <xf numFmtId="165" fontId="1" fillId="8" borderId="0" xfId="61" applyNumberFormat="1" applyFont="1" applyFill="1"/>
    <xf numFmtId="165" fontId="1" fillId="16" borderId="0" xfId="61" applyNumberFormat="1" applyFont="1" applyFill="1"/>
    <xf numFmtId="165" fontId="5" fillId="14" borderId="0" xfId="10" applyNumberFormat="1">
      <alignment vertical="top"/>
    </xf>
    <xf numFmtId="164" fontId="1" fillId="17" borderId="0" xfId="0" applyNumberFormat="1" applyFont="1" applyFill="1"/>
    <xf numFmtId="10" fontId="1" fillId="0" borderId="0" xfId="69" applyNumberFormat="1" applyFont="1" applyFill="1"/>
    <xf numFmtId="10" fontId="5" fillId="0" borderId="0" xfId="69" applyNumberFormat="1" applyFont="1" applyFill="1" applyAlignment="1">
      <alignment vertical="top"/>
    </xf>
    <xf numFmtId="165" fontId="0" fillId="0" borderId="0" xfId="0" applyNumberFormat="1" applyFill="1"/>
    <xf numFmtId="43" fontId="5" fillId="18" borderId="0" xfId="13" applyNumberFormat="1">
      <alignment vertical="top"/>
    </xf>
    <xf numFmtId="10" fontId="5" fillId="18" borderId="0" xfId="69" applyNumberFormat="1" applyFont="1" applyFill="1" applyAlignment="1">
      <alignment vertical="top"/>
    </xf>
    <xf numFmtId="0" fontId="11" fillId="0" borderId="0" xfId="0" applyFont="1" applyFill="1" applyBorder="1"/>
    <xf numFmtId="0" fontId="5" fillId="0" borderId="2" xfId="4" applyBorder="1" applyAlignment="1">
      <alignment vertical="top" wrapText="1"/>
    </xf>
    <xf numFmtId="0" fontId="22" fillId="0" borderId="2" xfId="71" applyBorder="1" applyAlignment="1">
      <alignment vertical="top" wrapText="1"/>
    </xf>
    <xf numFmtId="0" fontId="5" fillId="0" borderId="0" xfId="0" applyNumberFormat="1" applyFont="1"/>
    <xf numFmtId="0" fontId="34" fillId="0" borderId="0" xfId="0" applyFont="1" applyFill="1" applyBorder="1"/>
    <xf numFmtId="0" fontId="35" fillId="0" borderId="0" xfId="0" applyFont="1" applyFill="1" applyBorder="1"/>
    <xf numFmtId="0" fontId="35" fillId="0" borderId="0" xfId="0" applyFont="1"/>
    <xf numFmtId="10" fontId="5" fillId="7" borderId="0" xfId="69" applyNumberFormat="1" applyFont="1" applyFill="1" applyAlignment="1">
      <alignment vertical="top"/>
    </xf>
    <xf numFmtId="167" fontId="5" fillId="0" borderId="0" xfId="61" applyNumberFormat="1" applyFont="1" applyAlignment="1">
      <alignment vertical="top"/>
    </xf>
    <xf numFmtId="165" fontId="1" fillId="17" borderId="0" xfId="61" applyNumberFormat="1" applyFont="1" applyFill="1"/>
    <xf numFmtId="0" fontId="1" fillId="0" borderId="0" xfId="0" quotePrefix="1" applyFont="1"/>
    <xf numFmtId="2" fontId="6" fillId="24" borderId="1" xfId="6" applyNumberFormat="1">
      <alignment vertical="top"/>
    </xf>
    <xf numFmtId="43" fontId="5" fillId="49" borderId="0" xfId="61" applyNumberFormat="1" applyFont="1" applyFill="1"/>
    <xf numFmtId="165" fontId="5" fillId="49" borderId="0" xfId="61" applyNumberFormat="1" applyFont="1" applyFill="1" applyAlignment="1">
      <alignment vertical="top"/>
    </xf>
    <xf numFmtId="10" fontId="5" fillId="49" borderId="0" xfId="69" applyNumberFormat="1" applyFont="1" applyFill="1" applyAlignment="1">
      <alignment vertical="top"/>
    </xf>
    <xf numFmtId="0" fontId="1" fillId="49" borderId="0" xfId="0" applyFont="1" applyFill="1"/>
    <xf numFmtId="165" fontId="1" fillId="49" borderId="0" xfId="61" applyNumberFormat="1" applyFont="1" applyFill="1"/>
    <xf numFmtId="10" fontId="5" fillId="9" borderId="0" xfId="69" applyNumberFormat="1" applyFont="1" applyFill="1" applyAlignment="1">
      <alignment vertical="top"/>
    </xf>
    <xf numFmtId="10" fontId="5" fillId="0" borderId="0" xfId="4" applyNumberFormat="1">
      <alignment vertical="top"/>
    </xf>
    <xf numFmtId="167" fontId="5" fillId="0" borderId="0" xfId="69" applyNumberFormat="1" applyFont="1" applyFill="1" applyAlignment="1">
      <alignment vertical="top"/>
    </xf>
    <xf numFmtId="165" fontId="5" fillId="8" borderId="0" xfId="72"/>
    <xf numFmtId="0" fontId="5" fillId="0" borderId="0" xfId="0" applyFont="1"/>
    <xf numFmtId="164" fontId="5" fillId="0" borderId="0" xfId="4" applyNumberFormat="1">
      <alignment vertical="top"/>
    </xf>
  </cellXfs>
  <cellStyles count="73">
    <cellStyle name="_x000d__x000a_JournalTemplate=C:\COMFO\CTALK\JOURSTD.TPL_x000d__x000a_LbStateAddress=3 3 0 251 1 89 2 311_x000d__x000a_LbStateJou 2" xfId="63"/>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Input" xfId="11"/>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Grijze cel" xfId="72"/>
    <cellStyle name="Hyperlink" xfId="22" builtinId="8" hidden="1"/>
    <cellStyle name="Hyperlink" xfId="71" builtinId="8"/>
    <cellStyle name="Invoer" xfId="16" builtinId="20" hidden="1"/>
    <cellStyle name="Komma" xfId="23" builtinId="3" hidden="1"/>
    <cellStyle name="Komma" xfId="61" builtinId="3"/>
    <cellStyle name="Komma [0]" xfId="24" builtinId="6" hidden="1"/>
    <cellStyle name="Komma 14 2" xfId="64"/>
    <cellStyle name="Komma 4 2" xfId="68"/>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Procent" xfId="69" builtinId="5"/>
    <cellStyle name="Procent 2" xfId="67"/>
    <cellStyle name="Standaard" xfId="0" builtinId="0"/>
    <cellStyle name="Standaard 2" xfId="70"/>
    <cellStyle name="Standaard 2 2" xfId="62"/>
    <cellStyle name="Standaard 7" xfId="66"/>
    <cellStyle name="Standaard ACM-DE" xfId="4"/>
    <cellStyle name="Standaard_20120516 - TI-berekening 2013 Elektriciteit (concept) opm HK" xfId="65"/>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CCFFCC"/>
      <color rgb="FFCCC8D9"/>
      <color rgb="FFCCFFFF"/>
      <color rgb="FFFFFFCC"/>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19</xdr:row>
      <xdr:rowOff>8005</xdr:rowOff>
    </xdr:from>
    <xdr:to>
      <xdr:col>12</xdr:col>
      <xdr:colOff>126850</xdr:colOff>
      <xdr:row>23</xdr:row>
      <xdr:rowOff>10828</xdr:rowOff>
    </xdr:to>
    <xdr:sp macro="" textlink="">
      <xdr:nvSpPr>
        <xdr:cNvPr id="2" name="Rechthoek 1"/>
        <xdr:cNvSpPr/>
      </xdr:nvSpPr>
      <xdr:spPr>
        <a:xfrm>
          <a:off x="5671350" y="3352338"/>
          <a:ext cx="1821500" cy="7648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Tarievenbladen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19051</xdr:colOff>
      <xdr:row>18</xdr:row>
      <xdr:rowOff>187280</xdr:rowOff>
    </xdr:from>
    <xdr:to>
      <xdr:col>8</xdr:col>
      <xdr:colOff>3283</xdr:colOff>
      <xdr:row>22</xdr:row>
      <xdr:rowOff>190105</xdr:rowOff>
    </xdr:to>
    <xdr:sp macro="" textlink="">
      <xdr:nvSpPr>
        <xdr:cNvPr id="5" name="Rechthoek 4"/>
        <xdr:cNvSpPr/>
      </xdr:nvSpPr>
      <xdr:spPr>
        <a:xfrm>
          <a:off x="3088218" y="3341113"/>
          <a:ext cx="1825732"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Totale inkomsten 2019</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3</xdr:col>
      <xdr:colOff>549007</xdr:colOff>
      <xdr:row>20</xdr:row>
      <xdr:rowOff>188693</xdr:rowOff>
    </xdr:from>
    <xdr:to>
      <xdr:col>5</xdr:col>
      <xdr:colOff>19051</xdr:colOff>
      <xdr:row>21</xdr:row>
      <xdr:rowOff>12620</xdr:rowOff>
    </xdr:to>
    <xdr:cxnSp macro="">
      <xdr:nvCxnSpPr>
        <xdr:cNvPr id="8" name="Rechte verbindingslijn met pijl 7"/>
        <xdr:cNvCxnSpPr>
          <a:stCxn id="14" idx="3"/>
          <a:endCxn id="5" idx="1"/>
        </xdr:cNvCxnSpPr>
      </xdr:nvCxnSpPr>
      <xdr:spPr>
        <a:xfrm flipV="1">
          <a:off x="2390507" y="3723526"/>
          <a:ext cx="697711"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20</xdr:row>
      <xdr:rowOff>188693</xdr:rowOff>
    </xdr:from>
    <xdr:to>
      <xdr:col>9</xdr:col>
      <xdr:colOff>146850</xdr:colOff>
      <xdr:row>21</xdr:row>
      <xdr:rowOff>9417</xdr:rowOff>
    </xdr:to>
    <xdr:cxnSp macro="">
      <xdr:nvCxnSpPr>
        <xdr:cNvPr id="9" name="Rechte verbindingslijn met pijl 8"/>
        <xdr:cNvCxnSpPr>
          <a:stCxn id="5" idx="3"/>
          <a:endCxn id="2" idx="1"/>
        </xdr:cNvCxnSpPr>
      </xdr:nvCxnSpPr>
      <xdr:spPr>
        <a:xfrm>
          <a:off x="4913950" y="3723526"/>
          <a:ext cx="757400"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19</xdr:row>
      <xdr:rowOff>33620</xdr:rowOff>
    </xdr:from>
    <xdr:to>
      <xdr:col>3</xdr:col>
      <xdr:colOff>549007</xdr:colOff>
      <xdr:row>22</xdr:row>
      <xdr:rowOff>182120</xdr:rowOff>
    </xdr:to>
    <xdr:sp macro="" textlink="">
      <xdr:nvSpPr>
        <xdr:cNvPr id="14" name="Rechthoek 13"/>
        <xdr:cNvSpPr/>
      </xdr:nvSpPr>
      <xdr:spPr>
        <a:xfrm>
          <a:off x="179293" y="3424520"/>
          <a:ext cx="1817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11</xdr:row>
      <xdr:rowOff>78441</xdr:rowOff>
    </xdr:from>
    <xdr:to>
      <xdr:col>7</xdr:col>
      <xdr:colOff>635292</xdr:colOff>
      <xdr:row>15</xdr:row>
      <xdr:rowOff>81265</xdr:rowOff>
    </xdr:to>
    <xdr:sp macro="" textlink="">
      <xdr:nvSpPr>
        <xdr:cNvPr id="15" name="Stroomdiagram: Proces 14"/>
        <xdr:cNvSpPr/>
      </xdr:nvSpPr>
      <xdr:spPr>
        <a:xfrm>
          <a:off x="2689410" y="194534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15</xdr:row>
      <xdr:rowOff>81265</xdr:rowOff>
    </xdr:from>
    <xdr:to>
      <xdr:col>6</xdr:col>
      <xdr:colOff>318084</xdr:colOff>
      <xdr:row>18</xdr:row>
      <xdr:rowOff>187280</xdr:rowOff>
    </xdr:to>
    <xdr:cxnSp macro="">
      <xdr:nvCxnSpPr>
        <xdr:cNvPr id="16" name="Rechte verbindingslijn met pijl 15"/>
        <xdr:cNvCxnSpPr>
          <a:stCxn id="15" idx="2"/>
          <a:endCxn id="5" idx="0"/>
        </xdr:cNvCxnSpPr>
      </xdr:nvCxnSpPr>
      <xdr:spPr>
        <a:xfrm>
          <a:off x="3997564" y="2663598"/>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publicatie/16355/GAW-sheet-bij-x-factorbesluiten-RNBs-gas-2017-2021" TargetMode="External"/><Relationship Id="rId2" Type="http://schemas.openxmlformats.org/officeDocument/2006/relationships/hyperlink" Target="https://www.acm.nl/nl/publicaties/publicatie/16359/X-factorberekening-bij-x-factorbesluiten-RNBs-Gas-2017---2021" TargetMode="External"/><Relationship Id="rId1" Type="http://schemas.openxmlformats.org/officeDocument/2006/relationships/hyperlink" Target="https://www.acm.nl/nl/publicaties/publicatie/16653/Berekening-totale-inkomsten-2017-regionaal-netbeheer-ga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D33"/>
  <sheetViews>
    <sheetView showGridLines="0" tabSelected="1" zoomScale="85" zoomScaleNormal="85" workbookViewId="0">
      <pane ySplit="3" topLeftCell="A4" activePane="bottomLeft" state="frozen"/>
      <selection activeCell="A4" sqref="A4"/>
      <selection pane="bottomLeft"/>
    </sheetView>
  </sheetViews>
  <sheetFormatPr defaultRowHeight="12.75" x14ac:dyDescent="0.25"/>
  <cols>
    <col min="1" max="1" width="2.85546875" style="2" customWidth="1"/>
    <col min="2" max="2" width="39.85546875" style="2" customWidth="1"/>
    <col min="3" max="3" width="91.85546875" style="2" customWidth="1"/>
    <col min="4" max="16384" width="9.140625" style="2"/>
  </cols>
  <sheetData>
    <row r="2" spans="2:3" s="13" customFormat="1" ht="18" x14ac:dyDescent="0.25">
      <c r="B2" s="12" t="s">
        <v>222</v>
      </c>
    </row>
    <row r="6" spans="2:3" x14ac:dyDescent="0.25">
      <c r="B6" s="3"/>
    </row>
    <row r="13" spans="2:3" s="8" customFormat="1" x14ac:dyDescent="0.25">
      <c r="B13" s="8" t="s">
        <v>0</v>
      </c>
    </row>
    <row r="14" spans="2:3" s="9" customFormat="1" x14ac:dyDescent="0.25"/>
    <row r="15" spans="2:3" x14ac:dyDescent="0.25">
      <c r="B15" s="10" t="s">
        <v>1</v>
      </c>
      <c r="C15" s="11" t="s">
        <v>319</v>
      </c>
    </row>
    <row r="16" spans="2:3" x14ac:dyDescent="0.25">
      <c r="B16" s="10" t="s">
        <v>2</v>
      </c>
      <c r="C16" s="11" t="s">
        <v>222</v>
      </c>
    </row>
    <row r="17" spans="2:3" x14ac:dyDescent="0.25">
      <c r="B17" s="10" t="s">
        <v>3</v>
      </c>
      <c r="C17" s="11"/>
    </row>
    <row r="18" spans="2:3" x14ac:dyDescent="0.25">
      <c r="B18" s="10" t="s">
        <v>4</v>
      </c>
      <c r="C18" s="11" t="s">
        <v>226</v>
      </c>
    </row>
    <row r="19" spans="2:3" x14ac:dyDescent="0.25">
      <c r="B19" s="10" t="s">
        <v>5</v>
      </c>
      <c r="C19" s="11"/>
    </row>
    <row r="20" spans="2:3" x14ac:dyDescent="0.25">
      <c r="B20" s="10" t="s">
        <v>6</v>
      </c>
      <c r="C20" s="11"/>
    </row>
    <row r="21" spans="2:3" x14ac:dyDescent="0.25">
      <c r="B21" s="10" t="s">
        <v>7</v>
      </c>
      <c r="C21" s="11" t="s">
        <v>326</v>
      </c>
    </row>
    <row r="22" spans="2:3" x14ac:dyDescent="0.25">
      <c r="B22" s="10" t="s">
        <v>8</v>
      </c>
      <c r="C22" s="11"/>
    </row>
    <row r="25" spans="2:3" s="8" customFormat="1" x14ac:dyDescent="0.25">
      <c r="B25" s="8" t="s">
        <v>9</v>
      </c>
    </row>
    <row r="27" spans="2:3" x14ac:dyDescent="0.25">
      <c r="B27" s="10" t="s">
        <v>10</v>
      </c>
      <c r="C27" s="11" t="s">
        <v>337</v>
      </c>
    </row>
    <row r="28" spans="2:3" x14ac:dyDescent="0.25">
      <c r="B28" s="10" t="s">
        <v>11</v>
      </c>
      <c r="C28" s="11" t="s">
        <v>337</v>
      </c>
    </row>
    <row r="29" spans="2:3" ht="25.5" x14ac:dyDescent="0.25">
      <c r="B29" s="10" t="s">
        <v>12</v>
      </c>
      <c r="C29" s="11" t="s">
        <v>337</v>
      </c>
    </row>
    <row r="30" spans="2:3" x14ac:dyDescent="0.25">
      <c r="B30" s="10" t="s">
        <v>13</v>
      </c>
      <c r="C30" s="11"/>
    </row>
    <row r="31" spans="2:3" x14ac:dyDescent="0.25">
      <c r="B31" s="10" t="s">
        <v>8</v>
      </c>
      <c r="C31" s="11"/>
    </row>
    <row r="33" spans="2:4" x14ac:dyDescent="0.25">
      <c r="B33" s="43"/>
      <c r="C33" s="43"/>
      <c r="D33" s="6"/>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X23"/>
  <sheetViews>
    <sheetView showGridLines="0" zoomScale="85" zoomScaleNormal="85" workbookViewId="0">
      <pane xSplit="6" ySplit="10" topLeftCell="G11" activePane="bottomRight" state="frozen"/>
      <selection activeCell="Q51" sqref="Q51"/>
      <selection pane="topRight" activeCell="Q51" sqref="Q51"/>
      <selection pane="bottomLeft" activeCell="Q51" sqref="Q51"/>
      <selection pane="bottomRight"/>
    </sheetView>
  </sheetViews>
  <sheetFormatPr defaultRowHeight="12.75" customHeight="1"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52" customWidth="1"/>
    <col min="14" max="15" width="15.85546875" style="52" bestFit="1" customWidth="1"/>
    <col min="16" max="16" width="12.5703125" style="52" customWidth="1"/>
    <col min="17" max="17" width="15.85546875" style="52" bestFit="1" customWidth="1"/>
    <col min="18" max="19" width="12.5703125" style="52" customWidth="1"/>
    <col min="20" max="21" width="2.7109375" style="2" customWidth="1"/>
    <col min="22" max="22" width="13.7109375" style="2" customWidth="1"/>
    <col min="23" max="23" width="2.7109375" style="2" customWidth="1"/>
    <col min="24" max="37" width="13.7109375" style="2" customWidth="1"/>
    <col min="38" max="16384" width="9.140625" style="2"/>
  </cols>
  <sheetData>
    <row r="2" spans="2:24" s="32" customFormat="1" ht="18" x14ac:dyDescent="0.25">
      <c r="B2" s="32" t="s">
        <v>236</v>
      </c>
      <c r="L2" s="51"/>
      <c r="M2" s="51"/>
      <c r="N2" s="51"/>
      <c r="O2" s="51"/>
      <c r="P2" s="51"/>
      <c r="Q2" s="51"/>
      <c r="R2" s="51"/>
      <c r="S2" s="51"/>
    </row>
    <row r="4" spans="2:24" ht="12.75" customHeight="1" x14ac:dyDescent="0.25">
      <c r="B4" s="1" t="s">
        <v>61</v>
      </c>
      <c r="C4" s="1"/>
      <c r="D4" s="1"/>
      <c r="J4" s="44"/>
    </row>
    <row r="5" spans="2:24" ht="12.75" customHeight="1" x14ac:dyDescent="0.25">
      <c r="B5" s="39"/>
      <c r="C5" s="3"/>
      <c r="D5" s="3"/>
      <c r="H5" s="33"/>
    </row>
    <row r="6" spans="2:24" s="46" customFormat="1" ht="12.75" customHeight="1" x14ac:dyDescent="0.2">
      <c r="B6" s="46" t="s">
        <v>237</v>
      </c>
    </row>
    <row r="7" spans="2:24" s="46" customFormat="1" ht="12.75" customHeight="1" x14ac:dyDescent="0.2">
      <c r="B7" s="161" t="s">
        <v>324</v>
      </c>
    </row>
    <row r="9" spans="2:24" s="8" customFormat="1" ht="12.75" customHeight="1" x14ac:dyDescent="0.25">
      <c r="B9" s="8" t="s">
        <v>47</v>
      </c>
      <c r="F9" s="8" t="s">
        <v>29</v>
      </c>
      <c r="H9" s="8" t="s">
        <v>30</v>
      </c>
      <c r="J9" s="8" t="s">
        <v>51</v>
      </c>
      <c r="L9" s="53" t="s">
        <v>177</v>
      </c>
      <c r="M9" s="53" t="s">
        <v>68</v>
      </c>
      <c r="N9" s="53" t="s">
        <v>69</v>
      </c>
      <c r="O9" s="53" t="s">
        <v>70</v>
      </c>
      <c r="P9" s="53" t="s">
        <v>71</v>
      </c>
      <c r="Q9" s="53" t="s">
        <v>72</v>
      </c>
      <c r="R9" s="53" t="s">
        <v>73</v>
      </c>
      <c r="S9" s="53" t="s">
        <v>74</v>
      </c>
      <c r="V9" s="8" t="s">
        <v>48</v>
      </c>
      <c r="X9" s="8" t="s">
        <v>49</v>
      </c>
    </row>
    <row r="11" spans="2:24" x14ac:dyDescent="0.25">
      <c r="L11" s="2"/>
      <c r="M11" s="2"/>
      <c r="N11" s="2"/>
      <c r="O11" s="2"/>
      <c r="P11" s="2"/>
      <c r="Q11" s="2"/>
      <c r="R11" s="2"/>
      <c r="S11" s="2"/>
    </row>
    <row r="12" spans="2:24" s="8" customFormat="1" x14ac:dyDescent="0.25">
      <c r="B12" s="8" t="s">
        <v>310</v>
      </c>
    </row>
    <row r="14" spans="2:24" ht="12.75" customHeight="1" x14ac:dyDescent="0.25">
      <c r="B14" s="2" t="s">
        <v>244</v>
      </c>
      <c r="F14" s="2" t="s">
        <v>143</v>
      </c>
      <c r="L14" s="121">
        <v>0.77867362464498346</v>
      </c>
      <c r="M14" s="121">
        <v>0.75486748075183863</v>
      </c>
      <c r="N14" s="121">
        <v>0.77913791341977912</v>
      </c>
      <c r="O14" s="121">
        <v>0.78669324665350582</v>
      </c>
      <c r="P14" s="121">
        <v>0.80302180767735376</v>
      </c>
      <c r="Q14" s="121">
        <v>0.78818495241083253</v>
      </c>
      <c r="R14" s="121">
        <v>0.87055876029702839</v>
      </c>
      <c r="S14" s="121">
        <v>0</v>
      </c>
      <c r="V14" s="2" t="s">
        <v>311</v>
      </c>
    </row>
    <row r="15" spans="2:24" ht="12.75" customHeight="1" x14ac:dyDescent="0.25">
      <c r="B15" s="2" t="s">
        <v>245</v>
      </c>
      <c r="F15" s="2" t="s">
        <v>143</v>
      </c>
      <c r="L15" s="121">
        <v>0.19175388830825968</v>
      </c>
      <c r="M15" s="121">
        <v>0.18316773968962388</v>
      </c>
      <c r="N15" s="121">
        <v>0.18760336819963264</v>
      </c>
      <c r="O15" s="121">
        <v>0.18398725103646746</v>
      </c>
      <c r="P15" s="121">
        <v>0.17403268674664804</v>
      </c>
      <c r="Q15" s="121">
        <v>0.17776422963502692</v>
      </c>
      <c r="R15" s="121">
        <v>9.6982017756294794E-2</v>
      </c>
      <c r="S15" s="121">
        <v>0</v>
      </c>
      <c r="V15" s="2" t="s">
        <v>312</v>
      </c>
    </row>
    <row r="16" spans="2:24" ht="12.75" customHeight="1" x14ac:dyDescent="0.25">
      <c r="B16" s="2" t="s">
        <v>246</v>
      </c>
      <c r="F16" s="2" t="s">
        <v>143</v>
      </c>
      <c r="L16" s="121">
        <v>2.957248704675678E-2</v>
      </c>
      <c r="M16" s="121">
        <v>3.7056611806668194E-2</v>
      </c>
      <c r="N16" s="121">
        <v>3.1002268580330457E-2</v>
      </c>
      <c r="O16" s="121">
        <v>2.9318052885245145E-2</v>
      </c>
      <c r="P16" s="121">
        <v>2.2945505575998303E-2</v>
      </c>
      <c r="Q16" s="121">
        <v>3.4050817954140555E-2</v>
      </c>
      <c r="R16" s="121">
        <v>3.2459221946676831E-2</v>
      </c>
      <c r="S16" s="121">
        <v>0</v>
      </c>
      <c r="V16" s="2" t="s">
        <v>313</v>
      </c>
    </row>
    <row r="17" spans="2:22" ht="12.75" customHeight="1" x14ac:dyDescent="0.25">
      <c r="B17" s="2" t="s">
        <v>247</v>
      </c>
      <c r="F17" s="2" t="s">
        <v>143</v>
      </c>
      <c r="L17" s="121">
        <v>0</v>
      </c>
      <c r="M17" s="121">
        <v>2.4908167751869263E-2</v>
      </c>
      <c r="N17" s="121">
        <v>2.2564498002578754E-3</v>
      </c>
      <c r="O17" s="121">
        <v>1.4494247815699772E-6</v>
      </c>
      <c r="P17" s="121">
        <v>0</v>
      </c>
      <c r="Q17" s="121">
        <v>0</v>
      </c>
      <c r="R17" s="121">
        <v>0</v>
      </c>
      <c r="S17" s="121">
        <v>1</v>
      </c>
      <c r="V17" s="2" t="s">
        <v>314</v>
      </c>
    </row>
    <row r="18" spans="2:22" ht="12.75" customHeight="1" x14ac:dyDescent="0.25">
      <c r="L18" s="148"/>
      <c r="M18" s="148"/>
      <c r="N18" s="148"/>
      <c r="O18" s="148"/>
      <c r="P18" s="148"/>
      <c r="Q18" s="148"/>
      <c r="R18" s="148"/>
      <c r="S18" s="148"/>
    </row>
    <row r="19" spans="2:22" ht="12.75" customHeight="1" x14ac:dyDescent="0.25">
      <c r="B19" s="2" t="s">
        <v>248</v>
      </c>
      <c r="F19" s="2" t="s">
        <v>143</v>
      </c>
      <c r="L19" s="121">
        <v>0.75506008100436595</v>
      </c>
      <c r="M19" s="121">
        <v>0.73259072090432487</v>
      </c>
      <c r="N19" s="121">
        <v>0.75588980005251849</v>
      </c>
      <c r="O19" s="121">
        <v>0.76536613258601427</v>
      </c>
      <c r="P19" s="121">
        <v>0.78305716665320535</v>
      </c>
      <c r="Q19" s="121">
        <v>0.76649819951187326</v>
      </c>
      <c r="R19" s="121">
        <v>0.85492434770834713</v>
      </c>
      <c r="S19" s="121">
        <v>0</v>
      </c>
      <c r="V19" s="2" t="s">
        <v>315</v>
      </c>
    </row>
    <row r="20" spans="2:22" ht="12.75" customHeight="1" x14ac:dyDescent="0.25">
      <c r="B20" s="2" t="s">
        <v>249</v>
      </c>
      <c r="F20" s="2" t="s">
        <v>143</v>
      </c>
      <c r="L20" s="121">
        <v>0.21306029948612157</v>
      </c>
      <c r="M20" s="121">
        <v>0.2034561758362734</v>
      </c>
      <c r="N20" s="121">
        <v>0.20850568901264896</v>
      </c>
      <c r="O20" s="121">
        <v>0.20321871584243262</v>
      </c>
      <c r="P20" s="121">
        <v>0.19232651561190292</v>
      </c>
      <c r="Q20" s="121">
        <v>0.19693733154491244</v>
      </c>
      <c r="R20" s="121">
        <v>0.10963854437873144</v>
      </c>
      <c r="S20" s="121">
        <v>0</v>
      </c>
      <c r="V20" s="2" t="s">
        <v>316</v>
      </c>
    </row>
    <row r="21" spans="2:22" ht="12.75" customHeight="1" x14ac:dyDescent="0.25">
      <c r="B21" s="2" t="s">
        <v>250</v>
      </c>
      <c r="F21" s="2" t="s">
        <v>143</v>
      </c>
      <c r="L21" s="121">
        <v>3.1879619509512472E-2</v>
      </c>
      <c r="M21" s="121">
        <v>3.9885513125480318E-2</v>
      </c>
      <c r="N21" s="121">
        <v>3.3420822448132249E-2</v>
      </c>
      <c r="O21" s="121">
        <v>3.1413757382099797E-2</v>
      </c>
      <c r="P21" s="121">
        <v>2.4616317734891827E-2</v>
      </c>
      <c r="Q21" s="121">
        <v>3.6564468943214336E-2</v>
      </c>
      <c r="R21" s="121">
        <v>3.5437107912921546E-2</v>
      </c>
      <c r="S21" s="121">
        <v>0</v>
      </c>
      <c r="V21" s="2" t="s">
        <v>317</v>
      </c>
    </row>
    <row r="22" spans="2:22" ht="12.75" customHeight="1" x14ac:dyDescent="0.25">
      <c r="B22" s="2" t="s">
        <v>251</v>
      </c>
      <c r="F22" s="2" t="s">
        <v>143</v>
      </c>
      <c r="L22" s="121">
        <v>0</v>
      </c>
      <c r="M22" s="121">
        <v>2.4067590133921513E-2</v>
      </c>
      <c r="N22" s="121">
        <v>2.1836884867004179E-3</v>
      </c>
      <c r="O22" s="121">
        <v>1.3941894533687159E-6</v>
      </c>
      <c r="P22" s="121">
        <v>0</v>
      </c>
      <c r="Q22" s="121">
        <v>0</v>
      </c>
      <c r="R22" s="121">
        <v>0</v>
      </c>
      <c r="S22" s="121">
        <v>1</v>
      </c>
      <c r="V22" s="2" t="s">
        <v>318</v>
      </c>
    </row>
    <row r="23" spans="2:22" ht="12.75" customHeight="1" x14ac:dyDescent="0.25">
      <c r="L23" s="148"/>
      <c r="M23" s="148"/>
      <c r="N23" s="148"/>
      <c r="O23" s="148"/>
      <c r="P23" s="148"/>
      <c r="Q23" s="148"/>
      <c r="R23" s="148"/>
      <c r="S23" s="148"/>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5"/>
  <cols>
    <col min="1" max="16384" width="9.140625" style="37"/>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Z34"/>
  <sheetViews>
    <sheetView showGridLines="0" zoomScale="85" zoomScaleNormal="85" workbookViewId="0">
      <pane xSplit="6" ySplit="9" topLeftCell="G10" activePane="bottomRight" state="frozen"/>
      <selection activeCell="A4" sqref="A4"/>
      <selection pane="topRight" activeCell="A4" sqref="A4"/>
      <selection pane="bottomLeft" activeCell="A4" sqref="A4"/>
      <selection pane="bottomRight"/>
    </sheetView>
  </sheetViews>
  <sheetFormatPr defaultRowHeight="12.75" x14ac:dyDescent="0.25"/>
  <cols>
    <col min="1" max="1" width="4" style="2" customWidth="1"/>
    <col min="2" max="2" width="48"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2" width="12.5703125" style="2" customWidth="1"/>
    <col min="23" max="23" width="2.7109375" style="2" customWidth="1"/>
    <col min="24" max="24" width="25.5703125" style="2" customWidth="1"/>
    <col min="25" max="25" width="3.140625" style="2" customWidth="1"/>
    <col min="26" max="26" width="18" style="2" customWidth="1"/>
    <col min="27" max="39" width="13.7109375" style="2" customWidth="1"/>
    <col min="40" max="16384" width="9.140625" style="2"/>
  </cols>
  <sheetData>
    <row r="2" spans="1:26" s="32" customFormat="1" ht="18" x14ac:dyDescent="0.25">
      <c r="B2" s="32" t="s">
        <v>163</v>
      </c>
    </row>
    <row r="4" spans="1:26" x14ac:dyDescent="0.25">
      <c r="B4" s="1" t="s">
        <v>61</v>
      </c>
      <c r="C4" s="1"/>
      <c r="D4" s="1"/>
    </row>
    <row r="5" spans="1:26" x14ac:dyDescent="0.25">
      <c r="A5" s="9"/>
      <c r="B5" s="39" t="s">
        <v>294</v>
      </c>
      <c r="C5" s="39"/>
      <c r="D5" s="39"/>
      <c r="H5" s="33"/>
    </row>
    <row r="6" spans="1:26" x14ac:dyDescent="0.25">
      <c r="B6" s="39" t="s">
        <v>304</v>
      </c>
      <c r="C6" s="39"/>
      <c r="D6" s="39"/>
      <c r="H6" s="33"/>
    </row>
    <row r="8" spans="1:26" s="8" customFormat="1" x14ac:dyDescent="0.25">
      <c r="B8" s="8" t="s">
        <v>47</v>
      </c>
      <c r="F8" s="8" t="s">
        <v>29</v>
      </c>
      <c r="H8" s="8" t="s">
        <v>30</v>
      </c>
      <c r="J8" s="8" t="s">
        <v>51</v>
      </c>
      <c r="L8" s="127">
        <v>2011</v>
      </c>
      <c r="M8" s="127">
        <v>2012</v>
      </c>
      <c r="N8" s="127">
        <v>2013</v>
      </c>
      <c r="O8" s="127">
        <v>2014</v>
      </c>
      <c r="P8" s="127">
        <v>2015</v>
      </c>
      <c r="Q8" s="127">
        <v>2016</v>
      </c>
      <c r="R8" s="127">
        <v>2017</v>
      </c>
      <c r="S8" s="127">
        <v>2018</v>
      </c>
      <c r="T8" s="127">
        <v>2019</v>
      </c>
      <c r="U8" s="127">
        <v>2020</v>
      </c>
      <c r="V8" s="127">
        <v>2021</v>
      </c>
      <c r="W8" s="151"/>
      <c r="X8" s="8" t="s">
        <v>48</v>
      </c>
      <c r="Z8" s="8" t="s">
        <v>49</v>
      </c>
    </row>
    <row r="11" spans="1:26" s="8" customFormat="1" x14ac:dyDescent="0.25">
      <c r="B11" s="8" t="s">
        <v>50</v>
      </c>
    </row>
    <row r="13" spans="1:26" x14ac:dyDescent="0.25">
      <c r="B13" s="1" t="s">
        <v>146</v>
      </c>
    </row>
    <row r="14" spans="1:26" x14ac:dyDescent="0.25">
      <c r="B14" s="2" t="s">
        <v>147</v>
      </c>
      <c r="F14" s="2" t="s">
        <v>143</v>
      </c>
      <c r="L14" s="123">
        <f>'Input parameters'!L33</f>
        <v>2.5000000000000001E-2</v>
      </c>
      <c r="M14" s="123">
        <f>'Input parameters'!M33</f>
        <v>2.8500000000000001E-2</v>
      </c>
      <c r="N14" s="123">
        <f>'Input parameters'!N33</f>
        <v>0.03</v>
      </c>
      <c r="O14" s="123">
        <f>'Input parameters'!O33</f>
        <v>0.03</v>
      </c>
      <c r="P14" s="123">
        <f>'Input parameters'!P33</f>
        <v>0.04</v>
      </c>
      <c r="Q14" s="123">
        <f>'Input parameters'!Q33</f>
        <v>0.04</v>
      </c>
      <c r="R14" s="123">
        <f>'Input parameters'!R33</f>
        <v>0.04</v>
      </c>
      <c r="S14" s="123">
        <f>'Input parameters'!S33</f>
        <v>0.04</v>
      </c>
      <c r="T14" s="123">
        <f>'Input parameters'!T33</f>
        <v>0.04</v>
      </c>
    </row>
    <row r="15" spans="1:26" x14ac:dyDescent="0.25">
      <c r="B15" s="2" t="s">
        <v>148</v>
      </c>
      <c r="F15" s="2" t="s">
        <v>143</v>
      </c>
      <c r="L15" s="123">
        <f>'Input parameters'!L34</f>
        <v>2.5000000000000001E-2</v>
      </c>
      <c r="M15" s="123">
        <f>'Input parameters'!M34</f>
        <v>2.3E-2</v>
      </c>
      <c r="N15" s="123">
        <f>'Input parameters'!N34</f>
        <v>0.03</v>
      </c>
      <c r="O15" s="123">
        <f>'Input parameters'!O34</f>
        <v>0.04</v>
      </c>
      <c r="P15" s="123">
        <f>'Input parameters'!P34</f>
        <v>0.04</v>
      </c>
      <c r="Q15" s="123">
        <f>'Input parameters'!Q34</f>
        <v>0.04</v>
      </c>
      <c r="R15" s="123">
        <f>'Input parameters'!R34</f>
        <v>0.04</v>
      </c>
      <c r="S15" s="123">
        <f>'Input parameters'!S34</f>
        <v>0.04</v>
      </c>
      <c r="T15" s="123">
        <f>'Input parameters'!T34</f>
        <v>0.04</v>
      </c>
    </row>
    <row r="16" spans="1:26" x14ac:dyDescent="0.25">
      <c r="B16" s="2" t="s">
        <v>149</v>
      </c>
      <c r="F16" s="2" t="s">
        <v>143</v>
      </c>
      <c r="L16" s="123">
        <f>'Input parameters'!L35</f>
        <v>2.75E-2</v>
      </c>
      <c r="M16" s="123">
        <f>'Input parameters'!M35</f>
        <v>2.5000000000000001E-2</v>
      </c>
      <c r="N16" s="123">
        <f>'Input parameters'!N35</f>
        <v>0.03</v>
      </c>
      <c r="O16" s="123">
        <f>'Input parameters'!O35</f>
        <v>0.04</v>
      </c>
      <c r="P16" s="123">
        <f>'Input parameters'!P35</f>
        <v>0.04</v>
      </c>
      <c r="Q16" s="123">
        <f>'Input parameters'!Q35</f>
        <v>0.04</v>
      </c>
      <c r="R16" s="123">
        <f>'Input parameters'!R35</f>
        <v>0.04</v>
      </c>
      <c r="S16" s="123">
        <f>'Input parameters'!S35</f>
        <v>0.04</v>
      </c>
      <c r="T16" s="159"/>
    </row>
    <row r="17" spans="2:20" x14ac:dyDescent="0.25">
      <c r="B17" s="2" t="s">
        <v>150</v>
      </c>
      <c r="F17" s="2" t="s">
        <v>143</v>
      </c>
      <c r="L17" s="123">
        <f>'Input parameters'!L36</f>
        <v>0.03</v>
      </c>
      <c r="M17" s="123">
        <f>'Input parameters'!M36</f>
        <v>2.2499999999999999E-2</v>
      </c>
      <c r="N17" s="123">
        <f>'Input parameters'!N36</f>
        <v>0.03</v>
      </c>
      <c r="O17" s="123">
        <f>'Input parameters'!O36</f>
        <v>0.04</v>
      </c>
      <c r="P17" s="123">
        <f>'Input parameters'!P36</f>
        <v>0.04</v>
      </c>
      <c r="Q17" s="123">
        <f>'Input parameters'!Q36</f>
        <v>0.04</v>
      </c>
      <c r="R17" s="123">
        <f>'Input parameters'!R36</f>
        <v>0.04</v>
      </c>
      <c r="S17" s="123">
        <f>'Input parameters'!S36</f>
        <v>0.04</v>
      </c>
      <c r="T17" s="159"/>
    </row>
    <row r="20" spans="2:20" s="8" customFormat="1" x14ac:dyDescent="0.25">
      <c r="B20" s="8" t="s">
        <v>162</v>
      </c>
    </row>
    <row r="22" spans="2:20" x14ac:dyDescent="0.25">
      <c r="B22" s="1" t="s">
        <v>161</v>
      </c>
    </row>
    <row r="23" spans="2:20" x14ac:dyDescent="0.25">
      <c r="B23" s="2" t="s">
        <v>160</v>
      </c>
      <c r="M23" s="125">
        <f t="shared" ref="M23:T23" si="0">M8</f>
        <v>2012</v>
      </c>
      <c r="N23" s="125">
        <f t="shared" si="0"/>
        <v>2013</v>
      </c>
      <c r="O23" s="125">
        <f t="shared" si="0"/>
        <v>2014</v>
      </c>
      <c r="P23" s="125">
        <f t="shared" si="0"/>
        <v>2015</v>
      </c>
      <c r="Q23" s="125">
        <f t="shared" si="0"/>
        <v>2016</v>
      </c>
      <c r="R23" s="125">
        <f t="shared" si="0"/>
        <v>2017</v>
      </c>
      <c r="S23" s="125">
        <f t="shared" si="0"/>
        <v>2018</v>
      </c>
      <c r="T23" s="125">
        <f t="shared" si="0"/>
        <v>2019</v>
      </c>
    </row>
    <row r="24" spans="2:20" x14ac:dyDescent="0.25">
      <c r="B24" s="2" t="s">
        <v>159</v>
      </c>
      <c r="F24" s="2" t="s">
        <v>143</v>
      </c>
      <c r="M24" s="124">
        <f t="shared" ref="M24:T24" si="1">((1+L16)*(1+L17)*(1+M14)*(1+M15))^(1/4)-1</f>
        <v>2.7246679826694153E-2</v>
      </c>
      <c r="N24" s="124">
        <f t="shared" si="1"/>
        <v>2.6869862241643006E-2</v>
      </c>
      <c r="O24" s="124">
        <f t="shared" si="1"/>
        <v>3.2490949264880609E-2</v>
      </c>
      <c r="P24" s="124">
        <f t="shared" si="1"/>
        <v>4.0000000000000036E-2</v>
      </c>
      <c r="Q24" s="124">
        <f t="shared" si="1"/>
        <v>4.0000000000000036E-2</v>
      </c>
      <c r="R24" s="124">
        <f t="shared" si="1"/>
        <v>4.0000000000000036E-2</v>
      </c>
      <c r="S24" s="124">
        <f t="shared" si="1"/>
        <v>4.0000000000000036E-2</v>
      </c>
      <c r="T24" s="126">
        <f t="shared" si="1"/>
        <v>4.0000000000000036E-2</v>
      </c>
    </row>
    <row r="26" spans="2:20" x14ac:dyDescent="0.25">
      <c r="B26" s="1" t="s">
        <v>158</v>
      </c>
    </row>
    <row r="27" spans="2:20" x14ac:dyDescent="0.25">
      <c r="B27" s="2" t="s">
        <v>157</v>
      </c>
      <c r="F27" s="2" t="s">
        <v>143</v>
      </c>
      <c r="M27" s="123">
        <f>M24</f>
        <v>2.7246679826694153E-2</v>
      </c>
      <c r="N27" s="124">
        <f t="shared" ref="N27:T27" si="2">(1+M27)*(1+N$24)-1</f>
        <v>5.4848656601822476E-2</v>
      </c>
      <c r="O27" s="124">
        <f t="shared" si="2"/>
        <v>8.9121690785599839E-2</v>
      </c>
      <c r="P27" s="124">
        <f t="shared" si="2"/>
        <v>0.13268655841702381</v>
      </c>
      <c r="Q27" s="124">
        <f t="shared" si="2"/>
        <v>0.17799402075370474</v>
      </c>
      <c r="R27" s="124">
        <f t="shared" si="2"/>
        <v>0.22511378158385287</v>
      </c>
      <c r="S27" s="124">
        <f t="shared" si="2"/>
        <v>0.27411833284720699</v>
      </c>
      <c r="T27" s="124">
        <f t="shared" si="2"/>
        <v>0.32508306616109528</v>
      </c>
    </row>
    <row r="28" spans="2:20" x14ac:dyDescent="0.25">
      <c r="B28" s="2" t="s">
        <v>156</v>
      </c>
      <c r="F28" s="2" t="s">
        <v>143</v>
      </c>
      <c r="M28" s="20"/>
      <c r="N28" s="123">
        <f>N24</f>
        <v>2.6869862241643006E-2</v>
      </c>
      <c r="O28" s="124">
        <f t="shared" ref="O28:T28" si="3">(1+N28)*(1+O$24)-1</f>
        <v>6.0233838837371101E-2</v>
      </c>
      <c r="P28" s="124">
        <f t="shared" si="3"/>
        <v>0.10264319239086594</v>
      </c>
      <c r="Q28" s="124">
        <f t="shared" si="3"/>
        <v>0.14674892008650064</v>
      </c>
      <c r="R28" s="124">
        <f t="shared" si="3"/>
        <v>0.19261887688996082</v>
      </c>
      <c r="S28" s="124">
        <f t="shared" si="3"/>
        <v>0.24032363196555928</v>
      </c>
      <c r="T28" s="124">
        <f t="shared" si="3"/>
        <v>0.28993657724418176</v>
      </c>
    </row>
    <row r="29" spans="2:20" x14ac:dyDescent="0.25">
      <c r="B29" s="2" t="s">
        <v>155</v>
      </c>
      <c r="F29" s="2" t="s">
        <v>143</v>
      </c>
      <c r="M29" s="20"/>
      <c r="N29" s="20"/>
      <c r="O29" s="123">
        <f>O24</f>
        <v>3.2490949264880609E-2</v>
      </c>
      <c r="P29" s="124">
        <f>(1+O29)*(1+P$24)-1</f>
        <v>7.3790587235475824E-2</v>
      </c>
      <c r="Q29" s="124">
        <f>(1+P29)*(1+Q$24)-1</f>
        <v>0.11674221072489499</v>
      </c>
      <c r="R29" s="124">
        <f>(1+Q29)*(1+R$24)-1</f>
        <v>0.16141189915389087</v>
      </c>
      <c r="S29" s="124">
        <f>(1+R29)*(1+S$24)-1</f>
        <v>0.20786837512004652</v>
      </c>
      <c r="T29" s="124">
        <f>(1+S29)*(1+T$24)-1</f>
        <v>0.2561831101248484</v>
      </c>
    </row>
    <row r="30" spans="2:20" x14ac:dyDescent="0.25">
      <c r="B30" s="2" t="s">
        <v>154</v>
      </c>
      <c r="F30" s="2" t="s">
        <v>143</v>
      </c>
      <c r="M30" s="20"/>
      <c r="N30" s="20"/>
      <c r="O30" s="20"/>
      <c r="P30" s="123">
        <f>P24</f>
        <v>4.0000000000000036E-2</v>
      </c>
      <c r="Q30" s="124">
        <f>(1+P30)*(1+Q$24)-1</f>
        <v>8.1600000000000117E-2</v>
      </c>
      <c r="R30" s="124">
        <f>(1+Q30)*(1+R$24)-1</f>
        <v>0.12486400000000009</v>
      </c>
      <c r="S30" s="124">
        <f>(1+R30)*(1+S$24)-1</f>
        <v>0.16985856000000021</v>
      </c>
      <c r="T30" s="124">
        <f>(1+S30)*(1+T$24)-1</f>
        <v>0.21665290240000035</v>
      </c>
    </row>
    <row r="31" spans="2:20" x14ac:dyDescent="0.25">
      <c r="B31" s="2" t="s">
        <v>153</v>
      </c>
      <c r="F31" s="2" t="s">
        <v>143</v>
      </c>
      <c r="M31" s="20"/>
      <c r="N31" s="20"/>
      <c r="O31" s="20"/>
      <c r="P31" s="20"/>
      <c r="Q31" s="123">
        <f>Q24</f>
        <v>4.0000000000000036E-2</v>
      </c>
      <c r="R31" s="124">
        <f>(1+Q31)*(1+R$24)-1</f>
        <v>8.1600000000000117E-2</v>
      </c>
      <c r="S31" s="124">
        <f>(1+R31)*(1+S$24)-1</f>
        <v>0.12486400000000009</v>
      </c>
      <c r="T31" s="124">
        <f>(1+S31)*(1+T$24)-1</f>
        <v>0.16985856000000021</v>
      </c>
    </row>
    <row r="32" spans="2:20" x14ac:dyDescent="0.25">
      <c r="B32" s="2" t="s">
        <v>152</v>
      </c>
      <c r="F32" s="2" t="s">
        <v>143</v>
      </c>
      <c r="M32" s="20"/>
      <c r="N32" s="20"/>
      <c r="O32" s="20"/>
      <c r="P32" s="20"/>
      <c r="Q32" s="20"/>
      <c r="R32" s="123">
        <f>R24</f>
        <v>4.0000000000000036E-2</v>
      </c>
      <c r="S32" s="124">
        <f>(1+R32)*(1+S$24)-1</f>
        <v>8.1600000000000117E-2</v>
      </c>
      <c r="T32" s="124">
        <f>(1+S32)*(1+T$24)-1</f>
        <v>0.12486400000000009</v>
      </c>
    </row>
    <row r="33" spans="2:20" x14ac:dyDescent="0.25">
      <c r="B33" s="2" t="s">
        <v>151</v>
      </c>
      <c r="F33" s="2" t="s">
        <v>143</v>
      </c>
      <c r="M33" s="20"/>
      <c r="N33" s="20"/>
      <c r="O33" s="20"/>
      <c r="P33" s="20"/>
      <c r="Q33" s="20"/>
      <c r="R33" s="20"/>
      <c r="S33" s="123">
        <f>S24</f>
        <v>4.0000000000000036E-2</v>
      </c>
      <c r="T33" s="124">
        <f>(1+S33)*(1+T$24)-1</f>
        <v>8.1600000000000117E-2</v>
      </c>
    </row>
    <row r="34" spans="2:20" x14ac:dyDescent="0.25">
      <c r="B34" s="2" t="s">
        <v>295</v>
      </c>
      <c r="F34" s="2" t="s">
        <v>143</v>
      </c>
      <c r="M34" s="20"/>
      <c r="N34" s="20"/>
      <c r="O34" s="20"/>
      <c r="P34" s="20"/>
      <c r="Q34" s="20"/>
      <c r="R34" s="20"/>
      <c r="S34" s="20"/>
      <c r="T34" s="123">
        <f>T24</f>
        <v>4.0000000000000036E-2</v>
      </c>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V42"/>
  <sheetViews>
    <sheetView showGridLines="0" zoomScale="85" zoomScaleNormal="85" workbookViewId="0">
      <pane xSplit="6" ySplit="12" topLeftCell="G13" activePane="bottomRight" state="frozen"/>
      <selection activeCell="Q51" sqref="Q51"/>
      <selection pane="topRight" activeCell="Q51" sqref="Q51"/>
      <selection pane="bottomLeft" activeCell="Q51" sqref="Q51"/>
      <selection pane="bottomRight"/>
    </sheetView>
  </sheetViews>
  <sheetFormatPr defaultRowHeight="12.75" customHeight="1" x14ac:dyDescent="0.25"/>
  <cols>
    <col min="1" max="1" width="4" style="2" customWidth="1"/>
    <col min="2" max="2" width="59.42578125" style="2" customWidth="1"/>
    <col min="3" max="4" width="4.5703125" style="2" customWidth="1"/>
    <col min="5" max="5" width="12.1406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7109375" style="52" bestFit="1" customWidth="1"/>
    <col min="14" max="15" width="15.85546875" style="52" bestFit="1" customWidth="1"/>
    <col min="16" max="16" width="12.5703125" style="52" customWidth="1"/>
    <col min="17" max="17" width="15.85546875" style="52" bestFit="1" customWidth="1"/>
    <col min="18" max="19" width="12.5703125" style="52" customWidth="1"/>
    <col min="20" max="21" width="2.7109375" style="2" customWidth="1"/>
    <col min="22" max="36" width="13.7109375" style="2" customWidth="1"/>
    <col min="37" max="16384" width="9.140625" style="2"/>
  </cols>
  <sheetData>
    <row r="2" spans="2:22" s="32" customFormat="1" ht="18" x14ac:dyDescent="0.25">
      <c r="B2" s="32" t="s">
        <v>204</v>
      </c>
      <c r="L2" s="51"/>
      <c r="M2" s="51"/>
      <c r="N2" s="51"/>
      <c r="O2" s="51"/>
      <c r="P2" s="51"/>
      <c r="Q2" s="51"/>
      <c r="R2" s="51"/>
      <c r="S2" s="51"/>
    </row>
    <row r="4" spans="2:22" ht="12.75" customHeight="1" x14ac:dyDescent="0.25">
      <c r="B4" s="1" t="s">
        <v>61</v>
      </c>
      <c r="C4" s="1"/>
      <c r="D4" s="1"/>
    </row>
    <row r="5" spans="2:22" ht="12.75" customHeight="1" x14ac:dyDescent="0.25">
      <c r="B5" s="39"/>
      <c r="C5" s="3"/>
      <c r="D5" s="3"/>
      <c r="H5" s="33"/>
    </row>
    <row r="6" spans="2:22" ht="12.75" customHeight="1" x14ac:dyDescent="0.2">
      <c r="B6" s="76" t="s">
        <v>203</v>
      </c>
    </row>
    <row r="7" spans="2:22" ht="12.75" customHeight="1" x14ac:dyDescent="0.2">
      <c r="B7" s="76" t="s">
        <v>191</v>
      </c>
    </row>
    <row r="8" spans="2:22" ht="12.75" customHeight="1" x14ac:dyDescent="0.2">
      <c r="B8" s="76" t="s">
        <v>300</v>
      </c>
      <c r="C8" s="3"/>
      <c r="D8" s="3"/>
      <c r="H8" s="33"/>
    </row>
    <row r="9" spans="2:22" ht="12.75" customHeight="1" x14ac:dyDescent="0.2">
      <c r="B9" s="76"/>
      <c r="C9" s="3"/>
      <c r="D9" s="3"/>
      <c r="H9" s="33"/>
    </row>
    <row r="10" spans="2:22" ht="12.75" customHeight="1" x14ac:dyDescent="0.25">
      <c r="B10" s="3"/>
    </row>
    <row r="11" spans="2:22" s="8" customFormat="1" ht="12.75" customHeight="1" x14ac:dyDescent="0.25">
      <c r="B11" s="8" t="s">
        <v>47</v>
      </c>
      <c r="F11" s="8" t="s">
        <v>29</v>
      </c>
      <c r="H11" s="8" t="s">
        <v>30</v>
      </c>
      <c r="J11" s="8" t="s">
        <v>51</v>
      </c>
      <c r="L11" s="53" t="s">
        <v>177</v>
      </c>
      <c r="M11" s="53" t="s">
        <v>68</v>
      </c>
      <c r="N11" s="53" t="s">
        <v>69</v>
      </c>
      <c r="O11" s="53" t="s">
        <v>70</v>
      </c>
      <c r="P11" s="53" t="s">
        <v>71</v>
      </c>
      <c r="Q11" s="53" t="s">
        <v>72</v>
      </c>
      <c r="R11" s="53" t="s">
        <v>73</v>
      </c>
      <c r="S11" s="53" t="s">
        <v>74</v>
      </c>
      <c r="V11" s="8" t="s">
        <v>49</v>
      </c>
    </row>
    <row r="14" spans="2:22" s="8" customFormat="1" ht="12.75" customHeight="1" x14ac:dyDescent="0.25">
      <c r="B14" s="8" t="s">
        <v>195</v>
      </c>
    </row>
    <row r="16" spans="2:22" ht="12.75" customHeight="1" x14ac:dyDescent="0.25">
      <c r="B16" s="1" t="s">
        <v>195</v>
      </c>
    </row>
    <row r="17" spans="1:19" ht="12.75" customHeight="1" x14ac:dyDescent="0.2">
      <c r="B17" s="87" t="s">
        <v>169</v>
      </c>
      <c r="C17" s="76"/>
      <c r="E17" s="76"/>
      <c r="F17" s="76" t="s">
        <v>215</v>
      </c>
      <c r="L17" s="114">
        <f>'Input lokale heffingen 2017'!L23</f>
        <v>19924881.148029286</v>
      </c>
      <c r="M17" s="114">
        <f>'Input lokale heffingen 2017'!M23</f>
        <v>27850281.668148845</v>
      </c>
      <c r="N17" s="114">
        <f>'Input lokale heffingen 2017'!N23</f>
        <v>325687429.09945923</v>
      </c>
      <c r="O17" s="114">
        <f>'Input lokale heffingen 2017'!O23</f>
        <v>376018786.04679012</v>
      </c>
      <c r="P17" s="114">
        <f>'Input lokale heffingen 2017'!P23</f>
        <v>16862366.761935793</v>
      </c>
      <c r="Q17" s="114">
        <f>'Input lokale heffingen 2017'!Q23</f>
        <v>278984790.69003886</v>
      </c>
      <c r="R17" s="114">
        <f>'Input lokale heffingen 2017'!R23</f>
        <v>15873598.83696973</v>
      </c>
      <c r="S17" s="114">
        <f>'Input lokale heffingen 2017'!S23</f>
        <v>5411806.5965916943</v>
      </c>
    </row>
    <row r="19" spans="1:19" ht="12.75" customHeight="1" x14ac:dyDescent="0.25">
      <c r="B19" s="1" t="s">
        <v>205</v>
      </c>
    </row>
    <row r="20" spans="1:19" ht="12.75" customHeight="1" x14ac:dyDescent="0.2">
      <c r="B20" s="94" t="s">
        <v>193</v>
      </c>
      <c r="C20" s="9"/>
      <c r="D20" s="9"/>
      <c r="E20" s="9"/>
      <c r="F20" s="94" t="s">
        <v>213</v>
      </c>
      <c r="G20" s="9"/>
      <c r="H20" s="9"/>
      <c r="I20" s="9"/>
      <c r="J20" s="71"/>
      <c r="K20" s="9"/>
      <c r="L20" s="114">
        <f>'Input lokale heffingen 2017'!L51</f>
        <v>20194791.192798588</v>
      </c>
      <c r="M20" s="114">
        <f>'Input lokale heffingen 2017'!M51</f>
        <v>28230489.513523933</v>
      </c>
      <c r="N20" s="114">
        <f>'Input lokale heffingen 2017'!N51</f>
        <v>331561738.76645088</v>
      </c>
      <c r="O20" s="114">
        <f>'Input lokale heffingen 2017'!O51</f>
        <v>403291160.06978238</v>
      </c>
      <c r="P20" s="114">
        <f>'Input lokale heffingen 2017'!P51</f>
        <v>16843705.06353401</v>
      </c>
      <c r="Q20" s="114">
        <f>'Input lokale heffingen 2017'!Q51</f>
        <v>296557916.46444798</v>
      </c>
      <c r="R20" s="114">
        <f>'Input lokale heffingen 2017'!R51</f>
        <v>16144563.107850987</v>
      </c>
      <c r="S20" s="114">
        <f>'Input lokale heffingen 2017'!S51</f>
        <v>5521688.1916046264</v>
      </c>
    </row>
    <row r="21" spans="1:19" ht="12.75" customHeight="1" x14ac:dyDescent="0.2">
      <c r="B21" s="94" t="s">
        <v>194</v>
      </c>
      <c r="C21" s="9"/>
      <c r="D21" s="9"/>
      <c r="E21" s="9"/>
      <c r="F21" s="94"/>
      <c r="G21" s="9"/>
      <c r="H21" s="9"/>
      <c r="I21" s="9"/>
      <c r="J21" s="9"/>
      <c r="K21" s="9"/>
      <c r="L21" s="70">
        <f>'Input lokale heffingen 2017'!L52</f>
        <v>1.54</v>
      </c>
      <c r="M21" s="70">
        <f>'Input lokale heffingen 2017'!M52</f>
        <v>1.51</v>
      </c>
      <c r="N21" s="70">
        <f>'Input lokale heffingen 2017'!N52</f>
        <v>1.53</v>
      </c>
      <c r="O21" s="70">
        <f>'Input lokale heffingen 2017'!O52</f>
        <v>1.33</v>
      </c>
      <c r="P21" s="70">
        <f>'Input lokale heffingen 2017'!P52</f>
        <v>1.37</v>
      </c>
      <c r="Q21" s="70">
        <f>'Input lokale heffingen 2017'!Q52</f>
        <v>1.39</v>
      </c>
      <c r="R21" s="70">
        <f>'Input lokale heffingen 2017'!R52</f>
        <v>1.79</v>
      </c>
      <c r="S21" s="70">
        <f>'Input lokale heffingen 2017'!S52</f>
        <v>2.19</v>
      </c>
    </row>
    <row r="22" spans="1:19" ht="12.75" customHeight="1" x14ac:dyDescent="0.2">
      <c r="B22" s="97"/>
      <c r="C22" s="98"/>
      <c r="D22" s="98"/>
      <c r="E22" s="98"/>
      <c r="F22" s="97"/>
      <c r="G22" s="98"/>
      <c r="H22" s="98"/>
      <c r="I22" s="98"/>
      <c r="J22" s="98"/>
      <c r="K22" s="98"/>
      <c r="L22" s="98"/>
      <c r="M22" s="98"/>
      <c r="N22" s="98"/>
      <c r="O22" s="98"/>
      <c r="P22" s="98"/>
      <c r="Q22" s="98"/>
      <c r="R22" s="98"/>
      <c r="S22" s="98"/>
    </row>
    <row r="23" spans="1:19" ht="12.75" customHeight="1" x14ac:dyDescent="0.2">
      <c r="B23" s="99" t="s">
        <v>206</v>
      </c>
      <c r="C23" s="100"/>
      <c r="D23" s="100"/>
      <c r="E23" s="100"/>
      <c r="F23" s="97" t="s">
        <v>143</v>
      </c>
      <c r="G23" s="100"/>
      <c r="H23" s="123">
        <f>'Input parameters'!R19</f>
        <v>2E-3</v>
      </c>
      <c r="I23" s="100"/>
      <c r="J23" s="100"/>
      <c r="K23" s="100"/>
      <c r="L23" s="100"/>
      <c r="M23" s="100"/>
      <c r="N23" s="100"/>
      <c r="O23" s="100"/>
      <c r="P23" s="100"/>
      <c r="Q23" s="100"/>
      <c r="R23" s="100"/>
      <c r="S23" s="100"/>
    </row>
    <row r="24" spans="1:19" ht="12.75" customHeight="1" x14ac:dyDescent="0.2">
      <c r="B24" s="95"/>
      <c r="C24" s="9"/>
      <c r="D24" s="9"/>
      <c r="E24" s="9"/>
      <c r="F24" s="94"/>
      <c r="G24" s="9"/>
      <c r="H24" s="9"/>
      <c r="I24" s="9"/>
      <c r="J24" s="9"/>
      <c r="K24" s="9"/>
      <c r="L24" s="9"/>
      <c r="M24" s="9"/>
      <c r="N24" s="9"/>
      <c r="O24" s="9"/>
      <c r="P24" s="9"/>
      <c r="Q24" s="9"/>
      <c r="R24" s="9"/>
      <c r="S24" s="9"/>
    </row>
    <row r="25" spans="1:19" ht="12.75" customHeight="1" x14ac:dyDescent="0.2">
      <c r="B25" s="77" t="s">
        <v>207</v>
      </c>
      <c r="C25" s="9"/>
      <c r="D25" s="9"/>
      <c r="E25" s="9"/>
      <c r="F25" s="76" t="s">
        <v>215</v>
      </c>
      <c r="G25" s="9"/>
      <c r="H25" s="9"/>
      <c r="I25" s="9"/>
      <c r="J25" s="9"/>
      <c r="K25" s="9"/>
      <c r="L25" s="115">
        <f t="shared" ref="L25:S25" si="0">L20*(1-L21/100+$H$23)</f>
        <v>19924180.990815088</v>
      </c>
      <c r="M25" s="115">
        <f t="shared" si="0"/>
        <v>27860670.100896768</v>
      </c>
      <c r="N25" s="115">
        <f t="shared" si="0"/>
        <v>327151967.6408571</v>
      </c>
      <c r="O25" s="115">
        <f t="shared" si="0"/>
        <v>398733969.96099383</v>
      </c>
      <c r="P25" s="115">
        <f t="shared" si="0"/>
        <v>16646633.714290662</v>
      </c>
      <c r="Q25" s="115">
        <f t="shared" si="0"/>
        <v>293028877.25852102</v>
      </c>
      <c r="R25" s="115">
        <f t="shared" si="0"/>
        <v>15887864.554436157</v>
      </c>
      <c r="S25" s="115">
        <f t="shared" si="0"/>
        <v>5411806.5965916943</v>
      </c>
    </row>
    <row r="26" spans="1:19" ht="12.75" customHeight="1" x14ac:dyDescent="0.2">
      <c r="B26" s="9"/>
      <c r="C26" s="9"/>
      <c r="D26" s="9"/>
      <c r="E26" s="9"/>
      <c r="F26" s="64"/>
      <c r="G26" s="9"/>
      <c r="H26" s="9"/>
      <c r="I26" s="9"/>
      <c r="J26" s="71"/>
      <c r="K26" s="9"/>
      <c r="L26" s="65"/>
      <c r="M26" s="65"/>
      <c r="N26" s="65"/>
      <c r="O26" s="65"/>
      <c r="P26" s="65"/>
      <c r="Q26" s="65"/>
      <c r="R26" s="65"/>
      <c r="S26" s="65"/>
    </row>
    <row r="27" spans="1:19" s="8" customFormat="1" ht="12.75" customHeight="1" x14ac:dyDescent="0.25">
      <c r="B27" s="8" t="s">
        <v>129</v>
      </c>
    </row>
    <row r="28" spans="1:19" s="90" customFormat="1" ht="12.75" customHeight="1" x14ac:dyDescent="0.2">
      <c r="G28" s="116"/>
      <c r="H28" s="116"/>
      <c r="I28" s="117"/>
      <c r="J28" s="116"/>
      <c r="K28" s="116"/>
      <c r="L28" s="116"/>
      <c r="M28" s="116"/>
      <c r="N28" s="116"/>
      <c r="P28" s="118"/>
    </row>
    <row r="29" spans="1:19" s="77" customFormat="1" ht="12.75" customHeight="1" x14ac:dyDescent="0.2">
      <c r="A29" s="76"/>
      <c r="B29" s="77" t="s">
        <v>208</v>
      </c>
      <c r="F29" s="76" t="s">
        <v>215</v>
      </c>
      <c r="L29" s="75">
        <f>L25-L17</f>
        <v>-700.1572141982615</v>
      </c>
      <c r="M29" s="75">
        <f t="shared" ref="M29:S29" si="1">M25-M17</f>
        <v>10388.432747922838</v>
      </c>
      <c r="N29" s="75">
        <f t="shared" si="1"/>
        <v>1464538.5413978696</v>
      </c>
      <c r="O29" s="75">
        <f t="shared" si="1"/>
        <v>22715183.914203703</v>
      </c>
      <c r="P29" s="75">
        <f t="shared" si="1"/>
        <v>-215733.04764513113</v>
      </c>
      <c r="Q29" s="75">
        <f t="shared" si="1"/>
        <v>14044086.568482161</v>
      </c>
      <c r="R29" s="75">
        <f t="shared" si="1"/>
        <v>14265.717466427013</v>
      </c>
      <c r="S29" s="75">
        <f t="shared" si="1"/>
        <v>0</v>
      </c>
    </row>
    <row r="31" spans="1:19" ht="12.75" customHeight="1" x14ac:dyDescent="0.2">
      <c r="B31" s="89" t="s">
        <v>296</v>
      </c>
      <c r="C31" s="64"/>
      <c r="D31" s="64"/>
      <c r="E31" s="64"/>
      <c r="F31" s="119" t="s">
        <v>143</v>
      </c>
      <c r="H31" s="123">
        <f>Parameters!T33</f>
        <v>8.1600000000000117E-2</v>
      </c>
    </row>
    <row r="33" spans="2:20" ht="12.75" customHeight="1" x14ac:dyDescent="0.2">
      <c r="B33" s="77" t="s">
        <v>265</v>
      </c>
      <c r="F33" s="46" t="s">
        <v>214</v>
      </c>
      <c r="L33" s="74">
        <f t="shared" ref="L33:S33" si="2">L29*(1+$H$31)</f>
        <v>-757.29004287683972</v>
      </c>
      <c r="M33" s="74">
        <f t="shared" si="2"/>
        <v>11236.128860153343</v>
      </c>
      <c r="N33" s="74">
        <f t="shared" si="2"/>
        <v>1584044.886375936</v>
      </c>
      <c r="O33" s="74">
        <f t="shared" si="2"/>
        <v>24568742.92160273</v>
      </c>
      <c r="P33" s="74">
        <f t="shared" si="2"/>
        <v>-233336.86433297384</v>
      </c>
      <c r="Q33" s="74">
        <f t="shared" si="2"/>
        <v>15190084.032470306</v>
      </c>
      <c r="R33" s="74">
        <f t="shared" si="2"/>
        <v>15429.800011687459</v>
      </c>
      <c r="S33" s="74">
        <f t="shared" si="2"/>
        <v>0</v>
      </c>
    </row>
    <row r="40" spans="2:20" ht="12.75" customHeight="1" x14ac:dyDescent="0.25">
      <c r="N40" s="2"/>
    </row>
    <row r="42" spans="2:20" ht="12.75" customHeight="1" x14ac:dyDescent="0.25">
      <c r="T42" s="52"/>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W94"/>
  <sheetViews>
    <sheetView showGridLines="0" zoomScale="85" zoomScaleNormal="85" workbookViewId="0">
      <pane xSplit="6" ySplit="12" topLeftCell="G13" activePane="bottomRight" state="frozen"/>
      <selection activeCell="Q51" sqref="Q51"/>
      <selection pane="topRight" activeCell="Q51" sqref="Q51"/>
      <selection pane="bottomLeft" activeCell="Q51" sqref="Q51"/>
      <selection pane="bottomRight"/>
    </sheetView>
  </sheetViews>
  <sheetFormatPr defaultRowHeight="12.75" x14ac:dyDescent="0.25"/>
  <cols>
    <col min="1" max="1" width="4" style="2" customWidth="1"/>
    <col min="2" max="2" width="73.85546875" style="2" customWidth="1"/>
    <col min="3" max="5" width="4.5703125" style="2" customWidth="1"/>
    <col min="6" max="6" width="20"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9" width="12.5703125" style="52" customWidth="1"/>
    <col min="20" max="22" width="2.7109375" style="2" customWidth="1"/>
    <col min="23" max="37" width="13.7109375" style="2" customWidth="1"/>
    <col min="38" max="16384" width="9.140625" style="2"/>
  </cols>
  <sheetData>
    <row r="2" spans="2:23" s="32" customFormat="1" ht="18" x14ac:dyDescent="0.25">
      <c r="B2" s="32" t="s">
        <v>115</v>
      </c>
      <c r="L2" s="51"/>
      <c r="M2" s="51"/>
      <c r="N2" s="51"/>
      <c r="O2" s="51"/>
      <c r="P2" s="51"/>
      <c r="Q2" s="51"/>
      <c r="R2" s="51"/>
      <c r="S2" s="51"/>
    </row>
    <row r="4" spans="2:23" x14ac:dyDescent="0.25">
      <c r="B4" s="1" t="s">
        <v>61</v>
      </c>
      <c r="C4" s="1"/>
      <c r="D4" s="1"/>
      <c r="L4" s="44"/>
    </row>
    <row r="5" spans="2:23" x14ac:dyDescent="0.25">
      <c r="B5" s="39"/>
      <c r="C5" s="3"/>
      <c r="D5" s="3"/>
      <c r="H5" s="33"/>
    </row>
    <row r="6" spans="2:23" x14ac:dyDescent="0.25">
      <c r="B6" s="2" t="s">
        <v>75</v>
      </c>
    </row>
    <row r="7" spans="2:23" x14ac:dyDescent="0.25">
      <c r="B7" s="2" t="s">
        <v>76</v>
      </c>
    </row>
    <row r="8" spans="2:23" x14ac:dyDescent="0.25">
      <c r="B8" s="39" t="s">
        <v>297</v>
      </c>
      <c r="C8" s="3"/>
      <c r="D8" s="3"/>
      <c r="H8" s="33"/>
    </row>
    <row r="9" spans="2:23" x14ac:dyDescent="0.25">
      <c r="B9" s="39" t="s">
        <v>114</v>
      </c>
      <c r="C9" s="3"/>
      <c r="D9" s="3"/>
      <c r="H9" s="33"/>
    </row>
    <row r="11" spans="2:23" s="8" customFormat="1" x14ac:dyDescent="0.25">
      <c r="B11" s="8" t="s">
        <v>47</v>
      </c>
      <c r="F11" s="8" t="s">
        <v>29</v>
      </c>
      <c r="H11" s="8" t="s">
        <v>30</v>
      </c>
      <c r="J11" s="8" t="s">
        <v>51</v>
      </c>
      <c r="L11" s="53" t="s">
        <v>177</v>
      </c>
      <c r="M11" s="53" t="s">
        <v>68</v>
      </c>
      <c r="N11" s="53" t="s">
        <v>69</v>
      </c>
      <c r="O11" s="53" t="s">
        <v>70</v>
      </c>
      <c r="P11" s="53" t="s">
        <v>71</v>
      </c>
      <c r="Q11" s="53" t="s">
        <v>72</v>
      </c>
      <c r="R11" s="53" t="s">
        <v>73</v>
      </c>
      <c r="S11" s="53" t="s">
        <v>74</v>
      </c>
      <c r="W11" s="8" t="s">
        <v>49</v>
      </c>
    </row>
    <row r="14" spans="2:23" s="8" customFormat="1" x14ac:dyDescent="0.25">
      <c r="B14" s="54" t="s">
        <v>113</v>
      </c>
      <c r="L14" s="53"/>
      <c r="M14" s="53"/>
      <c r="N14" s="53"/>
      <c r="O14" s="53"/>
      <c r="P14" s="53"/>
      <c r="Q14" s="53"/>
      <c r="R14" s="53"/>
      <c r="S14" s="53"/>
    </row>
    <row r="15" spans="2:23" customFormat="1" ht="15" x14ac:dyDescent="0.25">
      <c r="B15" s="55"/>
      <c r="C15" s="46"/>
      <c r="D15" s="46"/>
      <c r="E15" s="46"/>
      <c r="F15" s="49"/>
      <c r="G15" s="46"/>
      <c r="H15" s="48"/>
      <c r="I15" s="48"/>
      <c r="J15" s="48"/>
      <c r="K15" s="48"/>
      <c r="L15" s="48"/>
      <c r="M15" s="48"/>
      <c r="N15" s="48"/>
    </row>
    <row r="16" spans="2:23" customFormat="1" ht="15" x14ac:dyDescent="0.25">
      <c r="B16" s="55" t="s">
        <v>77</v>
      </c>
      <c r="C16" s="46"/>
      <c r="D16" s="46"/>
      <c r="E16" s="46"/>
      <c r="F16" s="49"/>
      <c r="G16" s="46"/>
      <c r="H16" s="48"/>
      <c r="I16" s="48"/>
      <c r="J16" s="48"/>
      <c r="K16" s="48"/>
      <c r="L16" s="48"/>
      <c r="M16" s="48"/>
      <c r="N16" s="48"/>
    </row>
    <row r="17" spans="2:23" customFormat="1" ht="15" x14ac:dyDescent="0.25">
      <c r="B17" s="46"/>
      <c r="C17" s="46"/>
      <c r="D17" s="46"/>
      <c r="E17" s="46"/>
      <c r="F17" s="49"/>
      <c r="G17" s="46"/>
      <c r="H17" s="48"/>
      <c r="I17" s="48"/>
      <c r="J17" s="48"/>
      <c r="K17" s="48"/>
      <c r="L17" s="48"/>
      <c r="M17" s="48"/>
      <c r="N17" s="48"/>
    </row>
    <row r="18" spans="2:23" customFormat="1" ht="15" x14ac:dyDescent="0.25">
      <c r="B18" s="55" t="s">
        <v>78</v>
      </c>
      <c r="C18" s="46"/>
      <c r="D18" s="46"/>
      <c r="E18" s="46"/>
      <c r="F18" s="49"/>
      <c r="G18" s="46"/>
      <c r="H18" s="48"/>
      <c r="I18" s="48"/>
      <c r="J18" s="48"/>
      <c r="K18" s="48"/>
      <c r="L18" s="48"/>
      <c r="M18" s="48"/>
      <c r="N18" s="48"/>
    </row>
    <row r="19" spans="2:23" customFormat="1" ht="15" x14ac:dyDescent="0.25">
      <c r="B19" s="46" t="s">
        <v>79</v>
      </c>
      <c r="C19" s="2"/>
      <c r="D19" s="2"/>
      <c r="E19" s="46"/>
      <c r="F19" s="46" t="s">
        <v>80</v>
      </c>
      <c r="G19" s="2"/>
      <c r="H19" s="2"/>
      <c r="I19" s="2"/>
      <c r="J19" s="63"/>
      <c r="K19" s="46"/>
      <c r="L19" s="114">
        <f>'Input invoeding groen gas 2018'!L123</f>
        <v>0</v>
      </c>
      <c r="M19" s="114">
        <f>'Input invoeding groen gas 2018'!M123</f>
        <v>0</v>
      </c>
      <c r="N19" s="114">
        <f>'Input invoeding groen gas 2018'!N123</f>
        <v>0</v>
      </c>
      <c r="O19" s="114">
        <f>'Input invoeding groen gas 2018'!O123</f>
        <v>0</v>
      </c>
      <c r="P19" s="114">
        <f>'Input invoeding groen gas 2018'!P123</f>
        <v>0</v>
      </c>
      <c r="Q19" s="114">
        <f>'Input invoeding groen gas 2018'!Q123</f>
        <v>0</v>
      </c>
      <c r="R19" s="114">
        <f>'Input invoeding groen gas 2018'!R123</f>
        <v>0</v>
      </c>
      <c r="S19" s="114">
        <f>'Input invoeding groen gas 2018'!S123</f>
        <v>0</v>
      </c>
    </row>
    <row r="20" spans="2:23" customFormat="1" ht="15" x14ac:dyDescent="0.25">
      <c r="B20" s="46" t="s">
        <v>82</v>
      </c>
      <c r="C20" s="2"/>
      <c r="D20" s="2"/>
      <c r="E20" s="46"/>
      <c r="F20" s="46" t="s">
        <v>80</v>
      </c>
      <c r="G20" s="2"/>
      <c r="H20" s="2"/>
      <c r="I20" s="2"/>
      <c r="J20" s="63"/>
      <c r="K20" s="46"/>
      <c r="L20" s="114">
        <f>'Input invoeding groen gas 2018'!L124</f>
        <v>0</v>
      </c>
      <c r="M20" s="114">
        <f>'Input invoeding groen gas 2018'!M124</f>
        <v>0</v>
      </c>
      <c r="N20" s="114">
        <f>'Input invoeding groen gas 2018'!N124</f>
        <v>0</v>
      </c>
      <c r="O20" s="114">
        <f>'Input invoeding groen gas 2018'!O124</f>
        <v>0</v>
      </c>
      <c r="P20" s="114">
        <f>'Input invoeding groen gas 2018'!P124</f>
        <v>0</v>
      </c>
      <c r="Q20" s="114">
        <f>'Input invoeding groen gas 2018'!Q124</f>
        <v>0</v>
      </c>
      <c r="R20" s="114">
        <f>'Input invoeding groen gas 2018'!R124</f>
        <v>0</v>
      </c>
      <c r="S20" s="114">
        <f>'Input invoeding groen gas 2018'!S124</f>
        <v>0</v>
      </c>
    </row>
    <row r="21" spans="2:23" customFormat="1" ht="15" x14ac:dyDescent="0.25">
      <c r="B21" s="46" t="s">
        <v>83</v>
      </c>
      <c r="C21" s="2"/>
      <c r="D21" s="2"/>
      <c r="E21" s="46"/>
      <c r="F21" s="46" t="s">
        <v>80</v>
      </c>
      <c r="G21" s="2"/>
      <c r="H21" s="2"/>
      <c r="I21" s="2"/>
      <c r="J21" s="63"/>
      <c r="K21" s="46"/>
      <c r="L21" s="114">
        <f>'Input invoeding groen gas 2018'!L125</f>
        <v>0</v>
      </c>
      <c r="M21" s="114">
        <f>'Input invoeding groen gas 2018'!M125</f>
        <v>0</v>
      </c>
      <c r="N21" s="114">
        <f>'Input invoeding groen gas 2018'!N125</f>
        <v>0</v>
      </c>
      <c r="O21" s="114">
        <f>'Input invoeding groen gas 2018'!O125</f>
        <v>0</v>
      </c>
      <c r="P21" s="114">
        <f>'Input invoeding groen gas 2018'!P125</f>
        <v>0</v>
      </c>
      <c r="Q21" s="114">
        <f>'Input invoeding groen gas 2018'!Q125</f>
        <v>0</v>
      </c>
      <c r="R21" s="114">
        <f>'Input invoeding groen gas 2018'!R125</f>
        <v>0</v>
      </c>
      <c r="S21" s="114">
        <f>'Input invoeding groen gas 2018'!S125</f>
        <v>0</v>
      </c>
    </row>
    <row r="22" spans="2:23" customFormat="1" ht="15" x14ac:dyDescent="0.25">
      <c r="B22" s="46" t="s">
        <v>84</v>
      </c>
      <c r="C22" s="2"/>
      <c r="D22" s="2"/>
      <c r="E22" s="46"/>
      <c r="F22" s="46" t="s">
        <v>80</v>
      </c>
      <c r="G22" s="2"/>
      <c r="H22" s="2"/>
      <c r="I22" s="2"/>
      <c r="J22" s="63"/>
      <c r="K22" s="46"/>
      <c r="L22" s="114">
        <f>'Input invoeding groen gas 2018'!L126</f>
        <v>0</v>
      </c>
      <c r="M22" s="114">
        <f>'Input invoeding groen gas 2018'!M126</f>
        <v>0</v>
      </c>
      <c r="N22" s="114">
        <f>'Input invoeding groen gas 2018'!N126</f>
        <v>0</v>
      </c>
      <c r="O22" s="114">
        <f>'Input invoeding groen gas 2018'!O126</f>
        <v>0</v>
      </c>
      <c r="P22" s="114">
        <f>'Input invoeding groen gas 2018'!P126</f>
        <v>0</v>
      </c>
      <c r="Q22" s="114">
        <f>'Input invoeding groen gas 2018'!Q126</f>
        <v>0</v>
      </c>
      <c r="R22" s="114">
        <f>'Input invoeding groen gas 2018'!R126</f>
        <v>0</v>
      </c>
      <c r="S22" s="114">
        <f>'Input invoeding groen gas 2018'!S126</f>
        <v>0</v>
      </c>
    </row>
    <row r="23" spans="2:23" customFormat="1" ht="15" x14ac:dyDescent="0.25">
      <c r="B23" s="46" t="s">
        <v>85</v>
      </c>
      <c r="C23" s="2"/>
      <c r="D23" s="2"/>
      <c r="E23" s="46"/>
      <c r="F23" s="46" t="s">
        <v>80</v>
      </c>
      <c r="G23" s="2"/>
      <c r="H23" s="2"/>
      <c r="I23" s="2"/>
      <c r="J23" s="63"/>
      <c r="K23" s="46"/>
      <c r="L23" s="114">
        <f>'Input invoeding groen gas 2018'!L127</f>
        <v>0</v>
      </c>
      <c r="M23" s="114">
        <f>'Input invoeding groen gas 2018'!M127</f>
        <v>0</v>
      </c>
      <c r="N23" s="114">
        <f>'Input invoeding groen gas 2018'!N127</f>
        <v>0</v>
      </c>
      <c r="O23" s="114">
        <f>'Input invoeding groen gas 2018'!O127</f>
        <v>0</v>
      </c>
      <c r="P23" s="114">
        <f>'Input invoeding groen gas 2018'!P127</f>
        <v>0</v>
      </c>
      <c r="Q23" s="114">
        <f>'Input invoeding groen gas 2018'!Q127</f>
        <v>0</v>
      </c>
      <c r="R23" s="114">
        <f>'Input invoeding groen gas 2018'!R127</f>
        <v>0</v>
      </c>
      <c r="S23" s="114">
        <f>'Input invoeding groen gas 2018'!S127</f>
        <v>0</v>
      </c>
    </row>
    <row r="24" spans="2:23" customFormat="1" ht="15" x14ac:dyDescent="0.25">
      <c r="B24" s="46" t="s">
        <v>86</v>
      </c>
      <c r="C24" s="2"/>
      <c r="D24" s="2"/>
      <c r="E24" s="46"/>
      <c r="F24" s="46" t="s">
        <v>80</v>
      </c>
      <c r="G24" s="2"/>
      <c r="H24" s="2"/>
      <c r="I24" s="2"/>
      <c r="J24" s="63"/>
      <c r="K24" s="46"/>
      <c r="L24" s="114">
        <f>'Input invoeding groen gas 2018'!L128</f>
        <v>0</v>
      </c>
      <c r="M24" s="114">
        <f>'Input invoeding groen gas 2018'!M128</f>
        <v>0</v>
      </c>
      <c r="N24" s="114">
        <f>'Input invoeding groen gas 2018'!N128</f>
        <v>0</v>
      </c>
      <c r="O24" s="114">
        <f>'Input invoeding groen gas 2018'!O128</f>
        <v>0</v>
      </c>
      <c r="P24" s="114">
        <f>'Input invoeding groen gas 2018'!P128</f>
        <v>0</v>
      </c>
      <c r="Q24" s="114">
        <f>'Input invoeding groen gas 2018'!Q128</f>
        <v>0.1050228310502283</v>
      </c>
      <c r="R24" s="114">
        <f>'Input invoeding groen gas 2018'!R128</f>
        <v>0</v>
      </c>
      <c r="S24" s="114">
        <f>'Input invoeding groen gas 2018'!S128</f>
        <v>0</v>
      </c>
    </row>
    <row r="25" spans="2:23" customFormat="1" ht="15" x14ac:dyDescent="0.25">
      <c r="B25" s="46"/>
      <c r="C25" s="2"/>
      <c r="D25" s="2"/>
      <c r="E25" s="46"/>
      <c r="F25" s="46"/>
      <c r="G25" s="2"/>
      <c r="H25" s="2"/>
      <c r="I25" s="2"/>
      <c r="J25" s="63"/>
      <c r="K25" s="64"/>
      <c r="L25" s="65"/>
      <c r="M25" s="65"/>
      <c r="N25" s="65"/>
      <c r="O25" s="65"/>
      <c r="P25" s="65"/>
      <c r="Q25" s="65"/>
      <c r="R25" s="65"/>
      <c r="S25" s="65"/>
    </row>
    <row r="26" spans="2:23" customFormat="1" ht="15" x14ac:dyDescent="0.25">
      <c r="B26" s="55" t="s">
        <v>87</v>
      </c>
      <c r="C26" s="2"/>
      <c r="D26" s="2"/>
      <c r="E26" s="46"/>
      <c r="F26" s="46"/>
      <c r="G26" s="2"/>
      <c r="H26" s="2"/>
      <c r="I26" s="2"/>
      <c r="J26" s="63"/>
      <c r="K26" s="64"/>
      <c r="L26" s="65"/>
      <c r="M26" s="65"/>
      <c r="N26" s="65"/>
      <c r="O26" s="65"/>
      <c r="P26" s="65"/>
      <c r="Q26" s="65"/>
      <c r="R26" s="65"/>
      <c r="S26" s="65"/>
    </row>
    <row r="27" spans="2:23" customFormat="1" ht="15" x14ac:dyDescent="0.25">
      <c r="B27" s="46" t="s">
        <v>88</v>
      </c>
      <c r="C27" s="2"/>
      <c r="D27" s="2"/>
      <c r="E27" s="46"/>
      <c r="F27" s="46" t="s">
        <v>80</v>
      </c>
      <c r="G27" s="2"/>
      <c r="H27" s="2"/>
      <c r="I27" s="2"/>
      <c r="J27" s="63"/>
      <c r="K27" s="46"/>
      <c r="L27" s="114">
        <f>'Input invoeding groen gas 2018'!L131</f>
        <v>0</v>
      </c>
      <c r="M27" s="114">
        <f>'Input invoeding groen gas 2018'!M131</f>
        <v>0</v>
      </c>
      <c r="N27" s="114">
        <f>'Input invoeding groen gas 2018'!N131</f>
        <v>0</v>
      </c>
      <c r="O27" s="114">
        <f>'Input invoeding groen gas 2018'!O131</f>
        <v>0</v>
      </c>
      <c r="P27" s="114">
        <f>'Input invoeding groen gas 2018'!P131</f>
        <v>0</v>
      </c>
      <c r="Q27" s="114">
        <f>'Input invoeding groen gas 2018'!Q131</f>
        <v>0</v>
      </c>
      <c r="R27" s="114">
        <f>'Input invoeding groen gas 2018'!R131</f>
        <v>0</v>
      </c>
      <c r="S27" s="114">
        <f>'Input invoeding groen gas 2018'!S131</f>
        <v>0</v>
      </c>
    </row>
    <row r="28" spans="2:23" customFormat="1" ht="15" x14ac:dyDescent="0.25">
      <c r="B28" s="46" t="s">
        <v>89</v>
      </c>
      <c r="C28" s="2"/>
      <c r="D28" s="2"/>
      <c r="E28" s="46"/>
      <c r="F28" s="46" t="s">
        <v>80</v>
      </c>
      <c r="G28" s="2"/>
      <c r="H28" s="2"/>
      <c r="I28" s="2"/>
      <c r="J28" s="63"/>
      <c r="K28" s="46"/>
      <c r="L28" s="114">
        <f>'Input invoeding groen gas 2018'!L132</f>
        <v>0</v>
      </c>
      <c r="M28" s="114">
        <f>'Input invoeding groen gas 2018'!M132</f>
        <v>0</v>
      </c>
      <c r="N28" s="114">
        <f>'Input invoeding groen gas 2018'!N132</f>
        <v>0</v>
      </c>
      <c r="O28" s="114">
        <f>'Input invoeding groen gas 2018'!O132</f>
        <v>0.33333333333333331</v>
      </c>
      <c r="P28" s="114">
        <f>'Input invoeding groen gas 2018'!P132</f>
        <v>0</v>
      </c>
      <c r="Q28" s="114">
        <f>'Input invoeding groen gas 2018'!Q132</f>
        <v>0</v>
      </c>
      <c r="R28" s="114">
        <f>'Input invoeding groen gas 2018'!R132</f>
        <v>0</v>
      </c>
      <c r="S28" s="114">
        <f>'Input invoeding groen gas 2018'!S132</f>
        <v>0</v>
      </c>
    </row>
    <row r="29" spans="2:23" customFormat="1" ht="15" x14ac:dyDescent="0.25">
      <c r="B29" s="46" t="s">
        <v>90</v>
      </c>
      <c r="C29" s="2"/>
      <c r="D29" s="2"/>
      <c r="E29" s="46"/>
      <c r="F29" s="46" t="s">
        <v>80</v>
      </c>
      <c r="G29" s="2"/>
      <c r="H29" s="2"/>
      <c r="I29" s="2"/>
      <c r="J29" s="63"/>
      <c r="K29" s="46"/>
      <c r="L29" s="114">
        <f>'Input invoeding groen gas 2018'!L133</f>
        <v>0</v>
      </c>
      <c r="M29" s="114">
        <f>'Input invoeding groen gas 2018'!M133</f>
        <v>0</v>
      </c>
      <c r="N29" s="114">
        <f>'Input invoeding groen gas 2018'!N133</f>
        <v>0</v>
      </c>
      <c r="O29" s="114">
        <f>'Input invoeding groen gas 2018'!O133</f>
        <v>0</v>
      </c>
      <c r="P29" s="114">
        <f>'Input invoeding groen gas 2018'!P133</f>
        <v>0</v>
      </c>
      <c r="Q29" s="114">
        <f>'Input invoeding groen gas 2018'!Q133</f>
        <v>0</v>
      </c>
      <c r="R29" s="114">
        <f>'Input invoeding groen gas 2018'!R133</f>
        <v>0</v>
      </c>
      <c r="S29" s="114">
        <f>'Input invoeding groen gas 2018'!S133</f>
        <v>0</v>
      </c>
    </row>
    <row r="30" spans="2:23" customFormat="1" ht="15" x14ac:dyDescent="0.25">
      <c r="B30" s="46" t="s">
        <v>91</v>
      </c>
      <c r="C30" s="2"/>
      <c r="D30" s="2"/>
      <c r="E30" s="46"/>
      <c r="F30" s="46" t="s">
        <v>80</v>
      </c>
      <c r="G30" s="2"/>
      <c r="H30" s="2"/>
      <c r="I30" s="2"/>
      <c r="J30" s="63"/>
      <c r="K30" s="46"/>
      <c r="L30" s="114">
        <f>'Input invoeding groen gas 2018'!L134</f>
        <v>0</v>
      </c>
      <c r="M30" s="114">
        <f>'Input invoeding groen gas 2018'!M134</f>
        <v>0</v>
      </c>
      <c r="N30" s="114">
        <f>'Input invoeding groen gas 2018'!N134</f>
        <v>0</v>
      </c>
      <c r="O30" s="114">
        <f>'Input invoeding groen gas 2018'!O134</f>
        <v>0</v>
      </c>
      <c r="P30" s="114">
        <f>'Input invoeding groen gas 2018'!P134</f>
        <v>0</v>
      </c>
      <c r="Q30" s="114">
        <f>'Input invoeding groen gas 2018'!Q134</f>
        <v>0</v>
      </c>
      <c r="R30" s="114">
        <f>'Input invoeding groen gas 2018'!R134</f>
        <v>0</v>
      </c>
      <c r="S30" s="114">
        <f>'Input invoeding groen gas 2018'!S134</f>
        <v>0</v>
      </c>
    </row>
    <row r="31" spans="2:23" customFormat="1" ht="15" x14ac:dyDescent="0.25">
      <c r="B31" s="46" t="s">
        <v>92</v>
      </c>
      <c r="C31" s="2"/>
      <c r="D31" s="2"/>
      <c r="E31" s="46"/>
      <c r="F31" s="46" t="s">
        <v>80</v>
      </c>
      <c r="G31" s="2"/>
      <c r="H31" s="2"/>
      <c r="I31" s="2"/>
      <c r="J31" s="63"/>
      <c r="K31" s="46"/>
      <c r="L31" s="114">
        <f>'Input invoeding groen gas 2018'!L135</f>
        <v>0</v>
      </c>
      <c r="M31" s="114">
        <f>'Input invoeding groen gas 2018'!M135</f>
        <v>0</v>
      </c>
      <c r="N31" s="114">
        <f>'Input invoeding groen gas 2018'!N135</f>
        <v>0</v>
      </c>
      <c r="O31" s="114">
        <f>'Input invoeding groen gas 2018'!O135</f>
        <v>0</v>
      </c>
      <c r="P31" s="114">
        <f>'Input invoeding groen gas 2018'!P135</f>
        <v>0</v>
      </c>
      <c r="Q31" s="114">
        <f>'Input invoeding groen gas 2018'!Q135</f>
        <v>0</v>
      </c>
      <c r="R31" s="114">
        <f>'Input invoeding groen gas 2018'!R135</f>
        <v>0</v>
      </c>
      <c r="S31" s="114">
        <f>'Input invoeding groen gas 2018'!S135</f>
        <v>0</v>
      </c>
    </row>
    <row r="32" spans="2:23" customFormat="1" ht="15" x14ac:dyDescent="0.25">
      <c r="B32" s="46"/>
      <c r="C32" s="2"/>
      <c r="D32" s="2"/>
      <c r="E32" s="46"/>
      <c r="F32" s="46"/>
      <c r="G32" s="2"/>
      <c r="H32" s="2"/>
      <c r="I32" s="2"/>
      <c r="J32" s="63"/>
      <c r="K32" s="64"/>
      <c r="L32" s="65"/>
      <c r="M32" s="65"/>
      <c r="N32" s="65"/>
      <c r="O32" s="65"/>
      <c r="P32" s="65"/>
      <c r="Q32" s="65"/>
      <c r="R32" s="65"/>
      <c r="S32" s="65"/>
      <c r="T32" s="66"/>
      <c r="U32" s="66"/>
      <c r="V32" s="66"/>
      <c r="W32" s="66"/>
    </row>
    <row r="33" spans="2:23" customFormat="1" ht="15" x14ac:dyDescent="0.25">
      <c r="B33" s="55" t="s">
        <v>93</v>
      </c>
      <c r="C33" s="2"/>
      <c r="D33" s="2"/>
      <c r="E33" s="46"/>
      <c r="F33" s="46"/>
      <c r="G33" s="2"/>
      <c r="H33" s="2"/>
      <c r="I33" s="2"/>
      <c r="J33" s="63"/>
      <c r="K33" s="64"/>
      <c r="L33" s="65"/>
      <c r="M33" s="65"/>
      <c r="N33" s="65"/>
      <c r="O33" s="65"/>
      <c r="P33" s="65"/>
      <c r="Q33" s="65"/>
      <c r="R33" s="65"/>
      <c r="S33" s="65"/>
      <c r="T33" s="66"/>
      <c r="U33" s="66"/>
      <c r="V33" s="66"/>
      <c r="W33" s="66"/>
    </row>
    <row r="34" spans="2:23" customFormat="1" ht="15" x14ac:dyDescent="0.25">
      <c r="B34" s="46"/>
      <c r="C34" s="2"/>
      <c r="D34" s="2"/>
      <c r="E34" s="46"/>
      <c r="F34" s="46"/>
      <c r="G34" s="2"/>
      <c r="H34" s="2"/>
      <c r="I34" s="2"/>
      <c r="J34" s="63"/>
      <c r="K34" s="64"/>
      <c r="L34" s="65"/>
      <c r="M34" s="65"/>
      <c r="N34" s="65"/>
      <c r="O34" s="65"/>
      <c r="P34" s="65"/>
      <c r="Q34" s="65"/>
      <c r="R34" s="65"/>
      <c r="S34" s="65"/>
      <c r="T34" s="66"/>
      <c r="U34" s="66"/>
      <c r="V34" s="66"/>
      <c r="W34" s="66"/>
    </row>
    <row r="35" spans="2:23" customFormat="1" ht="15" x14ac:dyDescent="0.25">
      <c r="B35" s="55" t="s">
        <v>94</v>
      </c>
      <c r="C35" s="2"/>
      <c r="D35" s="2"/>
      <c r="E35" s="46"/>
      <c r="F35" s="46"/>
      <c r="G35" s="2"/>
      <c r="H35" s="2"/>
      <c r="I35" s="2"/>
      <c r="J35" s="66"/>
      <c r="K35" s="64"/>
      <c r="L35" s="65"/>
      <c r="M35" s="65"/>
      <c r="N35" s="65"/>
      <c r="O35" s="65"/>
      <c r="P35" s="65"/>
      <c r="Q35" s="65"/>
      <c r="R35" s="65"/>
      <c r="S35" s="65"/>
      <c r="T35" s="66"/>
      <c r="U35" s="66"/>
      <c r="V35" s="66"/>
      <c r="W35" s="66"/>
    </row>
    <row r="36" spans="2:23" customFormat="1" ht="15" x14ac:dyDescent="0.25">
      <c r="B36" s="46" t="s">
        <v>95</v>
      </c>
      <c r="C36" s="2"/>
      <c r="D36" s="2"/>
      <c r="E36" s="46"/>
      <c r="F36" s="46" t="s">
        <v>80</v>
      </c>
      <c r="G36" s="2"/>
      <c r="H36" s="2"/>
      <c r="I36" s="2"/>
      <c r="J36" s="63"/>
      <c r="K36" s="46"/>
      <c r="L36" s="114">
        <f>'Input invoeding groen gas 2018'!L140</f>
        <v>1</v>
      </c>
      <c r="M36" s="114">
        <f>'Input invoeding groen gas 2018'!M140</f>
        <v>0</v>
      </c>
      <c r="N36" s="114">
        <f>'Input invoeding groen gas 2018'!N140</f>
        <v>0</v>
      </c>
      <c r="O36" s="114">
        <f>'Input invoeding groen gas 2018'!O140</f>
        <v>0</v>
      </c>
      <c r="P36" s="114">
        <f>'Input invoeding groen gas 2018'!P140</f>
        <v>0.47333333333333333</v>
      </c>
      <c r="Q36" s="114">
        <f>'Input invoeding groen gas 2018'!Q140</f>
        <v>0</v>
      </c>
      <c r="R36" s="114">
        <f>'Input invoeding groen gas 2018'!R140</f>
        <v>0</v>
      </c>
      <c r="S36" s="114">
        <f>'Input invoeding groen gas 2018'!S140</f>
        <v>0</v>
      </c>
    </row>
    <row r="37" spans="2:23" customFormat="1" ht="15" x14ac:dyDescent="0.25">
      <c r="B37" s="46" t="s">
        <v>96</v>
      </c>
      <c r="C37" s="2"/>
      <c r="D37" s="2"/>
      <c r="E37" s="46"/>
      <c r="F37" s="46" t="s">
        <v>80</v>
      </c>
      <c r="G37" s="2"/>
      <c r="H37" s="2"/>
      <c r="I37" s="2"/>
      <c r="J37" s="63"/>
      <c r="K37" s="46"/>
      <c r="L37" s="114">
        <f>'Input invoeding groen gas 2018'!L141</f>
        <v>0</v>
      </c>
      <c r="M37" s="114">
        <f>'Input invoeding groen gas 2018'!M141</f>
        <v>0</v>
      </c>
      <c r="N37" s="114">
        <f>'Input invoeding groen gas 2018'!N141</f>
        <v>0</v>
      </c>
      <c r="O37" s="114">
        <f>'Input invoeding groen gas 2018'!O141</f>
        <v>0</v>
      </c>
      <c r="P37" s="114">
        <f>'Input invoeding groen gas 2018'!P141</f>
        <v>0</v>
      </c>
      <c r="Q37" s="114">
        <f>'Input invoeding groen gas 2018'!Q141</f>
        <v>0</v>
      </c>
      <c r="R37" s="114">
        <f>'Input invoeding groen gas 2018'!R141</f>
        <v>0</v>
      </c>
      <c r="S37" s="114">
        <f>'Input invoeding groen gas 2018'!S141</f>
        <v>0</v>
      </c>
    </row>
    <row r="38" spans="2:23" customFormat="1" ht="15" x14ac:dyDescent="0.25">
      <c r="C38" s="2"/>
      <c r="D38" s="2"/>
      <c r="E38" s="46"/>
      <c r="F38" s="46"/>
      <c r="G38" s="2"/>
      <c r="H38" s="2"/>
      <c r="I38" s="2"/>
      <c r="J38" s="63"/>
      <c r="K38" s="64"/>
      <c r="L38" s="65"/>
      <c r="M38" s="65"/>
      <c r="N38" s="65"/>
      <c r="O38" s="65"/>
      <c r="P38" s="65"/>
      <c r="Q38" s="65"/>
      <c r="R38" s="65"/>
      <c r="S38" s="65"/>
      <c r="T38" s="66"/>
      <c r="U38" s="66"/>
    </row>
    <row r="39" spans="2:23" customFormat="1" ht="15" x14ac:dyDescent="0.25">
      <c r="B39" s="46" t="s">
        <v>97</v>
      </c>
      <c r="C39" s="2"/>
      <c r="D39" s="2"/>
      <c r="E39" s="46"/>
      <c r="F39" s="46" t="s">
        <v>80</v>
      </c>
      <c r="G39" s="2"/>
      <c r="H39" s="2"/>
      <c r="I39" s="2"/>
      <c r="J39" s="63"/>
      <c r="K39" s="46"/>
      <c r="L39" s="114">
        <f>'Input invoeding groen gas 2018'!L143</f>
        <v>0</v>
      </c>
      <c r="M39" s="114">
        <f>'Input invoeding groen gas 2018'!M143</f>
        <v>0</v>
      </c>
      <c r="N39" s="114">
        <f>'Input invoeding groen gas 2018'!N143</f>
        <v>11.967943271851601</v>
      </c>
      <c r="O39" s="114">
        <f>'Input invoeding groen gas 2018'!O143</f>
        <v>6.583333333333333</v>
      </c>
      <c r="P39" s="114">
        <f>'Input invoeding groen gas 2018'!P143</f>
        <v>0</v>
      </c>
      <c r="Q39" s="114">
        <f>'Input invoeding groen gas 2018'!Q143</f>
        <v>3</v>
      </c>
      <c r="R39" s="114">
        <f>'Input invoeding groen gas 2018'!R143</f>
        <v>0</v>
      </c>
      <c r="S39" s="114">
        <f>'Input invoeding groen gas 2018'!S143</f>
        <v>0</v>
      </c>
    </row>
    <row r="40" spans="2:23" customFormat="1" ht="15" x14ac:dyDescent="0.25">
      <c r="B40" s="46"/>
      <c r="C40" s="2"/>
      <c r="D40" s="2"/>
      <c r="E40" s="46"/>
      <c r="F40" s="46"/>
      <c r="G40" s="2"/>
      <c r="H40" s="2"/>
      <c r="I40" s="2"/>
      <c r="J40" s="63"/>
      <c r="K40" s="64"/>
      <c r="L40" s="65"/>
      <c r="M40" s="65"/>
      <c r="N40" s="65"/>
      <c r="O40" s="65"/>
      <c r="P40" s="65"/>
      <c r="Q40" s="65"/>
      <c r="R40" s="65"/>
      <c r="S40" s="65"/>
      <c r="T40" s="66"/>
      <c r="U40" s="66"/>
    </row>
    <row r="41" spans="2:23" customFormat="1" ht="15" x14ac:dyDescent="0.25">
      <c r="B41" s="55" t="s">
        <v>98</v>
      </c>
      <c r="C41" s="2"/>
      <c r="D41" s="2"/>
      <c r="E41" s="46"/>
      <c r="F41" s="46"/>
      <c r="G41" s="2"/>
      <c r="H41" s="2"/>
      <c r="I41" s="2"/>
      <c r="J41" s="63"/>
      <c r="K41" s="64"/>
      <c r="L41" s="65"/>
      <c r="M41" s="65"/>
      <c r="N41" s="65"/>
      <c r="O41" s="65"/>
      <c r="P41" s="65"/>
      <c r="Q41" s="65"/>
      <c r="R41" s="65"/>
      <c r="S41" s="65"/>
      <c r="T41" s="66"/>
      <c r="U41" s="66"/>
    </row>
    <row r="42" spans="2:23" customFormat="1" ht="15" x14ac:dyDescent="0.25">
      <c r="B42" s="46"/>
      <c r="C42" s="2"/>
      <c r="D42" s="2"/>
      <c r="E42" s="46"/>
      <c r="F42" s="46"/>
      <c r="G42" s="2"/>
      <c r="H42" s="2"/>
      <c r="I42" s="2"/>
      <c r="J42" s="63"/>
      <c r="K42" s="64"/>
      <c r="L42" s="65"/>
      <c r="M42" s="65"/>
      <c r="N42" s="65"/>
      <c r="O42" s="65"/>
      <c r="P42" s="65"/>
      <c r="Q42" s="65"/>
      <c r="R42" s="65"/>
      <c r="S42" s="65"/>
      <c r="T42" s="66"/>
      <c r="U42" s="66"/>
    </row>
    <row r="43" spans="2:23" customFormat="1" ht="15" x14ac:dyDescent="0.25">
      <c r="B43" s="55" t="s">
        <v>94</v>
      </c>
      <c r="C43" s="2"/>
      <c r="D43" s="2"/>
      <c r="E43" s="46"/>
      <c r="F43" s="46"/>
      <c r="G43" s="2"/>
      <c r="H43" s="2"/>
      <c r="I43" s="2"/>
      <c r="J43" s="63"/>
      <c r="K43" s="64"/>
      <c r="L43" s="65"/>
      <c r="M43" s="65"/>
      <c r="N43" s="65"/>
      <c r="O43" s="65"/>
      <c r="P43" s="65"/>
      <c r="Q43" s="65"/>
      <c r="R43" s="65"/>
      <c r="S43" s="65"/>
      <c r="T43" s="66"/>
      <c r="U43" s="66"/>
    </row>
    <row r="44" spans="2:23" customFormat="1" ht="15" x14ac:dyDescent="0.25">
      <c r="B44" s="46" t="s">
        <v>95</v>
      </c>
      <c r="C44" s="2"/>
      <c r="D44" s="2"/>
      <c r="E44" s="46"/>
      <c r="F44" s="46" t="s">
        <v>80</v>
      </c>
      <c r="G44" s="2"/>
      <c r="H44" s="2"/>
      <c r="I44" s="2"/>
      <c r="J44" s="63"/>
      <c r="K44" s="46"/>
      <c r="L44" s="114">
        <f>'Input invoeding groen gas 2018'!L148</f>
        <v>0</v>
      </c>
      <c r="M44" s="114">
        <f>'Input invoeding groen gas 2018'!M148</f>
        <v>0</v>
      </c>
      <c r="N44" s="114">
        <f>'Input invoeding groen gas 2018'!N148</f>
        <v>0</v>
      </c>
      <c r="O44" s="114">
        <f>'Input invoeding groen gas 2018'!O148</f>
        <v>0</v>
      </c>
      <c r="P44" s="114">
        <f>'Input invoeding groen gas 2018'!P148</f>
        <v>714.33333333333337</v>
      </c>
      <c r="Q44" s="114">
        <f>'Input invoeding groen gas 2018'!Q148</f>
        <v>0</v>
      </c>
      <c r="R44" s="114">
        <f>'Input invoeding groen gas 2018'!R148</f>
        <v>0</v>
      </c>
      <c r="S44" s="114">
        <f>'Input invoeding groen gas 2018'!S148</f>
        <v>0</v>
      </c>
    </row>
    <row r="45" spans="2:23" customFormat="1" ht="15" x14ac:dyDescent="0.25">
      <c r="B45" s="46" t="s">
        <v>96</v>
      </c>
      <c r="C45" s="2"/>
      <c r="D45" s="2"/>
      <c r="E45" s="46"/>
      <c r="F45" s="46" t="s">
        <v>80</v>
      </c>
      <c r="G45" s="2"/>
      <c r="H45" s="2"/>
      <c r="I45" s="2"/>
      <c r="J45" s="63"/>
      <c r="K45" s="46"/>
      <c r="L45" s="114">
        <f>'Input invoeding groen gas 2018'!L149</f>
        <v>0</v>
      </c>
      <c r="M45" s="114">
        <f>'Input invoeding groen gas 2018'!M149</f>
        <v>0</v>
      </c>
      <c r="N45" s="114">
        <f>'Input invoeding groen gas 2018'!N149</f>
        <v>0</v>
      </c>
      <c r="O45" s="114">
        <f>'Input invoeding groen gas 2018'!O149</f>
        <v>0</v>
      </c>
      <c r="P45" s="114">
        <f>'Input invoeding groen gas 2018'!P149</f>
        <v>0</v>
      </c>
      <c r="Q45" s="114">
        <f>'Input invoeding groen gas 2018'!Q149</f>
        <v>0</v>
      </c>
      <c r="R45" s="114">
        <f>'Input invoeding groen gas 2018'!R149</f>
        <v>0</v>
      </c>
      <c r="S45" s="114">
        <f>'Input invoeding groen gas 2018'!S149</f>
        <v>0</v>
      </c>
    </row>
    <row r="46" spans="2:23" customFormat="1" ht="15" x14ac:dyDescent="0.25">
      <c r="B46" s="46"/>
      <c r="C46" s="2"/>
      <c r="D46" s="2"/>
      <c r="E46" s="46"/>
      <c r="F46" s="46"/>
      <c r="G46" s="2"/>
      <c r="H46" s="2"/>
      <c r="I46" s="2"/>
      <c r="J46" s="63"/>
      <c r="K46" s="64"/>
      <c r="L46" s="65"/>
      <c r="M46" s="65"/>
      <c r="N46" s="65"/>
      <c r="O46" s="65"/>
      <c r="P46" s="65"/>
      <c r="Q46" s="65"/>
      <c r="R46" s="65"/>
      <c r="S46" s="65"/>
      <c r="T46" s="66"/>
      <c r="U46" s="66"/>
    </row>
    <row r="47" spans="2:23" customFormat="1" ht="15" x14ac:dyDescent="0.25">
      <c r="B47" s="46" t="s">
        <v>99</v>
      </c>
      <c r="C47" s="2"/>
      <c r="D47" s="2"/>
      <c r="E47" s="46"/>
      <c r="F47" s="46" t="s">
        <v>80</v>
      </c>
      <c r="G47" s="2"/>
      <c r="H47" s="2"/>
      <c r="I47" s="2"/>
      <c r="J47" s="63"/>
      <c r="K47" s="46"/>
      <c r="L47" s="114">
        <f>'Input invoeding groen gas 2018'!L151</f>
        <v>0</v>
      </c>
      <c r="M47" s="114">
        <f>'Input invoeding groen gas 2018'!M151</f>
        <v>0</v>
      </c>
      <c r="N47" s="114">
        <f>'Input invoeding groen gas 2018'!N151</f>
        <v>10672.483623519271</v>
      </c>
      <c r="O47" s="114">
        <f>'Input invoeding groen gas 2018'!O151</f>
        <v>2648.3333333333335</v>
      </c>
      <c r="P47" s="114">
        <f>'Input invoeding groen gas 2018'!P151</f>
        <v>0</v>
      </c>
      <c r="Q47" s="114">
        <f>'Input invoeding groen gas 2018'!Q151</f>
        <v>523.99964898424821</v>
      </c>
      <c r="R47" s="114">
        <f>'Input invoeding groen gas 2018'!R151</f>
        <v>0</v>
      </c>
      <c r="S47" s="114">
        <f>'Input invoeding groen gas 2018'!S151</f>
        <v>0</v>
      </c>
    </row>
    <row r="48" spans="2:23" customFormat="1" ht="15" x14ac:dyDescent="0.25">
      <c r="C48" s="2"/>
      <c r="D48" s="2"/>
    </row>
    <row r="49" spans="1:19" s="8" customFormat="1" x14ac:dyDescent="0.25">
      <c r="B49" s="8" t="s">
        <v>209</v>
      </c>
    </row>
    <row r="50" spans="1:19" customFormat="1" ht="15" x14ac:dyDescent="0.25">
      <c r="A50" s="46"/>
      <c r="B50" s="46"/>
      <c r="C50" s="46"/>
      <c r="D50" s="46"/>
      <c r="E50" s="46"/>
      <c r="F50" s="49"/>
      <c r="G50" s="46"/>
      <c r="H50" s="48"/>
      <c r="I50" s="48"/>
      <c r="J50" s="48"/>
      <c r="K50" s="48"/>
      <c r="L50" s="48"/>
      <c r="M50" s="48"/>
      <c r="N50" s="48"/>
    </row>
    <row r="51" spans="1:19" customFormat="1" ht="15" x14ac:dyDescent="0.25">
      <c r="B51" s="55" t="s">
        <v>101</v>
      </c>
      <c r="C51" s="46"/>
      <c r="D51" s="46"/>
      <c r="E51" s="46"/>
      <c r="F51" s="49"/>
      <c r="G51" s="46"/>
      <c r="H51" s="48"/>
      <c r="I51" s="48"/>
      <c r="J51" s="48"/>
      <c r="K51" s="48"/>
      <c r="L51" s="48"/>
      <c r="M51" s="48"/>
      <c r="N51" s="48"/>
    </row>
    <row r="52" spans="1:19" customFormat="1" ht="15" x14ac:dyDescent="0.25">
      <c r="B52" s="46"/>
      <c r="C52" s="46"/>
      <c r="D52" s="46"/>
      <c r="E52" s="46"/>
      <c r="F52" s="49"/>
      <c r="G52" s="46"/>
      <c r="H52" s="48"/>
      <c r="I52" s="48"/>
      <c r="J52" s="48"/>
      <c r="K52" s="48"/>
      <c r="L52" s="48"/>
      <c r="M52" s="48"/>
      <c r="N52" s="48"/>
    </row>
    <row r="53" spans="1:19" customFormat="1" ht="15" x14ac:dyDescent="0.25">
      <c r="B53" s="55" t="s">
        <v>102</v>
      </c>
      <c r="C53" s="46"/>
      <c r="D53" s="46"/>
      <c r="E53" s="46"/>
      <c r="F53" s="49"/>
      <c r="G53" s="46"/>
      <c r="H53" s="48"/>
      <c r="I53" s="48"/>
      <c r="J53" s="48"/>
      <c r="K53" s="48"/>
      <c r="L53" s="48"/>
      <c r="M53" s="48"/>
      <c r="N53" s="48"/>
    </row>
    <row r="54" spans="1:19" customFormat="1" ht="15" x14ac:dyDescent="0.25">
      <c r="B54" s="46" t="s">
        <v>103</v>
      </c>
      <c r="C54" s="46"/>
      <c r="D54" s="2"/>
      <c r="E54" s="46"/>
      <c r="F54" s="46" t="s">
        <v>216</v>
      </c>
      <c r="G54" s="46"/>
      <c r="H54" s="2"/>
      <c r="I54" s="2"/>
      <c r="J54" s="2"/>
      <c r="K54" s="2"/>
      <c r="L54" s="67"/>
      <c r="M54" s="67"/>
      <c r="N54" s="67"/>
      <c r="O54" s="67"/>
      <c r="P54" s="67"/>
      <c r="Q54" s="138">
        <f>'Input invoeding groen gas 2018'!Q158</f>
        <v>18</v>
      </c>
      <c r="R54" s="160"/>
      <c r="S54" s="160"/>
    </row>
    <row r="55" spans="1:19" customFormat="1" ht="15" x14ac:dyDescent="0.25">
      <c r="B55" s="46" t="s">
        <v>104</v>
      </c>
      <c r="C55" s="46"/>
      <c r="D55" s="2"/>
      <c r="E55" s="46"/>
      <c r="F55" s="46" t="s">
        <v>216</v>
      </c>
      <c r="G55" s="46"/>
      <c r="H55" s="2"/>
      <c r="I55" s="2"/>
      <c r="J55" s="2"/>
      <c r="K55" s="2"/>
      <c r="L55" s="67"/>
      <c r="M55" s="67"/>
      <c r="N55" s="67"/>
      <c r="O55" s="67"/>
      <c r="P55" s="67"/>
      <c r="Q55" s="138">
        <f>'Input invoeding groen gas 2018'!Q159</f>
        <v>28.06</v>
      </c>
      <c r="R55" s="160"/>
      <c r="S55" s="160"/>
    </row>
    <row r="56" spans="1:19" customFormat="1" ht="15" x14ac:dyDescent="0.25">
      <c r="B56" s="46"/>
      <c r="C56" s="46"/>
      <c r="D56" s="2"/>
      <c r="E56" s="46"/>
      <c r="F56" s="46"/>
      <c r="G56" s="46"/>
      <c r="H56" s="2"/>
      <c r="I56" s="2"/>
      <c r="J56" s="2"/>
      <c r="K56" s="2"/>
      <c r="L56" s="50"/>
      <c r="M56" s="50"/>
      <c r="N56" s="50"/>
      <c r="O56" s="50"/>
      <c r="P56" s="50"/>
      <c r="Q56" s="50"/>
      <c r="R56" s="50"/>
      <c r="S56" s="50"/>
    </row>
    <row r="57" spans="1:19" customFormat="1" ht="15" x14ac:dyDescent="0.25">
      <c r="B57" s="55" t="s">
        <v>105</v>
      </c>
      <c r="C57" s="46"/>
      <c r="D57" s="2"/>
      <c r="E57" s="46"/>
      <c r="F57" s="46"/>
      <c r="G57" s="46"/>
      <c r="H57" s="2"/>
      <c r="I57" s="2"/>
      <c r="J57" s="2"/>
      <c r="K57" s="2"/>
      <c r="L57" s="50"/>
      <c r="M57" s="50"/>
      <c r="N57" s="50"/>
      <c r="O57" s="50"/>
      <c r="P57" s="50"/>
      <c r="Q57" s="50"/>
      <c r="R57" s="50"/>
      <c r="S57" s="50"/>
    </row>
    <row r="58" spans="1:19" customFormat="1" ht="15" x14ac:dyDescent="0.25">
      <c r="B58" s="46" t="s">
        <v>103</v>
      </c>
      <c r="C58" s="46"/>
      <c r="D58" s="2"/>
      <c r="E58" s="46"/>
      <c r="F58" s="46" t="s">
        <v>216</v>
      </c>
      <c r="G58" s="46"/>
      <c r="H58" s="2"/>
      <c r="I58" s="2"/>
      <c r="J58" s="2"/>
      <c r="K58" s="2"/>
      <c r="L58" s="160"/>
      <c r="M58" s="160"/>
      <c r="N58" s="160"/>
      <c r="O58" s="138">
        <f>'Input invoeding groen gas 2018'!O162</f>
        <v>18</v>
      </c>
      <c r="P58" s="160"/>
      <c r="Q58" s="160"/>
      <c r="R58" s="160"/>
      <c r="S58" s="160"/>
    </row>
    <row r="59" spans="1:19" customFormat="1" ht="15" x14ac:dyDescent="0.25">
      <c r="B59" s="46" t="s">
        <v>104</v>
      </c>
      <c r="C59" s="46"/>
      <c r="D59" s="2"/>
      <c r="E59" s="46"/>
      <c r="F59" s="46" t="s">
        <v>216</v>
      </c>
      <c r="G59" s="46"/>
      <c r="H59" s="2"/>
      <c r="I59" s="2"/>
      <c r="J59" s="2"/>
      <c r="K59" s="2"/>
      <c r="L59" s="160"/>
      <c r="M59" s="160"/>
      <c r="N59" s="160"/>
      <c r="O59" s="138">
        <f>'Input invoeding groen gas 2018'!O163</f>
        <v>30.12</v>
      </c>
      <c r="P59" s="160"/>
      <c r="Q59" s="160"/>
      <c r="R59" s="160"/>
      <c r="S59" s="160"/>
    </row>
    <row r="60" spans="1:19" customFormat="1" ht="15" x14ac:dyDescent="0.25">
      <c r="B60" s="46"/>
      <c r="C60" s="46"/>
      <c r="D60" s="2"/>
      <c r="E60" s="46"/>
      <c r="F60" s="46"/>
      <c r="G60" s="46"/>
      <c r="H60" s="2"/>
      <c r="I60" s="2"/>
      <c r="J60" s="2"/>
      <c r="K60" s="2"/>
      <c r="L60" s="50"/>
      <c r="M60" s="50"/>
      <c r="N60" s="50"/>
      <c r="O60" s="50"/>
      <c r="P60" s="50"/>
      <c r="Q60" s="50"/>
      <c r="R60" s="50"/>
      <c r="S60" s="50"/>
    </row>
    <row r="61" spans="1:19" customFormat="1" ht="15" x14ac:dyDescent="0.25">
      <c r="B61" s="55" t="s">
        <v>106</v>
      </c>
      <c r="C61" s="46"/>
      <c r="D61" s="2"/>
      <c r="E61" s="46"/>
      <c r="F61" s="46"/>
      <c r="G61" s="49"/>
      <c r="H61" s="2"/>
      <c r="I61" s="2"/>
      <c r="J61" s="2"/>
      <c r="K61" s="2"/>
      <c r="L61" s="58"/>
      <c r="M61" s="58"/>
      <c r="N61" s="58"/>
      <c r="O61" s="58"/>
      <c r="P61" s="58"/>
      <c r="Q61" s="58"/>
      <c r="R61" s="50"/>
      <c r="S61" s="50"/>
    </row>
    <row r="62" spans="1:19" customFormat="1" ht="15" x14ac:dyDescent="0.25">
      <c r="B62" s="46" t="s">
        <v>103</v>
      </c>
      <c r="C62" s="46"/>
      <c r="D62" s="2"/>
      <c r="E62" s="46"/>
      <c r="F62" s="46" t="s">
        <v>216</v>
      </c>
      <c r="G62" s="46"/>
      <c r="H62" s="2"/>
      <c r="I62" s="2"/>
      <c r="J62" s="2"/>
      <c r="K62" s="2"/>
      <c r="L62" s="138">
        <f>'Input invoeding groen gas 2018'!L166</f>
        <v>500</v>
      </c>
      <c r="M62" s="160"/>
      <c r="N62" s="138">
        <f>'Input invoeding groen gas 2018'!N166</f>
        <v>968.07</v>
      </c>
      <c r="O62" s="138">
        <f>'Input invoeding groen gas 2018'!O166</f>
        <v>867.48</v>
      </c>
      <c r="P62" s="138">
        <f>'Input invoeding groen gas 2018'!P166</f>
        <v>576</v>
      </c>
      <c r="Q62" s="138">
        <f>'Input invoeding groen gas 2018'!Q166</f>
        <v>778.31</v>
      </c>
      <c r="R62" s="160"/>
      <c r="S62" s="160"/>
    </row>
    <row r="63" spans="1:19" customFormat="1" ht="15" x14ac:dyDescent="0.25">
      <c r="B63" s="46" t="s">
        <v>95</v>
      </c>
      <c r="C63" s="46"/>
      <c r="D63" s="2"/>
      <c r="E63" s="46"/>
      <c r="F63" s="46" t="s">
        <v>216</v>
      </c>
      <c r="G63" s="46"/>
      <c r="H63" s="2"/>
      <c r="I63" s="2"/>
      <c r="J63" s="2"/>
      <c r="K63" s="2"/>
      <c r="L63" s="160"/>
      <c r="M63" s="160"/>
      <c r="N63" s="160"/>
      <c r="O63" s="160"/>
      <c r="P63" s="138">
        <f>'Input invoeding groen gas 2018'!P167</f>
        <v>21.15</v>
      </c>
      <c r="Q63" s="160"/>
      <c r="R63" s="160"/>
      <c r="S63" s="160"/>
    </row>
    <row r="64" spans="1:19" customFormat="1" ht="15" x14ac:dyDescent="0.25">
      <c r="B64" s="46" t="s">
        <v>96</v>
      </c>
      <c r="C64" s="46"/>
      <c r="D64" s="2"/>
      <c r="E64" s="46"/>
      <c r="F64" s="46" t="s">
        <v>216</v>
      </c>
      <c r="G64" s="46"/>
      <c r="H64" s="2"/>
      <c r="I64" s="2"/>
      <c r="J64" s="2"/>
      <c r="K64" s="2"/>
      <c r="L64" s="160"/>
      <c r="M64" s="160"/>
      <c r="N64" s="160"/>
      <c r="O64" s="160"/>
      <c r="P64" s="160"/>
      <c r="Q64" s="160"/>
      <c r="R64" s="160"/>
      <c r="S64" s="160"/>
    </row>
    <row r="65" spans="1:19" customFormat="1" ht="15" x14ac:dyDescent="0.25">
      <c r="B65" s="46" t="s">
        <v>107</v>
      </c>
      <c r="C65" s="46"/>
      <c r="D65" s="2"/>
      <c r="E65" s="46"/>
      <c r="F65" s="46" t="s">
        <v>216</v>
      </c>
      <c r="G65" s="46"/>
      <c r="H65" s="2"/>
      <c r="I65" s="2"/>
      <c r="J65" s="2"/>
      <c r="K65" s="2"/>
      <c r="L65" s="160"/>
      <c r="M65" s="160"/>
      <c r="N65" s="138">
        <f>'Input invoeding groen gas 2018'!N169</f>
        <v>22.2593</v>
      </c>
      <c r="O65" s="138">
        <f>'Input invoeding groen gas 2018'!O169</f>
        <v>20.52</v>
      </c>
      <c r="P65" s="160"/>
      <c r="Q65" s="138">
        <f>'Input invoeding groen gas 2018'!Q169</f>
        <v>24.281099999999999</v>
      </c>
      <c r="R65" s="160"/>
      <c r="S65" s="160"/>
    </row>
    <row r="66" spans="1:19" customFormat="1" ht="15" x14ac:dyDescent="0.25">
      <c r="D66" s="2"/>
      <c r="H66" s="2"/>
      <c r="I66" s="2"/>
      <c r="J66" s="2"/>
      <c r="K66" s="2"/>
      <c r="L66" s="59"/>
      <c r="M66" s="59"/>
      <c r="N66" s="59"/>
      <c r="O66" s="59"/>
      <c r="P66" s="59"/>
      <c r="Q66" s="59"/>
      <c r="R66" s="59"/>
      <c r="S66" s="59"/>
    </row>
    <row r="67" spans="1:19" customFormat="1" ht="15" x14ac:dyDescent="0.25">
      <c r="B67" s="60" t="s">
        <v>108</v>
      </c>
      <c r="D67" s="2"/>
      <c r="H67" s="2"/>
      <c r="I67" s="2"/>
      <c r="J67" s="2"/>
      <c r="K67" s="2"/>
      <c r="L67" s="59"/>
      <c r="M67" s="59"/>
      <c r="N67" s="59"/>
      <c r="O67" s="59"/>
      <c r="P67" s="59"/>
      <c r="Q67" s="59"/>
      <c r="R67" s="59"/>
      <c r="S67" s="59"/>
    </row>
    <row r="68" spans="1:19" customFormat="1" ht="15" x14ac:dyDescent="0.25">
      <c r="D68" s="2"/>
      <c r="H68" s="2"/>
      <c r="I68" s="2"/>
      <c r="J68" s="2"/>
      <c r="K68" s="2"/>
      <c r="L68" s="59"/>
      <c r="M68" s="59"/>
      <c r="N68" s="59"/>
      <c r="O68" s="59"/>
      <c r="P68" s="59"/>
      <c r="Q68" s="59"/>
      <c r="R68" s="59"/>
      <c r="S68" s="59"/>
    </row>
    <row r="69" spans="1:19" customFormat="1" ht="15" x14ac:dyDescent="0.25">
      <c r="B69" t="s">
        <v>86</v>
      </c>
      <c r="D69" s="2"/>
      <c r="F69" s="46" t="s">
        <v>216</v>
      </c>
      <c r="H69" s="2"/>
      <c r="I69" s="2"/>
      <c r="J69" s="2"/>
      <c r="K69" s="2"/>
      <c r="L69" s="160"/>
      <c r="M69" s="160"/>
      <c r="N69" s="160"/>
      <c r="O69" s="160"/>
      <c r="P69" s="160"/>
      <c r="Q69" s="138">
        <f>'Input invoeding groen gas 2018'!Q173</f>
        <v>25</v>
      </c>
      <c r="R69" s="160"/>
      <c r="S69" s="160"/>
    </row>
    <row r="70" spans="1:19" customFormat="1" ht="15" x14ac:dyDescent="0.25">
      <c r="B70" t="s">
        <v>89</v>
      </c>
      <c r="D70" s="2"/>
      <c r="F70" s="46" t="s">
        <v>216</v>
      </c>
      <c r="H70" s="2"/>
      <c r="I70" s="2"/>
      <c r="J70" s="2"/>
      <c r="K70" s="2"/>
      <c r="L70" s="160"/>
      <c r="M70" s="160"/>
      <c r="N70" s="160"/>
      <c r="O70" s="138">
        <f>'Input invoeding groen gas 2018'!O174</f>
        <v>65</v>
      </c>
      <c r="P70" s="160"/>
      <c r="Q70" s="160"/>
      <c r="R70" s="160"/>
      <c r="S70" s="160"/>
    </row>
    <row r="71" spans="1:19" customFormat="1" ht="15" x14ac:dyDescent="0.25">
      <c r="D71" s="2"/>
      <c r="F71" s="46"/>
      <c r="H71" s="2"/>
      <c r="I71" s="2"/>
      <c r="J71" s="2"/>
      <c r="K71" s="2"/>
      <c r="L71" s="137"/>
      <c r="M71" s="137"/>
      <c r="N71" s="137"/>
      <c r="O71" s="65"/>
      <c r="P71" s="137"/>
      <c r="Q71" s="137"/>
      <c r="R71" s="137"/>
      <c r="S71" s="137"/>
    </row>
    <row r="72" spans="1:19" s="8" customFormat="1" x14ac:dyDescent="0.25">
      <c r="B72" s="54" t="s">
        <v>112</v>
      </c>
      <c r="L72" s="53"/>
      <c r="M72" s="53"/>
      <c r="N72" s="53"/>
      <c r="O72" s="53"/>
      <c r="P72" s="53"/>
      <c r="Q72" s="53"/>
      <c r="R72" s="53"/>
      <c r="S72" s="53"/>
    </row>
    <row r="73" spans="1:19" customFormat="1" ht="15" x14ac:dyDescent="0.25">
      <c r="A73" s="46"/>
      <c r="B73" s="46"/>
      <c r="C73" s="46"/>
      <c r="D73" s="46"/>
      <c r="E73" s="46"/>
      <c r="F73" s="49"/>
      <c r="G73" s="46"/>
      <c r="H73" s="48"/>
      <c r="I73" s="48"/>
      <c r="J73" s="48"/>
      <c r="K73" s="48"/>
      <c r="L73" s="48"/>
      <c r="M73" s="48"/>
      <c r="N73" s="48"/>
    </row>
    <row r="74" spans="1:19" customFormat="1" ht="15" x14ac:dyDescent="0.25">
      <c r="B74" s="55" t="s">
        <v>102</v>
      </c>
      <c r="C74" s="46"/>
      <c r="D74" s="46"/>
      <c r="E74" s="46"/>
      <c r="F74" s="49"/>
      <c r="G74" s="46"/>
      <c r="H74" s="48"/>
      <c r="I74" s="48"/>
      <c r="J74" s="65"/>
      <c r="K74" s="48"/>
      <c r="L74" s="48"/>
      <c r="M74" s="48"/>
      <c r="N74" s="48"/>
    </row>
    <row r="75" spans="1:19" customFormat="1" ht="15" x14ac:dyDescent="0.25">
      <c r="B75" s="46" t="s">
        <v>103</v>
      </c>
      <c r="C75" s="46"/>
      <c r="D75" s="2"/>
      <c r="E75" s="2"/>
      <c r="F75" s="46" t="s">
        <v>216</v>
      </c>
      <c r="G75" s="2"/>
      <c r="H75" s="2"/>
      <c r="I75" s="2"/>
      <c r="J75" s="63"/>
      <c r="K75" s="46"/>
      <c r="L75" s="67"/>
      <c r="M75" s="67"/>
      <c r="N75" s="67"/>
      <c r="O75" s="67"/>
      <c r="P75" s="67"/>
      <c r="Q75" s="75">
        <f>Q54*Q24</f>
        <v>1.8904109589041096</v>
      </c>
      <c r="R75" s="67"/>
      <c r="S75" s="67"/>
    </row>
    <row r="76" spans="1:19" customFormat="1" ht="15" x14ac:dyDescent="0.25">
      <c r="B76" s="46" t="s">
        <v>104</v>
      </c>
      <c r="C76" s="46"/>
      <c r="D76" s="2"/>
      <c r="E76" s="2"/>
      <c r="F76" s="46" t="s">
        <v>216</v>
      </c>
      <c r="G76" s="2"/>
      <c r="H76" s="2"/>
      <c r="I76" s="2"/>
      <c r="J76" s="63"/>
      <c r="K76" s="46"/>
      <c r="L76" s="67"/>
      <c r="M76" s="67"/>
      <c r="N76" s="67"/>
      <c r="O76" s="67"/>
      <c r="P76" s="67"/>
      <c r="Q76" s="75">
        <f>Q24*Q55*Q69</f>
        <v>73.67351598173515</v>
      </c>
      <c r="R76" s="67"/>
      <c r="S76" s="67"/>
    </row>
    <row r="77" spans="1:19" customFormat="1" ht="15" x14ac:dyDescent="0.25">
      <c r="B77" s="46"/>
      <c r="C77" s="46"/>
      <c r="D77" s="2"/>
      <c r="E77" s="2"/>
      <c r="F77" s="46"/>
      <c r="G77" s="2"/>
      <c r="H77" s="2"/>
      <c r="I77" s="2"/>
      <c r="J77" s="64"/>
      <c r="K77" s="46"/>
      <c r="L77" s="48"/>
      <c r="M77" s="48"/>
      <c r="N77" s="48"/>
      <c r="O77" s="48"/>
      <c r="P77" s="48"/>
      <c r="Q77" s="48"/>
      <c r="R77" s="48"/>
      <c r="S77" s="48"/>
    </row>
    <row r="78" spans="1:19" customFormat="1" ht="15" x14ac:dyDescent="0.25">
      <c r="B78" s="55" t="s">
        <v>105</v>
      </c>
      <c r="C78" s="46"/>
      <c r="D78" s="2"/>
      <c r="E78" s="2"/>
      <c r="F78" s="46"/>
      <c r="G78" s="2"/>
      <c r="H78" s="2"/>
      <c r="I78" s="2"/>
      <c r="J78" s="64"/>
      <c r="K78" s="46"/>
      <c r="L78" s="48"/>
      <c r="M78" s="48"/>
      <c r="N78" s="48"/>
      <c r="O78" s="48"/>
      <c r="P78" s="48"/>
      <c r="Q78" s="48"/>
      <c r="R78" s="48"/>
      <c r="S78" s="48"/>
    </row>
    <row r="79" spans="1:19" customFormat="1" ht="15" x14ac:dyDescent="0.25">
      <c r="B79" s="46" t="s">
        <v>103</v>
      </c>
      <c r="C79" s="46"/>
      <c r="D79" s="2"/>
      <c r="E79" s="2"/>
      <c r="F79" s="46" t="s">
        <v>216</v>
      </c>
      <c r="G79" s="2"/>
      <c r="H79" s="2"/>
      <c r="I79" s="2"/>
      <c r="J79" s="63"/>
      <c r="K79" s="46"/>
      <c r="L79" s="67"/>
      <c r="M79" s="67"/>
      <c r="N79" s="67"/>
      <c r="O79" s="75">
        <f>O58*O28</f>
        <v>6</v>
      </c>
      <c r="P79" s="67"/>
      <c r="Q79" s="67"/>
      <c r="R79" s="67"/>
      <c r="S79" s="67"/>
    </row>
    <row r="80" spans="1:19" customFormat="1" ht="15" x14ac:dyDescent="0.25">
      <c r="B80" s="46" t="s">
        <v>104</v>
      </c>
      <c r="C80" s="46"/>
      <c r="D80" s="2"/>
      <c r="E80" s="2"/>
      <c r="F80" s="46" t="s">
        <v>216</v>
      </c>
      <c r="G80" s="2"/>
      <c r="H80" s="2"/>
      <c r="I80" s="2"/>
      <c r="J80" s="63"/>
      <c r="K80" s="46"/>
      <c r="L80" s="67"/>
      <c r="M80" s="67"/>
      <c r="N80" s="67"/>
      <c r="O80" s="75">
        <f>O59*O70*O28</f>
        <v>652.59999999999991</v>
      </c>
      <c r="P80" s="67"/>
      <c r="Q80" s="67"/>
      <c r="R80" s="67"/>
      <c r="S80" s="67"/>
    </row>
    <row r="81" spans="2:19" customFormat="1" ht="15" x14ac:dyDescent="0.25">
      <c r="B81" s="46"/>
      <c r="C81" s="46"/>
      <c r="D81" s="2"/>
      <c r="E81" s="2"/>
      <c r="F81" s="46"/>
      <c r="G81" s="2"/>
      <c r="H81" s="2"/>
      <c r="I81" s="2"/>
      <c r="J81" s="64"/>
      <c r="K81" s="46"/>
      <c r="L81" s="48"/>
      <c r="M81" s="48"/>
      <c r="N81" s="48"/>
      <c r="O81" s="48"/>
      <c r="P81" s="48"/>
      <c r="Q81" s="48"/>
      <c r="R81" s="48"/>
      <c r="S81" s="48"/>
    </row>
    <row r="82" spans="2:19" customFormat="1" ht="15" x14ac:dyDescent="0.25">
      <c r="B82" s="55" t="s">
        <v>106</v>
      </c>
      <c r="C82" s="46"/>
      <c r="D82" s="2"/>
      <c r="E82" s="2"/>
      <c r="F82" s="46"/>
      <c r="G82" s="2"/>
      <c r="H82" s="2"/>
      <c r="I82" s="2"/>
      <c r="J82" s="64"/>
      <c r="K82" s="46"/>
    </row>
    <row r="83" spans="2:19" customFormat="1" ht="15" x14ac:dyDescent="0.25">
      <c r="B83" s="46" t="s">
        <v>103</v>
      </c>
      <c r="C83" s="46"/>
      <c r="D83" s="2"/>
      <c r="E83" s="2"/>
      <c r="F83" s="46" t="s">
        <v>216</v>
      </c>
      <c r="G83" s="2"/>
      <c r="H83" s="2"/>
      <c r="I83" s="2"/>
      <c r="J83" s="63"/>
      <c r="K83" s="46"/>
      <c r="L83" s="75">
        <f>L62*L36</f>
        <v>500</v>
      </c>
      <c r="M83" s="67"/>
      <c r="N83" s="75">
        <f>N62*N39</f>
        <v>11585.806843181379</v>
      </c>
      <c r="O83" s="75">
        <f>O62*O39</f>
        <v>5710.91</v>
      </c>
      <c r="P83" s="75">
        <f>P36*P62</f>
        <v>272.64</v>
      </c>
      <c r="Q83" s="75">
        <f>Q62*Q39</f>
        <v>2334.9299999999998</v>
      </c>
      <c r="R83" s="67"/>
      <c r="S83" s="67"/>
    </row>
    <row r="84" spans="2:19" customFormat="1" ht="15" x14ac:dyDescent="0.25">
      <c r="B84" s="46" t="s">
        <v>95</v>
      </c>
      <c r="C84" s="46"/>
      <c r="D84" s="2"/>
      <c r="E84" s="2"/>
      <c r="F84" s="46" t="s">
        <v>216</v>
      </c>
      <c r="G84" s="2"/>
      <c r="H84" s="2"/>
      <c r="I84" s="2"/>
      <c r="J84" s="63"/>
      <c r="K84" s="46"/>
      <c r="L84" s="67"/>
      <c r="M84" s="67"/>
      <c r="N84" s="67"/>
      <c r="O84" s="67"/>
      <c r="P84" s="75">
        <f>P63*P44</f>
        <v>15108.15</v>
      </c>
      <c r="Q84" s="67"/>
      <c r="R84" s="67"/>
      <c r="S84" s="67"/>
    </row>
    <row r="85" spans="2:19" customFormat="1" ht="15" x14ac:dyDescent="0.25">
      <c r="B85" s="46" t="s">
        <v>96</v>
      </c>
      <c r="C85" s="46"/>
      <c r="D85" s="2"/>
      <c r="E85" s="2"/>
      <c r="F85" s="46" t="s">
        <v>216</v>
      </c>
      <c r="G85" s="2"/>
      <c r="H85" s="2"/>
      <c r="I85" s="2"/>
      <c r="J85" s="63"/>
      <c r="K85" s="46"/>
      <c r="L85" s="67"/>
      <c r="M85" s="67"/>
      <c r="N85" s="67"/>
      <c r="O85" s="67"/>
      <c r="P85" s="67"/>
      <c r="Q85" s="67"/>
      <c r="R85" s="67"/>
      <c r="S85" s="67"/>
    </row>
    <row r="86" spans="2:19" customFormat="1" ht="15" x14ac:dyDescent="0.25">
      <c r="B86" s="46" t="s">
        <v>107</v>
      </c>
      <c r="C86" s="46"/>
      <c r="D86" s="2"/>
      <c r="E86" s="2"/>
      <c r="F86" s="46" t="s">
        <v>216</v>
      </c>
      <c r="G86" s="2"/>
      <c r="H86" s="2"/>
      <c r="I86" s="2"/>
      <c r="J86" s="63"/>
      <c r="K86" s="46"/>
      <c r="L86" s="67"/>
      <c r="M86" s="67"/>
      <c r="N86" s="75">
        <f>N65*N47</f>
        <v>237562.01472100249</v>
      </c>
      <c r="O86" s="75">
        <f>O65*O47</f>
        <v>54343.8</v>
      </c>
      <c r="P86" s="67"/>
      <c r="Q86" s="75">
        <f>Q65*Q47</f>
        <v>12723.287876951428</v>
      </c>
      <c r="R86" s="67"/>
      <c r="S86" s="67"/>
    </row>
    <row r="87" spans="2:19" customFormat="1" ht="15" x14ac:dyDescent="0.25">
      <c r="D87" s="2"/>
      <c r="E87" s="2"/>
      <c r="G87" s="2"/>
      <c r="H87" s="2"/>
      <c r="I87" s="2"/>
      <c r="J87" s="64"/>
    </row>
    <row r="88" spans="2:19" s="8" customFormat="1" x14ac:dyDescent="0.25">
      <c r="B88" s="54" t="s">
        <v>129</v>
      </c>
      <c r="L88" s="53"/>
      <c r="M88" s="53"/>
      <c r="N88" s="53"/>
      <c r="O88" s="53"/>
      <c r="P88" s="53"/>
      <c r="Q88" s="53"/>
      <c r="R88" s="53"/>
      <c r="S88" s="53"/>
    </row>
    <row r="89" spans="2:19" customFormat="1" ht="15" x14ac:dyDescent="0.25">
      <c r="D89" s="2"/>
      <c r="E89" s="2"/>
      <c r="G89" s="2"/>
      <c r="H89" s="2"/>
      <c r="I89" s="2"/>
      <c r="J89" s="64"/>
    </row>
    <row r="90" spans="2:19" customFormat="1" ht="15" x14ac:dyDescent="0.25">
      <c r="B90" s="46" t="s">
        <v>266</v>
      </c>
      <c r="D90" s="2"/>
      <c r="E90" s="2"/>
      <c r="F90" s="46" t="s">
        <v>216</v>
      </c>
      <c r="G90" s="2"/>
      <c r="H90" s="2"/>
      <c r="I90" s="2"/>
      <c r="J90" s="63"/>
      <c r="L90" s="75">
        <f t="shared" ref="L90:S90" si="0">SUM(L75:L86)</f>
        <v>500</v>
      </c>
      <c r="M90" s="75">
        <f t="shared" si="0"/>
        <v>0</v>
      </c>
      <c r="N90" s="75">
        <f t="shared" si="0"/>
        <v>249147.82156418386</v>
      </c>
      <c r="O90" s="75">
        <f t="shared" si="0"/>
        <v>60713.310000000005</v>
      </c>
      <c r="P90" s="75">
        <f t="shared" si="0"/>
        <v>15380.789999999999</v>
      </c>
      <c r="Q90" s="75">
        <f t="shared" si="0"/>
        <v>15133.781803892067</v>
      </c>
      <c r="R90" s="75">
        <f t="shared" si="0"/>
        <v>0</v>
      </c>
      <c r="S90" s="75">
        <f t="shared" si="0"/>
        <v>0</v>
      </c>
    </row>
    <row r="91" spans="2:19" x14ac:dyDescent="0.25">
      <c r="B91" s="1"/>
    </row>
    <row r="92" spans="2:19" x14ac:dyDescent="0.25">
      <c r="B92" s="2" t="s">
        <v>301</v>
      </c>
      <c r="F92" s="2" t="s">
        <v>143</v>
      </c>
      <c r="H92" s="139">
        <f>Parameters!T34</f>
        <v>4.0000000000000036E-2</v>
      </c>
    </row>
    <row r="94" spans="2:19" x14ac:dyDescent="0.2">
      <c r="B94" s="46" t="s">
        <v>267</v>
      </c>
      <c r="F94" s="46" t="s">
        <v>214</v>
      </c>
      <c r="L94" s="74">
        <f>L90*(1+$H$92)</f>
        <v>520</v>
      </c>
      <c r="M94" s="74">
        <f t="shared" ref="M94:S94" si="1">M90*(1+$H$92)</f>
        <v>0</v>
      </c>
      <c r="N94" s="74">
        <f t="shared" si="1"/>
        <v>259113.73442675124</v>
      </c>
      <c r="O94" s="74">
        <f t="shared" si="1"/>
        <v>63141.842400000009</v>
      </c>
      <c r="P94" s="74">
        <f t="shared" si="1"/>
        <v>15996.0216</v>
      </c>
      <c r="Q94" s="74">
        <f t="shared" si="1"/>
        <v>15739.13307604775</v>
      </c>
      <c r="R94" s="74">
        <f t="shared" si="1"/>
        <v>0</v>
      </c>
      <c r="S94" s="74">
        <f t="shared" si="1"/>
        <v>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V29"/>
  <sheetViews>
    <sheetView showGridLines="0" zoomScale="85" zoomScaleNormal="85" workbookViewId="0">
      <pane xSplit="6" ySplit="17" topLeftCell="G18" activePane="bottomRight" state="frozen"/>
      <selection activeCell="Q51" sqref="Q51"/>
      <selection pane="topRight" activeCell="Q51" sqref="Q51"/>
      <selection pane="bottomLeft" activeCell="Q51" sqref="Q51"/>
      <selection pane="bottomRight"/>
    </sheetView>
  </sheetViews>
  <sheetFormatPr defaultRowHeight="12.75" customHeight="1"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2.5703125" style="52" customWidth="1"/>
    <col min="17" max="17" width="13" style="52" bestFit="1" customWidth="1"/>
    <col min="18" max="19" width="12.5703125" style="52" customWidth="1"/>
    <col min="20" max="21" width="2.7109375" style="2" customWidth="1"/>
    <col min="22" max="36" width="13.7109375" style="2" customWidth="1"/>
    <col min="37" max="16384" width="9.140625" style="2"/>
  </cols>
  <sheetData>
    <row r="2" spans="2:22" s="32" customFormat="1" ht="18" x14ac:dyDescent="0.25">
      <c r="B2" s="32" t="s">
        <v>186</v>
      </c>
      <c r="L2" s="51"/>
      <c r="M2" s="51"/>
      <c r="N2" s="51"/>
      <c r="O2" s="51"/>
      <c r="P2" s="51"/>
      <c r="Q2" s="51"/>
      <c r="R2" s="51"/>
      <c r="S2" s="51"/>
    </row>
    <row r="4" spans="2:22" ht="12.75" customHeight="1" x14ac:dyDescent="0.25">
      <c r="B4" s="1" t="s">
        <v>61</v>
      </c>
      <c r="C4" s="1"/>
      <c r="D4" s="1"/>
    </row>
    <row r="5" spans="2:22" ht="12.75" customHeight="1" x14ac:dyDescent="0.25">
      <c r="B5" s="39"/>
      <c r="C5" s="3"/>
      <c r="D5" s="3"/>
      <c r="H5" s="33"/>
    </row>
    <row r="6" spans="2:22" s="46" customFormat="1" ht="12.75" customHeight="1" x14ac:dyDescent="0.2">
      <c r="B6" s="46" t="s">
        <v>182</v>
      </c>
    </row>
    <row r="7" spans="2:22" s="46" customFormat="1" ht="12.75" customHeight="1" x14ac:dyDescent="0.2">
      <c r="B7" s="46" t="s">
        <v>233</v>
      </c>
    </row>
    <row r="8" spans="2:22" s="46" customFormat="1" ht="12.75" customHeight="1" x14ac:dyDescent="0.2"/>
    <row r="9" spans="2:22" s="46" customFormat="1" ht="12.75" customHeight="1" x14ac:dyDescent="0.2">
      <c r="B9" s="46" t="s">
        <v>183</v>
      </c>
    </row>
    <row r="10" spans="2:22" s="46" customFormat="1" ht="12.75" customHeight="1" x14ac:dyDescent="0.2">
      <c r="B10" s="46" t="s">
        <v>184</v>
      </c>
    </row>
    <row r="11" spans="2:22" s="46" customFormat="1" ht="12.75" customHeight="1" x14ac:dyDescent="0.2">
      <c r="B11" s="46" t="s">
        <v>234</v>
      </c>
    </row>
    <row r="12" spans="2:22" s="46" customFormat="1" ht="12.75" customHeight="1" x14ac:dyDescent="0.2">
      <c r="B12" s="46" t="s">
        <v>269</v>
      </c>
    </row>
    <row r="13" spans="2:22" s="46" customFormat="1" ht="12.75" customHeight="1" x14ac:dyDescent="0.2"/>
    <row r="14" spans="2:22" s="46" customFormat="1" ht="12.75" customHeight="1" x14ac:dyDescent="0.2"/>
    <row r="16" spans="2:22" s="8" customFormat="1" ht="12.75" customHeight="1" x14ac:dyDescent="0.25">
      <c r="B16" s="8" t="s">
        <v>47</v>
      </c>
      <c r="F16" s="8" t="s">
        <v>29</v>
      </c>
      <c r="H16" s="8" t="s">
        <v>30</v>
      </c>
      <c r="J16" s="8" t="s">
        <v>51</v>
      </c>
      <c r="L16" s="53" t="s">
        <v>177</v>
      </c>
      <c r="M16" s="53" t="s">
        <v>68</v>
      </c>
      <c r="N16" s="53" t="s">
        <v>69</v>
      </c>
      <c r="O16" s="53" t="s">
        <v>70</v>
      </c>
      <c r="P16" s="53" t="s">
        <v>71</v>
      </c>
      <c r="Q16" s="53" t="s">
        <v>72</v>
      </c>
      <c r="R16" s="53" t="s">
        <v>73</v>
      </c>
      <c r="S16" s="53" t="s">
        <v>74</v>
      </c>
      <c r="V16" s="8" t="s">
        <v>49</v>
      </c>
    </row>
    <row r="19" spans="2:22" s="8" customFormat="1" ht="12.75" customHeight="1" x14ac:dyDescent="0.25">
      <c r="B19" s="54" t="s">
        <v>185</v>
      </c>
      <c r="L19" s="53"/>
      <c r="M19" s="53"/>
      <c r="N19" s="53"/>
      <c r="O19" s="53"/>
      <c r="P19" s="53"/>
      <c r="Q19" s="53"/>
      <c r="R19" s="53"/>
      <c r="S19" s="53"/>
    </row>
    <row r="20" spans="2:22" customFormat="1" ht="12.75" customHeight="1" x14ac:dyDescent="0.25">
      <c r="D20" s="2"/>
      <c r="E20" s="2"/>
      <c r="F20" s="2"/>
      <c r="G20" s="2"/>
      <c r="H20" s="2"/>
      <c r="I20" s="2"/>
      <c r="J20" s="64"/>
    </row>
    <row r="21" spans="2:22" ht="12.75" customHeight="1" x14ac:dyDescent="0.2">
      <c r="B21" s="46" t="s">
        <v>264</v>
      </c>
      <c r="C21" s="46"/>
      <c r="E21" s="46"/>
      <c r="F21" s="46" t="s">
        <v>143</v>
      </c>
      <c r="G21" s="46"/>
      <c r="H21" s="139">
        <f>'Input x-factor, begininkomsten'!H22</f>
        <v>1.0770378277281506E-2</v>
      </c>
      <c r="L21" s="152"/>
      <c r="M21" s="152"/>
      <c r="N21" s="153"/>
      <c r="O21" s="152"/>
      <c r="P21" s="152"/>
      <c r="Q21" s="154"/>
      <c r="R21" s="152"/>
      <c r="S21" s="152"/>
      <c r="V21" s="46"/>
    </row>
    <row r="22" spans="2:22" ht="12.75" customHeight="1" x14ac:dyDescent="0.2">
      <c r="B22" s="46"/>
      <c r="C22" s="46"/>
      <c r="E22" s="46"/>
      <c r="F22" s="46"/>
      <c r="G22" s="46"/>
      <c r="H22" s="135"/>
      <c r="L22" s="69"/>
      <c r="M22" s="69"/>
      <c r="N22" s="136"/>
      <c r="O22" s="69"/>
      <c r="P22" s="69"/>
      <c r="Q22" s="136"/>
      <c r="R22" s="69"/>
      <c r="S22" s="69"/>
      <c r="V22" s="46"/>
    </row>
    <row r="23" spans="2:22" s="46" customFormat="1" ht="12.75" customHeight="1" x14ac:dyDescent="0.2">
      <c r="B23" s="46" t="s">
        <v>187</v>
      </c>
      <c r="F23" s="46" t="s">
        <v>214</v>
      </c>
      <c r="H23" s="130">
        <f>'TI-berekening 2019'!Q21</f>
        <v>280601831.17444479</v>
      </c>
      <c r="K23" s="155"/>
      <c r="L23" s="152"/>
      <c r="M23" s="152"/>
      <c r="N23" s="152"/>
      <c r="O23" s="152"/>
      <c r="P23" s="152"/>
      <c r="Q23" s="156"/>
      <c r="R23" s="152"/>
      <c r="S23" s="152"/>
      <c r="V23" s="46" t="s">
        <v>305</v>
      </c>
    </row>
    <row r="25" spans="2:22" s="8" customFormat="1" ht="12.75" customHeight="1" x14ac:dyDescent="0.25">
      <c r="B25" s="54" t="s">
        <v>129</v>
      </c>
      <c r="L25" s="53"/>
      <c r="M25" s="53"/>
      <c r="N25" s="53"/>
      <c r="O25" s="53"/>
      <c r="P25" s="53"/>
      <c r="Q25" s="53"/>
      <c r="R25" s="53"/>
      <c r="S25" s="53"/>
    </row>
    <row r="26" spans="2:22" ht="12.75" customHeight="1" x14ac:dyDescent="0.2">
      <c r="B26" s="46"/>
      <c r="C26" s="46"/>
      <c r="E26" s="46"/>
      <c r="F26" s="46"/>
      <c r="G26" s="46"/>
      <c r="H26" s="135"/>
    </row>
    <row r="27" spans="2:22" ht="12.75" customHeight="1" x14ac:dyDescent="0.2">
      <c r="B27" s="46" t="s">
        <v>210</v>
      </c>
      <c r="C27" s="46"/>
      <c r="E27" s="46"/>
      <c r="F27" s="46" t="s">
        <v>214</v>
      </c>
      <c r="H27" s="75">
        <f>H21*H23</f>
        <v>3022187.8670466528</v>
      </c>
    </row>
    <row r="29" spans="2:22" ht="12.75" customHeight="1" x14ac:dyDescent="0.2">
      <c r="B29" s="2" t="s">
        <v>268</v>
      </c>
      <c r="F29" s="46" t="s">
        <v>214</v>
      </c>
      <c r="L29" s="56"/>
      <c r="M29" s="56"/>
      <c r="N29" s="74">
        <f>H27</f>
        <v>3022187.8670466528</v>
      </c>
      <c r="O29" s="56"/>
      <c r="P29" s="56"/>
      <c r="Q29" s="74">
        <f>-H27</f>
        <v>-3022187.8670466528</v>
      </c>
      <c r="R29" s="56"/>
      <c r="S29" s="56"/>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V48"/>
  <sheetViews>
    <sheetView showGridLines="0" zoomScale="85" zoomScaleNormal="85" workbookViewId="0">
      <pane xSplit="6" ySplit="17" topLeftCell="G18" activePane="bottomRight" state="frozen"/>
      <selection activeCell="Q51" sqref="Q51"/>
      <selection pane="topRight" activeCell="Q51" sqref="Q51"/>
      <selection pane="bottomLeft" activeCell="Q51" sqref="Q51"/>
      <selection pane="bottomRight"/>
    </sheetView>
  </sheetViews>
  <sheetFormatPr defaultRowHeight="12.75" customHeight="1"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52" customWidth="1"/>
    <col min="14" max="15" width="15.85546875" style="52" bestFit="1" customWidth="1"/>
    <col min="16" max="16" width="12.5703125" style="52" customWidth="1"/>
    <col min="17" max="17" width="15.85546875" style="52" bestFit="1" customWidth="1"/>
    <col min="18" max="19" width="12.5703125" style="52" customWidth="1"/>
    <col min="20" max="21" width="2.7109375" style="2" customWidth="1"/>
    <col min="22" max="36" width="13.7109375" style="2" customWidth="1"/>
    <col min="37" max="16384" width="9.140625" style="2"/>
  </cols>
  <sheetData>
    <row r="2" spans="2:22" s="32" customFormat="1" ht="18" x14ac:dyDescent="0.25">
      <c r="B2" s="32" t="s">
        <v>236</v>
      </c>
      <c r="L2" s="51"/>
      <c r="M2" s="51"/>
      <c r="N2" s="51"/>
      <c r="O2" s="51"/>
      <c r="P2" s="51"/>
      <c r="Q2" s="51"/>
      <c r="R2" s="51"/>
      <c r="S2" s="51"/>
    </row>
    <row r="4" spans="2:22" ht="12.75" customHeight="1" x14ac:dyDescent="0.25">
      <c r="B4" s="1" t="s">
        <v>61</v>
      </c>
      <c r="C4" s="1"/>
      <c r="D4" s="1"/>
      <c r="J4" s="44"/>
    </row>
    <row r="5" spans="2:22" ht="12.75" customHeight="1" x14ac:dyDescent="0.25">
      <c r="B5" s="39"/>
      <c r="C5" s="3"/>
      <c r="D5" s="3"/>
      <c r="H5" s="33"/>
    </row>
    <row r="6" spans="2:22" s="46" customFormat="1" ht="12.75" customHeight="1" x14ac:dyDescent="0.2">
      <c r="B6" s="46" t="s">
        <v>237</v>
      </c>
    </row>
    <row r="7" spans="2:22" s="46" customFormat="1" ht="12.75" customHeight="1" x14ac:dyDescent="0.2">
      <c r="B7" s="46" t="s">
        <v>238</v>
      </c>
    </row>
    <row r="8" spans="2:22" s="46" customFormat="1" ht="12.75" customHeight="1" x14ac:dyDescent="0.2">
      <c r="B8" s="46" t="s">
        <v>298</v>
      </c>
    </row>
    <row r="9" spans="2:22" s="46" customFormat="1" ht="12.75" customHeight="1" x14ac:dyDescent="0.2">
      <c r="B9" s="46" t="s">
        <v>239</v>
      </c>
    </row>
    <row r="10" spans="2:22" s="46" customFormat="1" ht="12.75" customHeight="1" x14ac:dyDescent="0.2">
      <c r="B10" s="46" t="s">
        <v>240</v>
      </c>
    </row>
    <row r="11" spans="2:22" s="46" customFormat="1" ht="12.75" customHeight="1" x14ac:dyDescent="0.2">
      <c r="B11" s="46" t="s">
        <v>241</v>
      </c>
    </row>
    <row r="12" spans="2:22" s="46" customFormat="1" ht="12.75" customHeight="1" x14ac:dyDescent="0.2">
      <c r="B12" s="46" t="s">
        <v>242</v>
      </c>
    </row>
    <row r="13" spans="2:22" s="46" customFormat="1" ht="12.75" customHeight="1" x14ac:dyDescent="0.2">
      <c r="B13" s="150" t="s">
        <v>262</v>
      </c>
    </row>
    <row r="14" spans="2:22" s="46" customFormat="1" ht="12.75" customHeight="1" x14ac:dyDescent="0.2"/>
    <row r="16" spans="2:22" s="8" customFormat="1" ht="12.75" customHeight="1" x14ac:dyDescent="0.25">
      <c r="B16" s="8" t="s">
        <v>47</v>
      </c>
      <c r="F16" s="8" t="s">
        <v>29</v>
      </c>
      <c r="H16" s="8" t="s">
        <v>30</v>
      </c>
      <c r="J16" s="8" t="s">
        <v>51</v>
      </c>
      <c r="L16" s="53" t="s">
        <v>177</v>
      </c>
      <c r="M16" s="53" t="s">
        <v>68</v>
      </c>
      <c r="N16" s="53" t="s">
        <v>69</v>
      </c>
      <c r="O16" s="53" t="s">
        <v>70</v>
      </c>
      <c r="P16" s="53" t="s">
        <v>71</v>
      </c>
      <c r="Q16" s="53" t="s">
        <v>72</v>
      </c>
      <c r="R16" s="53" t="s">
        <v>73</v>
      </c>
      <c r="S16" s="53" t="s">
        <v>74</v>
      </c>
      <c r="V16" s="8" t="s">
        <v>49</v>
      </c>
    </row>
    <row r="19" spans="2:19" ht="12.75" customHeight="1" x14ac:dyDescent="0.25">
      <c r="B19" s="2" t="s">
        <v>244</v>
      </c>
      <c r="F19" s="2" t="s">
        <v>143</v>
      </c>
      <c r="L19" s="123">
        <f>'Input richtbedragen'!L14</f>
        <v>0.77867362464498346</v>
      </c>
      <c r="M19" s="123">
        <f>'Input richtbedragen'!M14</f>
        <v>0.75486748075183863</v>
      </c>
      <c r="N19" s="123">
        <f>'Input richtbedragen'!N14</f>
        <v>0.77913791341977912</v>
      </c>
      <c r="O19" s="123">
        <f>'Input richtbedragen'!O14</f>
        <v>0.78669324665350582</v>
      </c>
      <c r="P19" s="123">
        <f>'Input richtbedragen'!P14</f>
        <v>0.80302180767735376</v>
      </c>
      <c r="Q19" s="123">
        <f>'Input richtbedragen'!Q14</f>
        <v>0.78818495241083253</v>
      </c>
      <c r="R19" s="123">
        <f>'Input richtbedragen'!R14</f>
        <v>0.87055876029702839</v>
      </c>
      <c r="S19" s="123">
        <f>'Input richtbedragen'!S14</f>
        <v>0</v>
      </c>
    </row>
    <row r="20" spans="2:19" ht="12.75" customHeight="1" x14ac:dyDescent="0.25">
      <c r="B20" s="2" t="s">
        <v>245</v>
      </c>
      <c r="F20" s="2" t="s">
        <v>143</v>
      </c>
      <c r="L20" s="123">
        <f>'Input richtbedragen'!L15</f>
        <v>0.19175388830825968</v>
      </c>
      <c r="M20" s="123">
        <f>'Input richtbedragen'!M15</f>
        <v>0.18316773968962388</v>
      </c>
      <c r="N20" s="123">
        <f>'Input richtbedragen'!N15</f>
        <v>0.18760336819963264</v>
      </c>
      <c r="O20" s="123">
        <f>'Input richtbedragen'!O15</f>
        <v>0.18398725103646746</v>
      </c>
      <c r="P20" s="123">
        <f>'Input richtbedragen'!P15</f>
        <v>0.17403268674664804</v>
      </c>
      <c r="Q20" s="123">
        <f>'Input richtbedragen'!Q15</f>
        <v>0.17776422963502692</v>
      </c>
      <c r="R20" s="123">
        <f>'Input richtbedragen'!R15</f>
        <v>9.6982017756294794E-2</v>
      </c>
      <c r="S20" s="123">
        <f>'Input richtbedragen'!S15</f>
        <v>0</v>
      </c>
    </row>
    <row r="21" spans="2:19" ht="12.75" customHeight="1" x14ac:dyDescent="0.25">
      <c r="B21" s="2" t="s">
        <v>246</v>
      </c>
      <c r="F21" s="2" t="s">
        <v>143</v>
      </c>
      <c r="L21" s="123">
        <f>'Input richtbedragen'!L16</f>
        <v>2.957248704675678E-2</v>
      </c>
      <c r="M21" s="123">
        <f>'Input richtbedragen'!M16</f>
        <v>3.7056611806668194E-2</v>
      </c>
      <c r="N21" s="123">
        <f>'Input richtbedragen'!N16</f>
        <v>3.1002268580330457E-2</v>
      </c>
      <c r="O21" s="123">
        <f>'Input richtbedragen'!O16</f>
        <v>2.9318052885245145E-2</v>
      </c>
      <c r="P21" s="123">
        <f>'Input richtbedragen'!P16</f>
        <v>2.2945505575998303E-2</v>
      </c>
      <c r="Q21" s="123">
        <f>'Input richtbedragen'!Q16</f>
        <v>3.4050817954140555E-2</v>
      </c>
      <c r="R21" s="123">
        <f>'Input richtbedragen'!R16</f>
        <v>3.2459221946676831E-2</v>
      </c>
      <c r="S21" s="123">
        <f>'Input richtbedragen'!S16</f>
        <v>0</v>
      </c>
    </row>
    <row r="22" spans="2:19" ht="12.75" customHeight="1" x14ac:dyDescent="0.25">
      <c r="B22" s="2" t="s">
        <v>247</v>
      </c>
      <c r="F22" s="2" t="s">
        <v>143</v>
      </c>
      <c r="L22" s="123">
        <f>'Input richtbedragen'!L17</f>
        <v>0</v>
      </c>
      <c r="M22" s="123">
        <f>'Input richtbedragen'!M17</f>
        <v>2.4908167751869263E-2</v>
      </c>
      <c r="N22" s="123">
        <f>'Input richtbedragen'!N17</f>
        <v>2.2564498002578754E-3</v>
      </c>
      <c r="O22" s="123">
        <f>'Input richtbedragen'!O17</f>
        <v>1.4494247815699772E-6</v>
      </c>
      <c r="P22" s="123">
        <f>'Input richtbedragen'!P17</f>
        <v>0</v>
      </c>
      <c r="Q22" s="123">
        <f>'Input richtbedragen'!Q17</f>
        <v>0</v>
      </c>
      <c r="R22" s="123">
        <f>'Input richtbedragen'!R17</f>
        <v>0</v>
      </c>
      <c r="S22" s="123">
        <f>'Input richtbedragen'!S17</f>
        <v>1</v>
      </c>
    </row>
    <row r="23" spans="2:19" ht="12.75" customHeight="1" x14ac:dyDescent="0.25">
      <c r="L23" s="148"/>
      <c r="M23" s="148"/>
      <c r="N23" s="148"/>
      <c r="O23" s="148"/>
      <c r="P23" s="148"/>
      <c r="Q23" s="148"/>
      <c r="R23" s="148"/>
      <c r="S23" s="148"/>
    </row>
    <row r="24" spans="2:19" ht="12.75" customHeight="1" x14ac:dyDescent="0.25">
      <c r="B24" s="2" t="s">
        <v>248</v>
      </c>
      <c r="F24" s="2" t="s">
        <v>143</v>
      </c>
      <c r="L24" s="123">
        <f>'Input richtbedragen'!L19</f>
        <v>0.75506008100436595</v>
      </c>
      <c r="M24" s="123">
        <f>'Input richtbedragen'!M19</f>
        <v>0.73259072090432487</v>
      </c>
      <c r="N24" s="123">
        <f>'Input richtbedragen'!N19</f>
        <v>0.75588980005251849</v>
      </c>
      <c r="O24" s="123">
        <f>'Input richtbedragen'!O19</f>
        <v>0.76536613258601427</v>
      </c>
      <c r="P24" s="123">
        <f>'Input richtbedragen'!P19</f>
        <v>0.78305716665320535</v>
      </c>
      <c r="Q24" s="123">
        <f>'Input richtbedragen'!Q19</f>
        <v>0.76649819951187326</v>
      </c>
      <c r="R24" s="123">
        <f>'Input richtbedragen'!R19</f>
        <v>0.85492434770834713</v>
      </c>
      <c r="S24" s="123">
        <f>'Input richtbedragen'!S19</f>
        <v>0</v>
      </c>
    </row>
    <row r="25" spans="2:19" ht="12.75" customHeight="1" x14ac:dyDescent="0.25">
      <c r="B25" s="2" t="s">
        <v>249</v>
      </c>
      <c r="F25" s="2" t="s">
        <v>143</v>
      </c>
      <c r="L25" s="123">
        <f>'Input richtbedragen'!L20</f>
        <v>0.21306029948612157</v>
      </c>
      <c r="M25" s="123">
        <f>'Input richtbedragen'!M20</f>
        <v>0.2034561758362734</v>
      </c>
      <c r="N25" s="123">
        <f>'Input richtbedragen'!N20</f>
        <v>0.20850568901264896</v>
      </c>
      <c r="O25" s="123">
        <f>'Input richtbedragen'!O20</f>
        <v>0.20321871584243262</v>
      </c>
      <c r="P25" s="123">
        <f>'Input richtbedragen'!P20</f>
        <v>0.19232651561190292</v>
      </c>
      <c r="Q25" s="123">
        <f>'Input richtbedragen'!Q20</f>
        <v>0.19693733154491244</v>
      </c>
      <c r="R25" s="123">
        <f>'Input richtbedragen'!R20</f>
        <v>0.10963854437873144</v>
      </c>
      <c r="S25" s="123">
        <f>'Input richtbedragen'!S20</f>
        <v>0</v>
      </c>
    </row>
    <row r="26" spans="2:19" ht="12.75" customHeight="1" x14ac:dyDescent="0.25">
      <c r="B26" s="2" t="s">
        <v>250</v>
      </c>
      <c r="F26" s="2" t="s">
        <v>143</v>
      </c>
      <c r="L26" s="123">
        <f>'Input richtbedragen'!L21</f>
        <v>3.1879619509512472E-2</v>
      </c>
      <c r="M26" s="123">
        <f>'Input richtbedragen'!M21</f>
        <v>3.9885513125480318E-2</v>
      </c>
      <c r="N26" s="123">
        <f>'Input richtbedragen'!N21</f>
        <v>3.3420822448132249E-2</v>
      </c>
      <c r="O26" s="123">
        <f>'Input richtbedragen'!O21</f>
        <v>3.1413757382099797E-2</v>
      </c>
      <c r="P26" s="123">
        <f>'Input richtbedragen'!P21</f>
        <v>2.4616317734891827E-2</v>
      </c>
      <c r="Q26" s="123">
        <f>'Input richtbedragen'!Q21</f>
        <v>3.6564468943214336E-2</v>
      </c>
      <c r="R26" s="123">
        <f>'Input richtbedragen'!R21</f>
        <v>3.5437107912921546E-2</v>
      </c>
      <c r="S26" s="123">
        <f>'Input richtbedragen'!S21</f>
        <v>0</v>
      </c>
    </row>
    <row r="27" spans="2:19" ht="12.75" customHeight="1" x14ac:dyDescent="0.25">
      <c r="B27" s="2" t="s">
        <v>251</v>
      </c>
      <c r="F27" s="2" t="s">
        <v>143</v>
      </c>
      <c r="L27" s="123">
        <f>'Input richtbedragen'!L22</f>
        <v>0</v>
      </c>
      <c r="M27" s="123">
        <f>'Input richtbedragen'!M22</f>
        <v>2.4067590133921513E-2</v>
      </c>
      <c r="N27" s="123">
        <f>'Input richtbedragen'!N22</f>
        <v>2.1836884867004179E-3</v>
      </c>
      <c r="O27" s="123">
        <f>'Input richtbedragen'!O22</f>
        <v>1.3941894533687159E-6</v>
      </c>
      <c r="P27" s="123">
        <f>'Input richtbedragen'!P22</f>
        <v>0</v>
      </c>
      <c r="Q27" s="123">
        <f>'Input richtbedragen'!Q22</f>
        <v>0</v>
      </c>
      <c r="R27" s="123">
        <f>'Input richtbedragen'!R22</f>
        <v>0</v>
      </c>
      <c r="S27" s="123">
        <f>'Input richtbedragen'!S22</f>
        <v>1</v>
      </c>
    </row>
    <row r="28" spans="2:19" ht="12.75" customHeight="1" x14ac:dyDescent="0.25">
      <c r="L28" s="148"/>
      <c r="M28" s="148"/>
      <c r="N28" s="148"/>
      <c r="O28" s="148"/>
      <c r="P28" s="148"/>
      <c r="Q28" s="148"/>
      <c r="R28" s="148"/>
      <c r="S28" s="148"/>
    </row>
    <row r="29" spans="2:19" s="8" customFormat="1" ht="12.75" customHeight="1" x14ac:dyDescent="0.25">
      <c r="B29" s="54" t="s">
        <v>243</v>
      </c>
      <c r="L29" s="53"/>
      <c r="M29" s="53"/>
      <c r="N29" s="53"/>
      <c r="O29" s="53"/>
      <c r="P29" s="53"/>
      <c r="Q29" s="53"/>
      <c r="R29" s="53"/>
      <c r="S29" s="53"/>
    </row>
    <row r="31" spans="2:19" ht="12.75" customHeight="1" x14ac:dyDescent="0.25">
      <c r="B31" s="2" t="s">
        <v>307</v>
      </c>
      <c r="H31" s="2">
        <v>2016</v>
      </c>
    </row>
    <row r="32" spans="2:19" ht="12.75" customHeight="1" x14ac:dyDescent="0.25">
      <c r="B32" s="2" t="s">
        <v>308</v>
      </c>
      <c r="H32" s="2">
        <v>2021</v>
      </c>
    </row>
    <row r="33" spans="2:22" ht="12.75" customHeight="1" x14ac:dyDescent="0.25">
      <c r="B33" s="2" t="s">
        <v>309</v>
      </c>
      <c r="H33" s="2">
        <v>2019</v>
      </c>
    </row>
    <row r="35" spans="2:22" ht="12.75" customHeight="1" x14ac:dyDescent="0.25">
      <c r="B35" s="2" t="s">
        <v>252</v>
      </c>
      <c r="F35" s="2" t="s">
        <v>143</v>
      </c>
      <c r="L35" s="124">
        <f>((5-($H$33-$H$31))/5)*L19+(($H$33-$H$31)/5)*L24</f>
        <v>0.764505498460613</v>
      </c>
      <c r="M35" s="124">
        <f t="shared" ref="M35:S35" si="0">((5-($H$33-$H$31))/5)*M19+(($H$33-$H$31)/5)*M24</f>
        <v>0.74150142484333037</v>
      </c>
      <c r="N35" s="124">
        <f t="shared" si="0"/>
        <v>0.76518904539942278</v>
      </c>
      <c r="O35" s="124">
        <f t="shared" si="0"/>
        <v>0.77389697821301096</v>
      </c>
      <c r="P35" s="124">
        <f t="shared" si="0"/>
        <v>0.79104302306286467</v>
      </c>
      <c r="Q35" s="124">
        <f t="shared" si="0"/>
        <v>0.77517290067145694</v>
      </c>
      <c r="R35" s="124">
        <f t="shared" si="0"/>
        <v>0.86117811274381961</v>
      </c>
      <c r="S35" s="124">
        <f t="shared" si="0"/>
        <v>0</v>
      </c>
    </row>
    <row r="36" spans="2:22" ht="12.75" customHeight="1" x14ac:dyDescent="0.25">
      <c r="B36" s="2" t="s">
        <v>253</v>
      </c>
      <c r="F36" s="2" t="s">
        <v>143</v>
      </c>
      <c r="L36" s="124">
        <f>((5-($H$33-$H$31))/5)*L20+(($H$33-$H$31)/5)*L25</f>
        <v>0.2045377350149768</v>
      </c>
      <c r="M36" s="124">
        <f t="shared" ref="M36:S36" si="1">((5-($H$33-$H$31))/5)*M20+(($H$33-$H$31)/5)*M25</f>
        <v>0.19534080137761359</v>
      </c>
      <c r="N36" s="124">
        <f t="shared" si="1"/>
        <v>0.20014476068744244</v>
      </c>
      <c r="O36" s="124">
        <f t="shared" si="1"/>
        <v>0.19552612992004653</v>
      </c>
      <c r="P36" s="124">
        <f t="shared" si="1"/>
        <v>0.18500898406580096</v>
      </c>
      <c r="Q36" s="124">
        <f t="shared" si="1"/>
        <v>0.18926809078095824</v>
      </c>
      <c r="R36" s="124">
        <f t="shared" si="1"/>
        <v>0.10457593372975678</v>
      </c>
      <c r="S36" s="124">
        <f t="shared" si="1"/>
        <v>0</v>
      </c>
    </row>
    <row r="37" spans="2:22" ht="12.75" customHeight="1" x14ac:dyDescent="0.25">
      <c r="B37" s="2" t="s">
        <v>254</v>
      </c>
      <c r="F37" s="2" t="s">
        <v>143</v>
      </c>
      <c r="L37" s="124">
        <f t="shared" ref="L37:S38" si="2">((5-($H$33-$H$31))/5)*L21+(($H$33-$H$31)/5)*L26</f>
        <v>3.0956766524410196E-2</v>
      </c>
      <c r="M37" s="124">
        <f t="shared" si="2"/>
        <v>3.8753952597955471E-2</v>
      </c>
      <c r="N37" s="124">
        <f t="shared" si="2"/>
        <v>3.2453400901011537E-2</v>
      </c>
      <c r="O37" s="124">
        <f t="shared" si="2"/>
        <v>3.0575475583357936E-2</v>
      </c>
      <c r="P37" s="124">
        <f t="shared" si="2"/>
        <v>2.3947992871334416E-2</v>
      </c>
      <c r="Q37" s="124">
        <f t="shared" si="2"/>
        <v>3.5559008547584828E-2</v>
      </c>
      <c r="R37" s="124">
        <f t="shared" si="2"/>
        <v>3.4245953526423664E-2</v>
      </c>
      <c r="S37" s="124">
        <f t="shared" si="2"/>
        <v>0</v>
      </c>
    </row>
    <row r="38" spans="2:22" ht="12.75" customHeight="1" x14ac:dyDescent="0.25">
      <c r="B38" s="2" t="s">
        <v>255</v>
      </c>
      <c r="F38" s="2" t="s">
        <v>143</v>
      </c>
      <c r="L38" s="124">
        <f t="shared" si="2"/>
        <v>0</v>
      </c>
      <c r="M38" s="124">
        <f t="shared" si="2"/>
        <v>2.4403821181100613E-2</v>
      </c>
      <c r="N38" s="124">
        <f t="shared" si="2"/>
        <v>2.212793012123401E-3</v>
      </c>
      <c r="O38" s="124">
        <f t="shared" si="2"/>
        <v>1.4162835846492203E-6</v>
      </c>
      <c r="P38" s="124">
        <f t="shared" si="2"/>
        <v>0</v>
      </c>
      <c r="Q38" s="124">
        <f t="shared" si="2"/>
        <v>0</v>
      </c>
      <c r="R38" s="124">
        <f t="shared" si="2"/>
        <v>0</v>
      </c>
      <c r="S38" s="124">
        <f t="shared" si="2"/>
        <v>1</v>
      </c>
    </row>
    <row r="40" spans="2:22" s="8" customFormat="1" ht="12.75" customHeight="1" x14ac:dyDescent="0.25">
      <c r="B40" s="54" t="s">
        <v>236</v>
      </c>
      <c r="L40" s="53"/>
      <c r="M40" s="53"/>
      <c r="N40" s="53"/>
      <c r="O40" s="53"/>
      <c r="P40" s="53"/>
      <c r="Q40" s="53"/>
      <c r="R40" s="53"/>
      <c r="S40" s="53"/>
    </row>
    <row r="42" spans="2:22" ht="12.75" customHeight="1" x14ac:dyDescent="0.2">
      <c r="B42" s="2" t="s">
        <v>256</v>
      </c>
      <c r="F42" s="46" t="s">
        <v>214</v>
      </c>
      <c r="L42" s="114">
        <f>'TI-berekening 2019'!L34</f>
        <v>20008172.147739932</v>
      </c>
      <c r="M42" s="114">
        <f>'TI-berekening 2019'!M34</f>
        <v>27995018.400688086</v>
      </c>
      <c r="N42" s="114">
        <f>'TI-berekening 2019'!N34</f>
        <v>331918109.40008217</v>
      </c>
      <c r="O42" s="114">
        <f>'TI-berekening 2019'!O34</f>
        <v>403131883.41315264</v>
      </c>
      <c r="P42" s="114">
        <f>'TI-berekening 2019'!P34</f>
        <v>16749528.076478567</v>
      </c>
      <c r="Q42" s="114">
        <f>'TI-berekening 2019'!Q34</f>
        <v>292785466.4729445</v>
      </c>
      <c r="R42" s="114">
        <f>'TI-berekening 2019'!R34</f>
        <v>15876137.846101899</v>
      </c>
      <c r="S42" s="114">
        <f>'TI-berekening 2019'!S34</f>
        <v>5364221.176486589</v>
      </c>
      <c r="V42" s="46" t="s">
        <v>306</v>
      </c>
    </row>
    <row r="44" spans="2:22" ht="12.75" customHeight="1" x14ac:dyDescent="0.2">
      <c r="B44" s="2" t="s">
        <v>257</v>
      </c>
      <c r="F44" s="46" t="s">
        <v>214</v>
      </c>
      <c r="L44" s="149">
        <f t="shared" ref="L44:S44" si="3">L$42*L35</f>
        <v>15296357.62109367</v>
      </c>
      <c r="M44" s="149">
        <f t="shared" si="3"/>
        <v>20758346.032625467</v>
      </c>
      <c r="N44" s="149">
        <f t="shared" si="3"/>
        <v>253980101.28263006</v>
      </c>
      <c r="O44" s="149">
        <f t="shared" si="3"/>
        <v>311982546.39475864</v>
      </c>
      <c r="P44" s="149">
        <f t="shared" si="3"/>
        <v>13249597.324493933</v>
      </c>
      <c r="Q44" s="149">
        <f t="shared" si="3"/>
        <v>226959359.32027799</v>
      </c>
      <c r="R44" s="149">
        <f t="shared" si="3"/>
        <v>13672182.427966762</v>
      </c>
      <c r="S44" s="149">
        <f t="shared" si="3"/>
        <v>0</v>
      </c>
    </row>
    <row r="45" spans="2:22" ht="12.75" customHeight="1" x14ac:dyDescent="0.2">
      <c r="B45" s="2" t="s">
        <v>258</v>
      </c>
      <c r="F45" s="46" t="s">
        <v>214</v>
      </c>
      <c r="L45" s="149">
        <f t="shared" ref="L45:S45" si="4">L$42*L36</f>
        <v>4092426.2128884695</v>
      </c>
      <c r="M45" s="149">
        <f t="shared" si="4"/>
        <v>5468569.3289714493</v>
      </c>
      <c r="N45" s="149">
        <f t="shared" si="4"/>
        <v>66431670.573707789</v>
      </c>
      <c r="O45" s="149">
        <f t="shared" si="4"/>
        <v>78822817.011153132</v>
      </c>
      <c r="P45" s="149">
        <f t="shared" si="4"/>
        <v>3098813.173010909</v>
      </c>
      <c r="Q45" s="149">
        <f t="shared" si="4"/>
        <v>55414946.247746468</v>
      </c>
      <c r="R45" s="149">
        <f t="shared" si="4"/>
        <v>1660261.9392784357</v>
      </c>
      <c r="S45" s="149">
        <f t="shared" si="4"/>
        <v>0</v>
      </c>
    </row>
    <row r="46" spans="2:22" ht="12.75" customHeight="1" x14ac:dyDescent="0.2">
      <c r="B46" s="2" t="s">
        <v>259</v>
      </c>
      <c r="F46" s="46" t="s">
        <v>214</v>
      </c>
      <c r="L46" s="149">
        <f t="shared" ref="L46:S46" si="5">L$42*L37</f>
        <v>619388.313757792</v>
      </c>
      <c r="M46" s="149">
        <f t="shared" si="5"/>
        <v>1084917.6160791572</v>
      </c>
      <c r="N46" s="149">
        <f t="shared" si="5"/>
        <v>10771871.470666673</v>
      </c>
      <c r="O46" s="149">
        <f t="shared" si="5"/>
        <v>12325949.058171947</v>
      </c>
      <c r="P46" s="149">
        <f t="shared" si="5"/>
        <v>401117.57897372439</v>
      </c>
      <c r="Q46" s="149">
        <f t="shared" si="5"/>
        <v>10411160.904920045</v>
      </c>
      <c r="R46" s="149">
        <f t="shared" si="5"/>
        <v>543693.47885670152</v>
      </c>
      <c r="S46" s="149">
        <f t="shared" si="5"/>
        <v>0</v>
      </c>
    </row>
    <row r="47" spans="2:22" ht="12.75" customHeight="1" x14ac:dyDescent="0.2">
      <c r="B47" s="2" t="s">
        <v>260</v>
      </c>
      <c r="F47" s="46" t="s">
        <v>214</v>
      </c>
      <c r="L47" s="149">
        <f t="shared" ref="L47:S47" si="6">L$42*L38</f>
        <v>0</v>
      </c>
      <c r="M47" s="149">
        <f t="shared" si="6"/>
        <v>683185.42301201331</v>
      </c>
      <c r="N47" s="149">
        <f t="shared" si="6"/>
        <v>734466.07307771232</v>
      </c>
      <c r="O47" s="149">
        <f t="shared" si="6"/>
        <v>570.94906892677136</v>
      </c>
      <c r="P47" s="149">
        <f t="shared" si="6"/>
        <v>0</v>
      </c>
      <c r="Q47" s="149">
        <f t="shared" si="6"/>
        <v>0</v>
      </c>
      <c r="R47" s="149">
        <f t="shared" si="6"/>
        <v>0</v>
      </c>
      <c r="S47" s="149">
        <f t="shared" si="6"/>
        <v>5364221.176486589</v>
      </c>
    </row>
    <row r="48" spans="2:22" ht="12.75" customHeight="1" x14ac:dyDescent="0.2">
      <c r="B48" s="2" t="s">
        <v>261</v>
      </c>
      <c r="F48" s="46" t="s">
        <v>214</v>
      </c>
      <c r="L48" s="75">
        <f>SUM(L44:L47)</f>
        <v>20008172.147739932</v>
      </c>
      <c r="M48" s="75">
        <f t="shared" ref="M48:S48" si="7">SUM(M44:M47)</f>
        <v>27995018.400688086</v>
      </c>
      <c r="N48" s="75">
        <f t="shared" si="7"/>
        <v>331918109.40008223</v>
      </c>
      <c r="O48" s="75">
        <f t="shared" si="7"/>
        <v>403131883.41315264</v>
      </c>
      <c r="P48" s="75">
        <f t="shared" si="7"/>
        <v>16749528.076478565</v>
      </c>
      <c r="Q48" s="75">
        <f t="shared" si="7"/>
        <v>292785466.4729445</v>
      </c>
      <c r="R48" s="75">
        <f t="shared" si="7"/>
        <v>15876137.846101899</v>
      </c>
      <c r="S48" s="75">
        <f t="shared" si="7"/>
        <v>5364221.176486589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R56"/>
  <sheetViews>
    <sheetView showGridLines="0" zoomScale="85" zoomScaleNormal="85" workbookViewId="0">
      <pane ySplit="3" topLeftCell="A4" activePane="bottomLeft" state="frozen"/>
      <selection activeCell="A4" sqref="A4"/>
      <selection pane="bottomLeft"/>
    </sheetView>
  </sheetViews>
  <sheetFormatPr defaultRowHeight="12.75" x14ac:dyDescent="0.25"/>
  <cols>
    <col min="1" max="7" width="9.140625" style="2" customWidth="1"/>
    <col min="8" max="16384" width="9.140625" style="2"/>
  </cols>
  <sheetData>
    <row r="2" spans="2:18" s="14" customFormat="1" ht="18" x14ac:dyDescent="0.25">
      <c r="B2" s="4" t="s">
        <v>55</v>
      </c>
      <c r="D2" s="41"/>
    </row>
    <row r="4" spans="2:18" s="8" customFormat="1" x14ac:dyDescent="0.25">
      <c r="B4" s="8" t="s">
        <v>14</v>
      </c>
    </row>
    <row r="6" spans="2:18" x14ac:dyDescent="0.2">
      <c r="B6" s="89" t="s">
        <v>223</v>
      </c>
    </row>
    <row r="7" spans="2:18" x14ac:dyDescent="0.2">
      <c r="B7" s="46" t="s">
        <v>224</v>
      </c>
    </row>
    <row r="8" spans="2:18" x14ac:dyDescent="0.2">
      <c r="B8" s="143" t="s">
        <v>225</v>
      </c>
    </row>
    <row r="9" spans="2:18" x14ac:dyDescent="0.2">
      <c r="B9" s="143"/>
    </row>
    <row r="10" spans="2:18" s="8" customFormat="1" x14ac:dyDescent="0.25">
      <c r="B10" s="8" t="s">
        <v>64</v>
      </c>
    </row>
    <row r="12" spans="2:18" s="144" customFormat="1" ht="15" x14ac:dyDescent="0.25"/>
    <row r="13" spans="2:18" s="144" customFormat="1" ht="15" x14ac:dyDescent="0.25">
      <c r="B13" s="145"/>
      <c r="C13" s="145"/>
      <c r="D13" s="145"/>
      <c r="E13" s="145"/>
      <c r="F13" s="145"/>
      <c r="G13" s="145"/>
      <c r="H13" s="145"/>
      <c r="I13" s="145"/>
      <c r="J13" s="145"/>
      <c r="K13" s="145"/>
      <c r="L13" s="145"/>
      <c r="M13" s="145"/>
      <c r="N13" s="145"/>
      <c r="O13" s="145"/>
      <c r="P13" s="145"/>
      <c r="Q13" s="145"/>
      <c r="R13" s="146"/>
    </row>
    <row r="14" spans="2:18" s="144" customFormat="1" ht="15" x14ac:dyDescent="0.25">
      <c r="B14" s="145"/>
      <c r="C14" s="145"/>
      <c r="D14" s="145"/>
      <c r="E14" s="145"/>
      <c r="F14" s="145"/>
      <c r="G14" s="145"/>
      <c r="H14" s="145"/>
      <c r="I14" s="145"/>
      <c r="J14" s="145"/>
      <c r="K14" s="145"/>
      <c r="L14" s="145"/>
      <c r="M14" s="145"/>
      <c r="N14" s="145"/>
      <c r="O14" s="145"/>
      <c r="P14" s="145"/>
      <c r="Q14" s="145"/>
      <c r="R14" s="146"/>
    </row>
    <row r="15" spans="2:18" s="144" customFormat="1" ht="15" x14ac:dyDescent="0.25">
      <c r="B15" s="145"/>
      <c r="C15" s="145"/>
      <c r="D15" s="145"/>
      <c r="E15" s="145"/>
      <c r="F15" s="145"/>
      <c r="G15" s="145"/>
      <c r="H15" s="145"/>
      <c r="I15" s="145"/>
      <c r="J15" s="145"/>
      <c r="K15" s="145"/>
      <c r="L15" s="145"/>
      <c r="M15" s="145"/>
      <c r="N15" s="145"/>
      <c r="O15" s="145"/>
      <c r="P15" s="145"/>
      <c r="Q15" s="145"/>
      <c r="R15" s="146"/>
    </row>
    <row r="16" spans="2:18" s="144" customFormat="1" ht="15" x14ac:dyDescent="0.25">
      <c r="B16" s="145"/>
      <c r="C16" s="145"/>
      <c r="D16" s="145"/>
      <c r="E16" s="145"/>
      <c r="F16" s="145"/>
      <c r="G16" s="145"/>
      <c r="H16" s="145"/>
      <c r="I16" s="145"/>
      <c r="J16" s="145"/>
      <c r="K16" s="145"/>
      <c r="L16" s="145"/>
      <c r="M16" s="145"/>
      <c r="N16" s="145"/>
      <c r="O16" s="145"/>
      <c r="P16" s="145"/>
      <c r="Q16" s="145"/>
      <c r="R16" s="146"/>
    </row>
    <row r="17" spans="2:18" s="144" customFormat="1" ht="15" x14ac:dyDescent="0.25">
      <c r="B17" s="145"/>
      <c r="C17" s="145"/>
      <c r="D17" s="145"/>
      <c r="E17" s="145"/>
      <c r="F17" s="145"/>
      <c r="G17" s="145"/>
      <c r="H17" s="145"/>
      <c r="I17" s="145"/>
      <c r="J17" s="145"/>
      <c r="K17" s="145"/>
      <c r="L17" s="145"/>
      <c r="M17" s="145"/>
      <c r="N17" s="145"/>
      <c r="O17" s="145"/>
      <c r="P17" s="145"/>
      <c r="Q17" s="145"/>
      <c r="R17" s="146"/>
    </row>
    <row r="18" spans="2:18" s="144" customFormat="1" ht="15" x14ac:dyDescent="0.25">
      <c r="B18" s="145"/>
      <c r="C18" s="145"/>
      <c r="D18" s="145"/>
      <c r="E18" s="145"/>
      <c r="F18" s="145"/>
      <c r="G18" s="145"/>
      <c r="H18" s="145"/>
      <c r="I18" s="145"/>
      <c r="J18" s="145"/>
      <c r="K18" s="145"/>
      <c r="L18" s="145"/>
      <c r="M18" s="145"/>
      <c r="N18" s="145"/>
      <c r="O18" s="145"/>
      <c r="P18" s="145"/>
      <c r="Q18" s="145"/>
      <c r="R18" s="146"/>
    </row>
    <row r="19" spans="2:18" s="144" customFormat="1" ht="15" x14ac:dyDescent="0.25">
      <c r="B19" s="145"/>
      <c r="C19" s="145"/>
      <c r="D19" s="145"/>
      <c r="E19" s="145"/>
      <c r="F19" s="145"/>
      <c r="G19" s="145"/>
      <c r="H19" s="145"/>
      <c r="I19" s="145"/>
      <c r="J19" s="145"/>
      <c r="K19" s="145"/>
      <c r="L19" s="145"/>
      <c r="M19" s="145"/>
      <c r="N19" s="145"/>
      <c r="O19" s="145"/>
      <c r="P19" s="145"/>
      <c r="Q19" s="145"/>
      <c r="R19" s="146"/>
    </row>
    <row r="20" spans="2:18" s="144" customFormat="1" ht="15" x14ac:dyDescent="0.25">
      <c r="B20" s="145"/>
      <c r="C20" s="145"/>
      <c r="D20" s="145"/>
      <c r="E20" s="145"/>
      <c r="F20" s="145"/>
      <c r="G20" s="145"/>
      <c r="H20" s="145"/>
      <c r="I20" s="145"/>
      <c r="J20" s="145"/>
      <c r="K20" s="145"/>
      <c r="L20" s="145"/>
      <c r="M20" s="145"/>
      <c r="N20" s="145"/>
      <c r="O20" s="145"/>
      <c r="P20" s="145"/>
      <c r="Q20" s="145"/>
      <c r="R20" s="146"/>
    </row>
    <row r="21" spans="2:18" s="144" customFormat="1" ht="15" x14ac:dyDescent="0.25">
      <c r="B21" s="145"/>
      <c r="C21" s="145"/>
      <c r="D21" s="145"/>
      <c r="E21" s="145"/>
      <c r="F21" s="145"/>
      <c r="G21" s="145"/>
      <c r="H21" s="145"/>
      <c r="I21" s="145"/>
      <c r="J21" s="145"/>
      <c r="K21" s="145"/>
      <c r="L21" s="145"/>
      <c r="M21" s="145"/>
      <c r="N21" s="145"/>
      <c r="O21" s="145"/>
      <c r="P21" s="145"/>
      <c r="Q21" s="145"/>
      <c r="R21" s="146"/>
    </row>
    <row r="22" spans="2:18" s="144" customFormat="1" ht="15" x14ac:dyDescent="0.25">
      <c r="B22" s="145"/>
      <c r="C22" s="145"/>
      <c r="D22" s="145"/>
      <c r="E22" s="145"/>
      <c r="F22" s="145"/>
      <c r="G22" s="145"/>
      <c r="H22" s="145"/>
      <c r="I22" s="145"/>
      <c r="J22" s="145"/>
      <c r="K22" s="145"/>
      <c r="L22" s="145"/>
      <c r="M22" s="145"/>
      <c r="N22" s="145"/>
      <c r="O22" s="145"/>
      <c r="P22" s="145"/>
      <c r="Q22" s="145"/>
      <c r="R22" s="146"/>
    </row>
    <row r="23" spans="2:18" s="144" customFormat="1" ht="15" x14ac:dyDescent="0.25">
      <c r="B23" s="145"/>
      <c r="C23" s="145"/>
      <c r="D23" s="145"/>
      <c r="E23" s="145"/>
      <c r="F23" s="145"/>
      <c r="G23" s="145"/>
      <c r="H23" s="145"/>
      <c r="I23" s="145"/>
      <c r="J23" s="145"/>
      <c r="K23" s="145"/>
      <c r="L23" s="145"/>
      <c r="M23" s="145"/>
      <c r="N23" s="145"/>
      <c r="O23" s="145"/>
      <c r="P23" s="145"/>
      <c r="Q23" s="145"/>
      <c r="R23" s="146"/>
    </row>
    <row r="24" spans="2:18" s="144" customFormat="1" ht="15" x14ac:dyDescent="0.25">
      <c r="B24" s="145"/>
      <c r="C24" s="145"/>
      <c r="D24" s="145"/>
      <c r="E24" s="145"/>
      <c r="F24" s="145"/>
      <c r="G24" s="145"/>
      <c r="H24" s="145"/>
      <c r="I24" s="145"/>
      <c r="J24" s="145"/>
      <c r="K24" s="145"/>
      <c r="L24" s="145"/>
      <c r="M24" s="145"/>
      <c r="N24" s="145"/>
      <c r="O24" s="145"/>
      <c r="P24" s="145"/>
      <c r="Q24" s="145"/>
      <c r="R24" s="146"/>
    </row>
    <row r="26" spans="2:18" s="8" customFormat="1" x14ac:dyDescent="0.25">
      <c r="B26" s="8" t="s">
        <v>15</v>
      </c>
    </row>
    <row r="27" spans="2:18" x14ac:dyDescent="0.25">
      <c r="C27" s="9"/>
    </row>
    <row r="28" spans="2:18" x14ac:dyDescent="0.25">
      <c r="B28" s="1" t="s">
        <v>40</v>
      </c>
      <c r="C28" s="9"/>
      <c r="D28" s="1" t="s">
        <v>16</v>
      </c>
      <c r="F28" s="15"/>
    </row>
    <row r="29" spans="2:18" x14ac:dyDescent="0.25">
      <c r="C29" s="9"/>
    </row>
    <row r="30" spans="2:18" x14ac:dyDescent="0.25">
      <c r="B30" s="16">
        <v>123</v>
      </c>
      <c r="C30" s="9"/>
      <c r="D30" s="39" t="s">
        <v>57</v>
      </c>
    </row>
    <row r="31" spans="2:18" x14ac:dyDescent="0.25">
      <c r="B31" s="17">
        <f>B30</f>
        <v>123</v>
      </c>
      <c r="C31" s="9"/>
      <c r="D31" s="2" t="s">
        <v>17</v>
      </c>
    </row>
    <row r="32" spans="2:18" x14ac:dyDescent="0.25">
      <c r="B32" s="18">
        <f>B31+B30</f>
        <v>246</v>
      </c>
      <c r="C32" s="9"/>
      <c r="D32" s="2" t="s">
        <v>18</v>
      </c>
    </row>
    <row r="33" spans="2:7" x14ac:dyDescent="0.25">
      <c r="B33" s="19">
        <f>B31+B32</f>
        <v>369</v>
      </c>
      <c r="C33" s="9"/>
      <c r="D33" s="39" t="s">
        <v>56</v>
      </c>
      <c r="E33" s="15"/>
      <c r="F33" s="6"/>
    </row>
    <row r="34" spans="2:7" x14ac:dyDescent="0.25">
      <c r="B34" s="20"/>
      <c r="C34" s="9"/>
      <c r="D34" s="3" t="s">
        <v>19</v>
      </c>
      <c r="E34" s="15"/>
    </row>
    <row r="35" spans="2:7" x14ac:dyDescent="0.25">
      <c r="B35" s="9"/>
      <c r="C35" s="9"/>
    </row>
    <row r="36" spans="2:7" x14ac:dyDescent="0.25">
      <c r="B36" s="21" t="s">
        <v>20</v>
      </c>
      <c r="C36" s="9"/>
    </row>
    <row r="37" spans="2:7" x14ac:dyDescent="0.25">
      <c r="B37" s="22">
        <f>B33+16</f>
        <v>385</v>
      </c>
      <c r="C37" s="9"/>
      <c r="D37" s="2" t="s">
        <v>21</v>
      </c>
    </row>
    <row r="38" spans="2:7" x14ac:dyDescent="0.25">
      <c r="B38" s="23">
        <f>B31*PI()</f>
        <v>386.41589639154455</v>
      </c>
      <c r="C38" s="24"/>
      <c r="D38" s="2" t="s">
        <v>22</v>
      </c>
    </row>
    <row r="39" spans="2:7" x14ac:dyDescent="0.25">
      <c r="B39" s="24"/>
      <c r="C39" s="24"/>
    </row>
    <row r="40" spans="2:7" x14ac:dyDescent="0.25">
      <c r="B40" s="25" t="s">
        <v>23</v>
      </c>
      <c r="C40" s="25"/>
    </row>
    <row r="41" spans="2:7" x14ac:dyDescent="0.25">
      <c r="B41" s="26">
        <v>123</v>
      </c>
      <c r="C41" s="25"/>
      <c r="D41" s="3" t="s">
        <v>24</v>
      </c>
      <c r="G41" s="15"/>
    </row>
    <row r="42" spans="2:7" x14ac:dyDescent="0.25">
      <c r="B42" s="27">
        <v>124</v>
      </c>
      <c r="C42" s="25"/>
      <c r="D42" s="3" t="s">
        <v>25</v>
      </c>
    </row>
    <row r="43" spans="2:7" x14ac:dyDescent="0.25">
      <c r="B43" s="28">
        <f>B32-B33</f>
        <v>-123</v>
      </c>
      <c r="C43" s="29"/>
      <c r="D43" s="2" t="s">
        <v>63</v>
      </c>
    </row>
    <row r="46" spans="2:7" x14ac:dyDescent="0.25">
      <c r="B46" s="1" t="s">
        <v>35</v>
      </c>
    </row>
    <row r="47" spans="2:7" x14ac:dyDescent="0.25">
      <c r="B47" s="1"/>
    </row>
    <row r="48" spans="2:7" x14ac:dyDescent="0.25">
      <c r="B48" s="5" t="s">
        <v>41</v>
      </c>
    </row>
    <row r="49" spans="2:4" x14ac:dyDescent="0.25">
      <c r="B49" s="36" t="s">
        <v>34</v>
      </c>
      <c r="C49" s="9"/>
      <c r="D49" s="3" t="s">
        <v>44</v>
      </c>
    </row>
    <row r="50" spans="2:4" x14ac:dyDescent="0.25">
      <c r="B50" s="34" t="s">
        <v>32</v>
      </c>
      <c r="C50" s="9"/>
      <c r="D50" s="3" t="s">
        <v>36</v>
      </c>
    </row>
    <row r="51" spans="2:4" x14ac:dyDescent="0.25">
      <c r="B51" s="35" t="s">
        <v>33</v>
      </c>
      <c r="C51" s="9"/>
      <c r="D51" s="3" t="s">
        <v>37</v>
      </c>
    </row>
    <row r="52" spans="2:4" x14ac:dyDescent="0.25">
      <c r="B52" s="23" t="s">
        <v>33</v>
      </c>
      <c r="C52" s="9"/>
      <c r="D52" s="3" t="s">
        <v>39</v>
      </c>
    </row>
    <row r="53" spans="2:4" x14ac:dyDescent="0.25">
      <c r="C53" s="9"/>
      <c r="D53" s="3"/>
    </row>
    <row r="54" spans="2:4" x14ac:dyDescent="0.25">
      <c r="B54" s="5" t="s">
        <v>43</v>
      </c>
      <c r="C54" s="9"/>
      <c r="D54" s="3"/>
    </row>
    <row r="55" spans="2:4" x14ac:dyDescent="0.25">
      <c r="B55" s="37" t="s">
        <v>38</v>
      </c>
      <c r="C55" s="9"/>
      <c r="D55" s="3" t="s">
        <v>45</v>
      </c>
    </row>
    <row r="56" spans="2:4" x14ac:dyDescent="0.25">
      <c r="B56" s="38" t="s">
        <v>42</v>
      </c>
      <c r="D56" s="3" t="s">
        <v>46</v>
      </c>
    </row>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E25"/>
  <sheetViews>
    <sheetView showGridLines="0" zoomScale="85" zoomScaleNormal="85" workbookViewId="0">
      <pane ySplit="3" topLeftCell="A4" activePane="bottomLeft" state="frozen"/>
      <selection activeCell="A4" sqref="A4"/>
      <selection pane="bottomLeft"/>
    </sheetView>
  </sheetViews>
  <sheetFormatPr defaultRowHeight="15" customHeight="1" x14ac:dyDescent="0.25"/>
  <cols>
    <col min="1" max="1" width="2.85546875" style="2" customWidth="1"/>
    <col min="2" max="2" width="7.5703125" style="2" customWidth="1"/>
    <col min="3" max="3" width="45.7109375" style="2" bestFit="1" customWidth="1"/>
    <col min="4" max="5" width="40.7109375" style="2" customWidth="1"/>
    <col min="6" max="6" width="4.5703125" style="2" customWidth="1"/>
    <col min="7" max="7" width="43.42578125" style="2" customWidth="1"/>
    <col min="8" max="8" width="28.7109375" style="2" customWidth="1"/>
    <col min="9" max="9" width="26.85546875" style="2" customWidth="1"/>
    <col min="10" max="10" width="58.42578125" style="2" customWidth="1"/>
    <col min="11" max="11" width="22" style="2" customWidth="1"/>
    <col min="12" max="16384" width="9.140625" style="2"/>
  </cols>
  <sheetData>
    <row r="2" spans="2:5" s="14" customFormat="1" ht="18" x14ac:dyDescent="0.25">
      <c r="B2" s="4" t="s">
        <v>26</v>
      </c>
    </row>
    <row r="4" spans="2:5" s="8" customFormat="1" ht="15" customHeight="1" x14ac:dyDescent="0.25">
      <c r="B4" s="8" t="s">
        <v>27</v>
      </c>
    </row>
    <row r="6" spans="2:5" ht="15" customHeight="1" x14ac:dyDescent="0.25">
      <c r="B6" s="6"/>
    </row>
    <row r="8" spans="2:5" ht="15" customHeight="1" x14ac:dyDescent="0.25">
      <c r="B8" s="30" t="s">
        <v>58</v>
      </c>
      <c r="C8" s="30" t="s">
        <v>59</v>
      </c>
      <c r="D8" s="30" t="s">
        <v>60</v>
      </c>
      <c r="E8" s="30" t="s">
        <v>65</v>
      </c>
    </row>
    <row r="9" spans="2:5" ht="15" customHeight="1" x14ac:dyDescent="0.25">
      <c r="B9" s="31"/>
      <c r="C9" s="40" t="s">
        <v>67</v>
      </c>
      <c r="D9" s="40" t="s">
        <v>28</v>
      </c>
      <c r="E9" s="40" t="s">
        <v>66</v>
      </c>
    </row>
    <row r="10" spans="2:5" ht="15" customHeight="1" x14ac:dyDescent="0.25">
      <c r="B10" s="42">
        <v>1</v>
      </c>
      <c r="C10" s="7" t="s">
        <v>227</v>
      </c>
      <c r="D10" s="141" t="s">
        <v>220</v>
      </c>
      <c r="E10" s="142" t="s">
        <v>327</v>
      </c>
    </row>
    <row r="11" spans="2:5" ht="15" customHeight="1" x14ac:dyDescent="0.25">
      <c r="B11" s="7">
        <v>2</v>
      </c>
      <c r="C11" s="7" t="s">
        <v>198</v>
      </c>
      <c r="D11" s="141" t="s">
        <v>199</v>
      </c>
      <c r="E11" s="141"/>
    </row>
    <row r="12" spans="2:5" ht="15" customHeight="1" x14ac:dyDescent="0.25">
      <c r="B12" s="7">
        <v>3</v>
      </c>
      <c r="C12" s="7" t="s">
        <v>200</v>
      </c>
      <c r="D12" s="141" t="s">
        <v>201</v>
      </c>
      <c r="E12" s="141"/>
    </row>
    <row r="13" spans="2:5" ht="15" customHeight="1" x14ac:dyDescent="0.25">
      <c r="B13" s="7">
        <v>4</v>
      </c>
      <c r="C13" s="7" t="s">
        <v>202</v>
      </c>
      <c r="D13" s="141" t="s">
        <v>217</v>
      </c>
      <c r="E13" s="142" t="s">
        <v>219</v>
      </c>
    </row>
    <row r="14" spans="2:5" ht="15" customHeight="1" x14ac:dyDescent="0.25">
      <c r="B14" s="7">
        <v>5</v>
      </c>
      <c r="C14" s="7" t="s">
        <v>325</v>
      </c>
      <c r="D14" s="141" t="s">
        <v>218</v>
      </c>
      <c r="E14" s="141"/>
    </row>
    <row r="15" spans="2:5" ht="15" customHeight="1" x14ac:dyDescent="0.25">
      <c r="B15" s="7">
        <v>6</v>
      </c>
      <c r="C15" s="7" t="s">
        <v>271</v>
      </c>
      <c r="D15" s="141" t="s">
        <v>299</v>
      </c>
      <c r="E15" s="142" t="s">
        <v>328</v>
      </c>
    </row>
    <row r="16" spans="2:5" ht="15" customHeight="1" x14ac:dyDescent="0.25">
      <c r="B16" s="7">
        <v>7</v>
      </c>
      <c r="C16" s="7" t="s">
        <v>221</v>
      </c>
      <c r="D16" s="141" t="s">
        <v>218</v>
      </c>
      <c r="E16" s="141"/>
    </row>
    <row r="17" spans="2:5" ht="15" customHeight="1" x14ac:dyDescent="0.25">
      <c r="B17" s="7">
        <v>8</v>
      </c>
      <c r="C17" s="7" t="s">
        <v>228</v>
      </c>
      <c r="D17" s="141" t="s">
        <v>229</v>
      </c>
      <c r="E17" s="141"/>
    </row>
    <row r="18" spans="2:5" ht="15" customHeight="1" x14ac:dyDescent="0.25">
      <c r="B18" s="7">
        <v>9</v>
      </c>
      <c r="D18" s="141"/>
      <c r="E18" s="141"/>
    </row>
    <row r="19" spans="2:5" ht="15" customHeight="1" x14ac:dyDescent="0.25">
      <c r="B19" s="7">
        <v>10</v>
      </c>
      <c r="C19" s="7"/>
      <c r="D19" s="141"/>
      <c r="E19" s="141"/>
    </row>
    <row r="22" spans="2:5" s="8" customFormat="1" ht="15" customHeight="1" x14ac:dyDescent="0.25">
      <c r="B22" s="8" t="s">
        <v>54</v>
      </c>
    </row>
    <row r="24" spans="2:5" ht="15" customHeight="1" x14ac:dyDescent="0.25">
      <c r="B24" s="5" t="s">
        <v>52</v>
      </c>
    </row>
    <row r="25" spans="2:5" ht="15" customHeight="1" x14ac:dyDescent="0.25">
      <c r="B25" s="5" t="s">
        <v>53</v>
      </c>
    </row>
  </sheetData>
  <hyperlinks>
    <hyperlink ref="E13" r:id="rId1"/>
    <hyperlink ref="E10" r:id="rId2"/>
    <hyperlink ref="E15" r:id="rId3"/>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2:V39"/>
  <sheetViews>
    <sheetView showGridLines="0" zoomScale="85" zoomScaleNormal="85" workbookViewId="0">
      <pane xSplit="6" ySplit="8" topLeftCell="G9" activePane="bottomRight" state="frozen"/>
      <selection activeCell="Q51" sqref="Q51"/>
      <selection pane="topRight" activeCell="Q51" sqref="Q51"/>
      <selection pane="bottomLeft" activeCell="Q51" sqref="Q51"/>
      <selection pane="bottomRight"/>
    </sheetView>
  </sheetViews>
  <sheetFormatPr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7109375" style="2" bestFit="1" customWidth="1"/>
    <col min="14" max="15" width="15.85546875" style="2" bestFit="1" customWidth="1"/>
    <col min="16" max="16" width="14.7109375" style="2" bestFit="1" customWidth="1"/>
    <col min="17" max="17" width="15.85546875" style="2" bestFit="1" customWidth="1"/>
    <col min="18" max="18" width="14.7109375" style="2" bestFit="1" customWidth="1"/>
    <col min="19" max="19" width="13.42578125" style="2" bestFit="1" customWidth="1"/>
    <col min="20" max="21" width="2.7109375" style="2" customWidth="1"/>
    <col min="22" max="36" width="13.7109375" style="2" customWidth="1"/>
    <col min="37" max="16384" width="9.140625" style="2"/>
  </cols>
  <sheetData>
    <row r="2" spans="2:22" s="32" customFormat="1" ht="18" x14ac:dyDescent="0.25">
      <c r="B2" s="32" t="s">
        <v>188</v>
      </c>
    </row>
    <row r="4" spans="2:22" x14ac:dyDescent="0.25">
      <c r="B4" s="1" t="s">
        <v>62</v>
      </c>
      <c r="C4" s="1"/>
      <c r="D4" s="1"/>
    </row>
    <row r="5" spans="2:22" x14ac:dyDescent="0.2">
      <c r="B5" s="46" t="s">
        <v>235</v>
      </c>
      <c r="C5" s="3"/>
      <c r="D5" s="3"/>
      <c r="H5" s="33"/>
    </row>
    <row r="7" spans="2:22" s="8" customFormat="1" x14ac:dyDescent="0.25">
      <c r="B7" s="8" t="s">
        <v>47</v>
      </c>
      <c r="F7" s="8" t="s">
        <v>29</v>
      </c>
      <c r="H7" s="8" t="s">
        <v>30</v>
      </c>
      <c r="J7" s="8" t="s">
        <v>51</v>
      </c>
      <c r="L7" s="8" t="s">
        <v>177</v>
      </c>
      <c r="M7" s="8" t="s">
        <v>68</v>
      </c>
      <c r="N7" s="8" t="s">
        <v>69</v>
      </c>
      <c r="O7" s="8" t="s">
        <v>70</v>
      </c>
      <c r="P7" s="8" t="s">
        <v>71</v>
      </c>
      <c r="Q7" s="8" t="s">
        <v>72</v>
      </c>
      <c r="R7" s="8" t="s">
        <v>73</v>
      </c>
      <c r="S7" s="8" t="s">
        <v>74</v>
      </c>
      <c r="V7" s="8" t="s">
        <v>49</v>
      </c>
    </row>
    <row r="10" spans="2:22" s="8" customFormat="1" x14ac:dyDescent="0.25">
      <c r="B10" s="8" t="s">
        <v>164</v>
      </c>
    </row>
    <row r="12" spans="2:22" x14ac:dyDescent="0.2">
      <c r="B12" s="2" t="s">
        <v>165</v>
      </c>
      <c r="F12" s="64" t="s">
        <v>213</v>
      </c>
      <c r="J12" s="75">
        <f>SUM(L12:S12)</f>
        <v>1080459948.8968844</v>
      </c>
      <c r="L12" s="114">
        <f>'Input x-factor, begininkomsten'!L15</f>
        <v>20195500.85954722</v>
      </c>
      <c r="M12" s="114">
        <f>'Input x-factor, begininkomsten'!M15</f>
        <v>28219963.185883924</v>
      </c>
      <c r="N12" s="114">
        <f>'Input x-factor, begininkomsten'!N15</f>
        <v>330110915.36535496</v>
      </c>
      <c r="O12" s="114">
        <f>'Input x-factor, begininkomsten'!O15</f>
        <v>380662873.09859294</v>
      </c>
      <c r="P12" s="114">
        <f>'Input x-factor, begininkomsten'!P15</f>
        <v>17074085.421158154</v>
      </c>
      <c r="Q12" s="114">
        <f>'Input x-factor, begininkomsten'!Q15</f>
        <v>282544855.87405187</v>
      </c>
      <c r="R12" s="114">
        <f>'Input x-factor, begininkomsten'!R15</f>
        <v>16130066.900690712</v>
      </c>
      <c r="S12" s="114">
        <f>'Input x-factor, begininkomsten'!S15</f>
        <v>5521688.1916046264</v>
      </c>
    </row>
    <row r="13" spans="2:22" x14ac:dyDescent="0.2">
      <c r="B13" s="2" t="s">
        <v>166</v>
      </c>
      <c r="F13" s="64" t="s">
        <v>80</v>
      </c>
      <c r="L13" s="70">
        <f>'Input x-factor, begininkomsten'!L18</f>
        <v>1.54</v>
      </c>
      <c r="M13" s="70">
        <f>'Input x-factor, begininkomsten'!M18</f>
        <v>1.51</v>
      </c>
      <c r="N13" s="70">
        <f>'Input x-factor, begininkomsten'!N18</f>
        <v>1.54</v>
      </c>
      <c r="O13" s="70">
        <f>'Input x-factor, begininkomsten'!O18</f>
        <v>1.42</v>
      </c>
      <c r="P13" s="70">
        <f>'Input x-factor, begininkomsten'!P18</f>
        <v>1.44</v>
      </c>
      <c r="Q13" s="70">
        <f>'Input x-factor, begininkomsten'!Q18</f>
        <v>1.46</v>
      </c>
      <c r="R13" s="70">
        <f>'Input x-factor, begininkomsten'!R18</f>
        <v>1.79</v>
      </c>
      <c r="S13" s="70">
        <f>'Input x-factor, begininkomsten'!S18</f>
        <v>2.19</v>
      </c>
    </row>
    <row r="14" spans="2:22" x14ac:dyDescent="0.2">
      <c r="F14" s="64"/>
    </row>
    <row r="15" spans="2:22" x14ac:dyDescent="0.2">
      <c r="B15" s="2" t="s">
        <v>167</v>
      </c>
      <c r="F15" s="64" t="s">
        <v>143</v>
      </c>
      <c r="H15" s="123">
        <f>'Input parameters'!R19</f>
        <v>2E-3</v>
      </c>
    </row>
    <row r="16" spans="2:22" x14ac:dyDescent="0.2">
      <c r="B16" s="2" t="s">
        <v>168</v>
      </c>
      <c r="F16" s="64" t="s">
        <v>143</v>
      </c>
      <c r="H16" s="123">
        <f>'Input parameters'!S19</f>
        <v>1.4E-2</v>
      </c>
    </row>
    <row r="17" spans="2:19" x14ac:dyDescent="0.2">
      <c r="B17" s="39" t="s">
        <v>171</v>
      </c>
      <c r="F17" s="64" t="s">
        <v>143</v>
      </c>
      <c r="H17" s="123">
        <f>'Input parameters'!T19</f>
        <v>2.1000000000000001E-2</v>
      </c>
    </row>
    <row r="18" spans="2:19" x14ac:dyDescent="0.2">
      <c r="F18" s="64"/>
    </row>
    <row r="19" spans="2:19" x14ac:dyDescent="0.2">
      <c r="B19" s="2" t="s">
        <v>169</v>
      </c>
      <c r="F19" s="64" t="s">
        <v>215</v>
      </c>
      <c r="J19" s="75">
        <f>SUM(L19:S19)</f>
        <v>1066613940.8479637</v>
      </c>
      <c r="L19" s="128">
        <f>L12*(1-L13/100+$H$15)</f>
        <v>19924881.148029286</v>
      </c>
      <c r="M19" s="128">
        <f t="shared" ref="M19:S19" si="0">M12*(1-M13/100+$H$15)</f>
        <v>27850281.668148845</v>
      </c>
      <c r="N19" s="128">
        <f t="shared" si="0"/>
        <v>325687429.09945923</v>
      </c>
      <c r="O19" s="128">
        <f t="shared" si="0"/>
        <v>376018786.04679012</v>
      </c>
      <c r="P19" s="128">
        <f t="shared" si="0"/>
        <v>16862366.761935793</v>
      </c>
      <c r="Q19" s="128">
        <f t="shared" si="0"/>
        <v>278984790.69003886</v>
      </c>
      <c r="R19" s="128">
        <f t="shared" si="0"/>
        <v>15873598.83696973</v>
      </c>
      <c r="S19" s="128">
        <f t="shared" si="0"/>
        <v>5411806.5965916943</v>
      </c>
    </row>
    <row r="20" spans="2:19" x14ac:dyDescent="0.2">
      <c r="B20" s="2" t="s">
        <v>170</v>
      </c>
      <c r="F20" s="64" t="s">
        <v>216</v>
      </c>
      <c r="J20" s="75">
        <f>SUM(L20:S20)</f>
        <v>1065745448.4178767</v>
      </c>
      <c r="L20" s="128">
        <f>L19*(1-L13/100+$H$16)</f>
        <v>19896986.314422045</v>
      </c>
      <c r="M20" s="128">
        <f t="shared" ref="M20:S20" si="1">M19*(1-M13/100+$H$16)</f>
        <v>27819646.358313881</v>
      </c>
      <c r="N20" s="128">
        <f t="shared" si="1"/>
        <v>325231466.69871998</v>
      </c>
      <c r="O20" s="128">
        <f t="shared" si="1"/>
        <v>375943582.28958076</v>
      </c>
      <c r="P20" s="128">
        <f t="shared" si="1"/>
        <v>16855621.815231018</v>
      </c>
      <c r="Q20" s="128">
        <f t="shared" si="1"/>
        <v>278817399.81562483</v>
      </c>
      <c r="R20" s="128">
        <f t="shared" si="1"/>
        <v>15811691.801505547</v>
      </c>
      <c r="S20" s="128">
        <f t="shared" si="1"/>
        <v>5369053.3244786197</v>
      </c>
    </row>
    <row r="21" spans="2:19" x14ac:dyDescent="0.2">
      <c r="B21" s="2" t="s">
        <v>172</v>
      </c>
      <c r="F21" s="64" t="s">
        <v>214</v>
      </c>
      <c r="J21" s="75">
        <f>SUM(L21:S21)</f>
        <v>1072338582.5872266</v>
      </c>
      <c r="L21" s="128">
        <f>L20*(1-L13/100+$H$17)</f>
        <v>20008409.437782809</v>
      </c>
      <c r="M21" s="128">
        <f t="shared" ref="M21:S21" si="2">M20*(1-M13/100+$H$17)</f>
        <v>27983782.271827932</v>
      </c>
      <c r="N21" s="128">
        <f t="shared" si="2"/>
        <v>327052762.91223282</v>
      </c>
      <c r="O21" s="128">
        <f t="shared" si="2"/>
        <v>378499998.64914989</v>
      </c>
      <c r="P21" s="128">
        <f t="shared" si="2"/>
        <v>16966868.91921154</v>
      </c>
      <c r="Q21" s="128">
        <f t="shared" si="2"/>
        <v>280601831.17444479</v>
      </c>
      <c r="R21" s="128">
        <f t="shared" si="2"/>
        <v>15860708.046090212</v>
      </c>
      <c r="S21" s="128">
        <f t="shared" si="2"/>
        <v>5364221.176486589</v>
      </c>
    </row>
    <row r="23" spans="2:19" s="8" customFormat="1" x14ac:dyDescent="0.25">
      <c r="B23" s="8" t="s">
        <v>181</v>
      </c>
    </row>
    <row r="25" spans="2:19" x14ac:dyDescent="0.25">
      <c r="B25" s="1"/>
    </row>
    <row r="26" spans="2:19" x14ac:dyDescent="0.2">
      <c r="B26" s="2" t="s">
        <v>189</v>
      </c>
      <c r="F26" s="2" t="s">
        <v>214</v>
      </c>
      <c r="J26" s="75">
        <f>SUM(L26:S26)</f>
        <v>41135443.614944965</v>
      </c>
      <c r="L26" s="130">
        <f>'Lokale heffingen 2017'!L33</f>
        <v>-757.29004287683972</v>
      </c>
      <c r="M26" s="130">
        <f>'Lokale heffingen 2017'!M33</f>
        <v>11236.128860153343</v>
      </c>
      <c r="N26" s="130">
        <f>'Lokale heffingen 2017'!N33</f>
        <v>1584044.886375936</v>
      </c>
      <c r="O26" s="130">
        <f>'Lokale heffingen 2017'!O33</f>
        <v>24568742.92160273</v>
      </c>
      <c r="P26" s="130">
        <f>'Lokale heffingen 2017'!P33</f>
        <v>-233336.86433297384</v>
      </c>
      <c r="Q26" s="130">
        <f>'Lokale heffingen 2017'!Q33</f>
        <v>15190084.032470306</v>
      </c>
      <c r="R26" s="130">
        <f>'Lokale heffingen 2017'!R33</f>
        <v>15429.800011687459</v>
      </c>
      <c r="S26" s="130">
        <f>'Lokale heffingen 2017'!S33</f>
        <v>0</v>
      </c>
    </row>
    <row r="27" spans="2:19" x14ac:dyDescent="0.2">
      <c r="B27" s="2" t="s">
        <v>190</v>
      </c>
      <c r="F27" s="2" t="s">
        <v>214</v>
      </c>
      <c r="J27" s="75">
        <f>SUM(L27:S27)</f>
        <v>354510.73150279897</v>
      </c>
      <c r="L27" s="130">
        <f>'Invoeding groen gas 2018'!L94</f>
        <v>520</v>
      </c>
      <c r="M27" s="130">
        <f>'Invoeding groen gas 2018'!M94</f>
        <v>0</v>
      </c>
      <c r="N27" s="130">
        <f>'Invoeding groen gas 2018'!N94</f>
        <v>259113.73442675124</v>
      </c>
      <c r="O27" s="130">
        <f>'Invoeding groen gas 2018'!O94</f>
        <v>63141.842400000009</v>
      </c>
      <c r="P27" s="130">
        <f>'Invoeding groen gas 2018'!P94</f>
        <v>15996.0216</v>
      </c>
      <c r="Q27" s="130">
        <f>'Invoeding groen gas 2018'!Q94</f>
        <v>15739.13307604775</v>
      </c>
      <c r="R27" s="130">
        <f>'Invoeding groen gas 2018'!R94</f>
        <v>0</v>
      </c>
      <c r="S27" s="130">
        <f>'Invoeding groen gas 2018'!S94</f>
        <v>0</v>
      </c>
    </row>
    <row r="28" spans="2:19" x14ac:dyDescent="0.2">
      <c r="B28" s="2" t="s">
        <v>279</v>
      </c>
      <c r="F28" s="2" t="s">
        <v>214</v>
      </c>
      <c r="J28" s="75">
        <f>SUM(L28:S28)</f>
        <v>0</v>
      </c>
      <c r="L28" s="131"/>
      <c r="M28" s="131"/>
      <c r="N28" s="130">
        <f>'Overdracht Weert'!N29</f>
        <v>3022187.8670466528</v>
      </c>
      <c r="O28" s="131"/>
      <c r="P28" s="131"/>
      <c r="Q28" s="130">
        <f>'Overdracht Weert'!Q29</f>
        <v>-3022187.8670466528</v>
      </c>
      <c r="R28" s="131"/>
      <c r="S28" s="131"/>
    </row>
    <row r="29" spans="2:19" x14ac:dyDescent="0.2">
      <c r="L29" s="64"/>
      <c r="M29" s="64"/>
      <c r="N29" s="64"/>
      <c r="O29" s="64"/>
      <c r="P29" s="64"/>
      <c r="Q29" s="64"/>
      <c r="R29" s="64"/>
      <c r="S29" s="64"/>
    </row>
    <row r="30" spans="2:19" x14ac:dyDescent="0.2">
      <c r="B30" s="1" t="s">
        <v>180</v>
      </c>
      <c r="F30" s="2" t="s">
        <v>214</v>
      </c>
      <c r="J30" s="75">
        <f>SUM(L30:S30)</f>
        <v>41489954.346447758</v>
      </c>
      <c r="L30" s="132">
        <f t="shared" ref="L30:S30" si="3">SUM(L26:L28)</f>
        <v>-237.29004287683972</v>
      </c>
      <c r="M30" s="132">
        <f t="shared" si="3"/>
        <v>11236.128860153343</v>
      </c>
      <c r="N30" s="132">
        <f t="shared" si="3"/>
        <v>4865346.4878493398</v>
      </c>
      <c r="O30" s="132">
        <f t="shared" si="3"/>
        <v>24631884.764002729</v>
      </c>
      <c r="P30" s="132">
        <f t="shared" si="3"/>
        <v>-217340.84273297383</v>
      </c>
      <c r="Q30" s="132">
        <f t="shared" si="3"/>
        <v>12183635.298499702</v>
      </c>
      <c r="R30" s="132">
        <f t="shared" si="3"/>
        <v>15429.800011687459</v>
      </c>
      <c r="S30" s="132">
        <f t="shared" si="3"/>
        <v>0</v>
      </c>
    </row>
    <row r="32" spans="2:19" s="8" customFormat="1" x14ac:dyDescent="0.25">
      <c r="B32" s="8" t="s">
        <v>179</v>
      </c>
    </row>
    <row r="34" spans="2:19" x14ac:dyDescent="0.2">
      <c r="B34" s="2" t="s">
        <v>178</v>
      </c>
      <c r="F34" s="2" t="s">
        <v>214</v>
      </c>
      <c r="J34" s="75">
        <f>SUM(L34:S34)</f>
        <v>1113828536.9336746</v>
      </c>
      <c r="L34" s="134">
        <f t="shared" ref="L34:S34" si="4">L21+L30</f>
        <v>20008172.147739932</v>
      </c>
      <c r="M34" s="134">
        <f t="shared" si="4"/>
        <v>27995018.400688086</v>
      </c>
      <c r="N34" s="134">
        <f t="shared" si="4"/>
        <v>331918109.40008217</v>
      </c>
      <c r="O34" s="134">
        <f t="shared" si="4"/>
        <v>403131883.41315264</v>
      </c>
      <c r="P34" s="134">
        <f t="shared" si="4"/>
        <v>16749528.076478567</v>
      </c>
      <c r="Q34" s="134">
        <f t="shared" si="4"/>
        <v>292785466.4729445</v>
      </c>
      <c r="R34" s="134">
        <f t="shared" si="4"/>
        <v>15876137.846101899</v>
      </c>
      <c r="S34" s="134">
        <f t="shared" si="4"/>
        <v>5364221.176486589</v>
      </c>
    </row>
    <row r="36" spans="2:19" x14ac:dyDescent="0.25">
      <c r="L36" s="52"/>
      <c r="M36" s="52"/>
      <c r="N36" s="52"/>
      <c r="O36" s="52"/>
      <c r="P36" s="52"/>
      <c r="Q36" s="52"/>
      <c r="R36" s="52"/>
      <c r="S36" s="52"/>
    </row>
    <row r="37" spans="2:19" x14ac:dyDescent="0.25">
      <c r="L37" s="52"/>
      <c r="M37" s="52"/>
      <c r="N37" s="52"/>
      <c r="O37" s="52"/>
      <c r="P37" s="52"/>
      <c r="Q37" s="52"/>
      <c r="R37" s="52"/>
      <c r="S37" s="52"/>
    </row>
    <row r="39" spans="2:19" x14ac:dyDescent="0.25">
      <c r="L39" s="162"/>
      <c r="M39" s="162"/>
      <c r="N39" s="162"/>
      <c r="O39" s="162"/>
      <c r="P39" s="162"/>
      <c r="Q39" s="162"/>
      <c r="R39" s="162"/>
      <c r="S39" s="16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5"/>
  <cols>
    <col min="1" max="16384" width="9.140625" style="37"/>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X25"/>
  <sheetViews>
    <sheetView showGridLines="0" zoomScale="85" zoomScaleNormal="85" workbookViewId="0">
      <pane xSplit="6" ySplit="10" topLeftCell="G11" activePane="bottomRight" state="frozen"/>
      <selection activeCell="A4" sqref="A4"/>
      <selection pane="topRight" activeCell="A4" sqref="A4"/>
      <selection pane="bottomLeft" activeCell="A4" sqref="A4"/>
      <selection pane="bottomRight"/>
    </sheetView>
  </sheetViews>
  <sheetFormatPr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7109375" style="2" bestFit="1" customWidth="1"/>
    <col min="14" max="14" width="15.85546875" style="2" bestFit="1" customWidth="1"/>
    <col min="15" max="15" width="13" style="2" bestFit="1" customWidth="1"/>
    <col min="16" max="16" width="12.5703125" style="2" customWidth="1"/>
    <col min="17" max="17" width="13" style="2" bestFit="1" customWidth="1"/>
    <col min="18" max="19" width="12.5703125" style="2" customWidth="1"/>
    <col min="20" max="21" width="2.7109375" style="2" customWidth="1"/>
    <col min="22" max="22" width="24.7109375" style="2" customWidth="1"/>
    <col min="23" max="23" width="2.7109375" style="2" customWidth="1"/>
    <col min="24" max="24" width="13.7109375" style="2" customWidth="1"/>
    <col min="25" max="25" width="2.7109375" style="2" customWidth="1"/>
    <col min="26" max="40" width="13.7109375" style="2" customWidth="1"/>
    <col min="41" max="16384" width="9.140625" style="2"/>
  </cols>
  <sheetData>
    <row r="2" spans="2:24" s="32" customFormat="1" ht="18" x14ac:dyDescent="0.25">
      <c r="B2" s="32" t="s">
        <v>176</v>
      </c>
    </row>
    <row r="4" spans="2:24" x14ac:dyDescent="0.25">
      <c r="B4" s="1" t="s">
        <v>31</v>
      </c>
      <c r="C4" s="1"/>
      <c r="D4" s="1"/>
    </row>
    <row r="5" spans="2:24" x14ac:dyDescent="0.25">
      <c r="B5" s="39" t="s">
        <v>175</v>
      </c>
      <c r="C5" s="39"/>
      <c r="D5" s="39"/>
      <c r="H5" s="33"/>
    </row>
    <row r="6" spans="2:24" x14ac:dyDescent="0.25">
      <c r="B6" s="39"/>
      <c r="C6" s="39"/>
      <c r="D6" s="39"/>
      <c r="H6" s="33"/>
    </row>
    <row r="7" spans="2:24" x14ac:dyDescent="0.25">
      <c r="B7" s="5"/>
      <c r="C7" s="39"/>
      <c r="D7" s="39"/>
      <c r="H7" s="33"/>
    </row>
    <row r="9" spans="2:24" s="8" customFormat="1" x14ac:dyDescent="0.25">
      <c r="B9" s="8" t="s">
        <v>47</v>
      </c>
      <c r="F9" s="8" t="s">
        <v>29</v>
      </c>
      <c r="H9" s="8" t="s">
        <v>30</v>
      </c>
      <c r="J9" s="8" t="s">
        <v>51</v>
      </c>
      <c r="L9" s="8" t="s">
        <v>177</v>
      </c>
      <c r="M9" s="8" t="s">
        <v>68</v>
      </c>
      <c r="N9" s="8" t="s">
        <v>69</v>
      </c>
      <c r="O9" s="8" t="s">
        <v>70</v>
      </c>
      <c r="P9" s="8" t="s">
        <v>71</v>
      </c>
      <c r="Q9" s="8" t="s">
        <v>72</v>
      </c>
      <c r="R9" s="8" t="s">
        <v>73</v>
      </c>
      <c r="S9" s="8" t="s">
        <v>74</v>
      </c>
      <c r="V9" s="8" t="s">
        <v>48</v>
      </c>
      <c r="X9" s="8" t="s">
        <v>49</v>
      </c>
    </row>
    <row r="12" spans="2:24" s="8" customFormat="1" x14ac:dyDescent="0.25">
      <c r="B12" s="8" t="s">
        <v>263</v>
      </c>
    </row>
    <row r="14" spans="2:24" x14ac:dyDescent="0.25">
      <c r="B14" s="1" t="s">
        <v>174</v>
      </c>
    </row>
    <row r="15" spans="2:24" x14ac:dyDescent="0.2">
      <c r="B15" s="2" t="s">
        <v>165</v>
      </c>
      <c r="F15" s="64" t="s">
        <v>213</v>
      </c>
      <c r="L15" s="129">
        <v>20195500.85954722</v>
      </c>
      <c r="M15" s="129">
        <v>28219963.185883924</v>
      </c>
      <c r="N15" s="129">
        <v>330110915.36535496</v>
      </c>
      <c r="O15" s="129">
        <v>380662873.09859294</v>
      </c>
      <c r="P15" s="129">
        <v>17074085.421158154</v>
      </c>
      <c r="Q15" s="129">
        <v>282544855.87405187</v>
      </c>
      <c r="R15" s="129">
        <v>16130066.900690712</v>
      </c>
      <c r="S15" s="129">
        <v>5521688.1916046264</v>
      </c>
      <c r="V15" s="89" t="s">
        <v>321</v>
      </c>
    </row>
    <row r="17" spans="2:22" x14ac:dyDescent="0.25">
      <c r="B17" s="1" t="s">
        <v>173</v>
      </c>
    </row>
    <row r="18" spans="2:22" x14ac:dyDescent="0.2">
      <c r="B18" s="2" t="s">
        <v>166</v>
      </c>
      <c r="F18" s="64" t="s">
        <v>80</v>
      </c>
      <c r="L18" s="122">
        <v>1.54</v>
      </c>
      <c r="M18" s="122">
        <v>1.51</v>
      </c>
      <c r="N18" s="122">
        <v>1.54</v>
      </c>
      <c r="O18" s="122">
        <v>1.42</v>
      </c>
      <c r="P18" s="122">
        <v>1.44</v>
      </c>
      <c r="Q18" s="122">
        <v>1.46</v>
      </c>
      <c r="R18" s="122">
        <v>1.79</v>
      </c>
      <c r="S18" s="122">
        <v>2.19</v>
      </c>
      <c r="V18" s="89" t="s">
        <v>322</v>
      </c>
    </row>
    <row r="20" spans="2:22" s="8" customFormat="1" x14ac:dyDescent="0.25">
      <c r="B20" s="8" t="s">
        <v>320</v>
      </c>
    </row>
    <row r="22" spans="2:22" x14ac:dyDescent="0.2">
      <c r="B22" s="46" t="s">
        <v>264</v>
      </c>
      <c r="H22" s="147">
        <v>1.0770378277281506E-2</v>
      </c>
      <c r="V22" s="2" t="s">
        <v>323</v>
      </c>
    </row>
    <row r="25" spans="2:22" x14ac:dyDescent="0.25">
      <c r="B25" s="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2:Z38"/>
  <sheetViews>
    <sheetView showGridLines="0" zoomScale="85" zoomScaleNormal="85" workbookViewId="0">
      <pane xSplit="6" ySplit="10" topLeftCell="G11" activePane="bottomRight" state="frozen"/>
      <selection activeCell="A4" sqref="A4"/>
      <selection pane="topRight" activeCell="A4" sqref="A4"/>
      <selection pane="bottomLeft" activeCell="A4" sqref="A4"/>
      <selection pane="bottomRight"/>
    </sheetView>
  </sheetViews>
  <sheetFormatPr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2" width="12.5703125" style="2" customWidth="1"/>
    <col min="23" max="23" width="2.7109375" style="2" customWidth="1"/>
    <col min="24" max="24" width="24.7109375" style="2" customWidth="1"/>
    <col min="25" max="25" width="2.7109375" style="2" customWidth="1"/>
    <col min="26" max="26" width="13.7109375" style="2" customWidth="1"/>
    <col min="27" max="27" width="2.7109375" style="2" customWidth="1"/>
    <col min="28" max="42" width="13.7109375" style="2" customWidth="1"/>
    <col min="43" max="16384" width="9.140625" style="2"/>
  </cols>
  <sheetData>
    <row r="2" spans="1:26" s="32" customFormat="1" ht="18" x14ac:dyDescent="0.25">
      <c r="B2" s="32" t="s">
        <v>230</v>
      </c>
    </row>
    <row r="4" spans="1:26" x14ac:dyDescent="0.25">
      <c r="B4" s="1" t="s">
        <v>31</v>
      </c>
      <c r="C4" s="1"/>
      <c r="D4" s="1"/>
    </row>
    <row r="5" spans="1:26" x14ac:dyDescent="0.25">
      <c r="B5" s="39" t="s">
        <v>277</v>
      </c>
      <c r="C5" s="39"/>
      <c r="D5" s="39"/>
      <c r="H5" s="33"/>
    </row>
    <row r="6" spans="1:26" x14ac:dyDescent="0.25">
      <c r="B6" s="39" t="s">
        <v>280</v>
      </c>
      <c r="C6" s="39"/>
      <c r="D6" s="39"/>
      <c r="H6" s="33"/>
    </row>
    <row r="7" spans="1:26" x14ac:dyDescent="0.25">
      <c r="B7" s="5"/>
      <c r="C7" s="39"/>
      <c r="D7" s="39"/>
      <c r="H7" s="33"/>
    </row>
    <row r="9" spans="1:26" s="8" customFormat="1" x14ac:dyDescent="0.25">
      <c r="B9" s="8" t="s">
        <v>47</v>
      </c>
      <c r="F9" s="8" t="s">
        <v>29</v>
      </c>
      <c r="H9" s="8" t="s">
        <v>30</v>
      </c>
      <c r="J9" s="8" t="s">
        <v>51</v>
      </c>
      <c r="L9" s="8" t="s">
        <v>130</v>
      </c>
      <c r="M9" s="8" t="s">
        <v>131</v>
      </c>
      <c r="N9" s="8" t="s">
        <v>132</v>
      </c>
      <c r="O9" s="8" t="s">
        <v>133</v>
      </c>
      <c r="P9" s="8" t="s">
        <v>134</v>
      </c>
      <c r="Q9" s="8" t="s">
        <v>135</v>
      </c>
      <c r="R9" s="8" t="s">
        <v>136</v>
      </c>
      <c r="S9" s="8" t="s">
        <v>137</v>
      </c>
      <c r="T9" s="8" t="s">
        <v>138</v>
      </c>
      <c r="U9" s="8" t="s">
        <v>139</v>
      </c>
      <c r="V9" s="8" t="s">
        <v>140</v>
      </c>
      <c r="X9" s="8" t="s">
        <v>48</v>
      </c>
      <c r="Z9" s="8" t="s">
        <v>49</v>
      </c>
    </row>
    <row r="12" spans="1:26" s="8" customFormat="1" x14ac:dyDescent="0.25">
      <c r="B12" s="8" t="s">
        <v>281</v>
      </c>
    </row>
    <row r="14" spans="1:26" x14ac:dyDescent="0.25">
      <c r="B14" s="1" t="s">
        <v>282</v>
      </c>
    </row>
    <row r="15" spans="1:26" x14ac:dyDescent="0.2">
      <c r="A15" s="9"/>
      <c r="B15" s="120" t="s">
        <v>141</v>
      </c>
    </row>
    <row r="16" spans="1:26" x14ac:dyDescent="0.2">
      <c r="A16" s="9"/>
      <c r="B16" s="120" t="s">
        <v>142</v>
      </c>
    </row>
    <row r="17" spans="1:26" x14ac:dyDescent="0.2">
      <c r="A17" s="9"/>
      <c r="B17" s="120" t="s">
        <v>289</v>
      </c>
    </row>
    <row r="18" spans="1:26" x14ac:dyDescent="0.2">
      <c r="A18" s="9"/>
      <c r="B18" s="77"/>
    </row>
    <row r="19" spans="1:26" x14ac:dyDescent="0.25">
      <c r="A19" s="9"/>
      <c r="B19" s="2" t="s">
        <v>283</v>
      </c>
      <c r="F19" s="2" t="s">
        <v>143</v>
      </c>
      <c r="L19" s="121">
        <v>1.4999999999999999E-2</v>
      </c>
      <c r="M19" s="121">
        <v>2.5999999999999999E-2</v>
      </c>
      <c r="N19" s="121">
        <v>2.3E-2</v>
      </c>
      <c r="O19" s="121">
        <v>2.8000000000000001E-2</v>
      </c>
      <c r="P19" s="121">
        <v>0.01</v>
      </c>
      <c r="Q19" s="121">
        <v>8.0000000000000002E-3</v>
      </c>
      <c r="R19" s="121">
        <v>2E-3</v>
      </c>
      <c r="S19" s="121">
        <v>1.4E-2</v>
      </c>
      <c r="T19" s="121">
        <v>2.1000000000000001E-2</v>
      </c>
      <c r="Z19" s="44" t="s">
        <v>336</v>
      </c>
    </row>
    <row r="20" spans="1:26" x14ac:dyDescent="0.25">
      <c r="A20" s="9"/>
    </row>
    <row r="22" spans="1:26" s="8" customFormat="1" x14ac:dyDescent="0.25">
      <c r="B22" s="8" t="s">
        <v>144</v>
      </c>
    </row>
    <row r="24" spans="1:26" x14ac:dyDescent="0.25">
      <c r="B24" s="1" t="s">
        <v>145</v>
      </c>
    </row>
    <row r="25" spans="1:26" x14ac:dyDescent="0.2">
      <c r="A25" s="9"/>
      <c r="B25" s="120" t="s">
        <v>284</v>
      </c>
    </row>
    <row r="26" spans="1:26" x14ac:dyDescent="0.2">
      <c r="A26" s="9"/>
      <c r="B26" s="120" t="s">
        <v>285</v>
      </c>
    </row>
    <row r="27" spans="1:26" x14ac:dyDescent="0.2">
      <c r="A27" s="9"/>
      <c r="B27" s="120" t="s">
        <v>286</v>
      </c>
    </row>
    <row r="28" spans="1:26" x14ac:dyDescent="0.2">
      <c r="A28" s="9"/>
      <c r="B28" s="120" t="s">
        <v>287</v>
      </c>
    </row>
    <row r="29" spans="1:26" x14ac:dyDescent="0.2">
      <c r="A29" s="9"/>
      <c r="B29" s="120"/>
    </row>
    <row r="30" spans="1:26" x14ac:dyDescent="0.2">
      <c r="A30" s="9"/>
      <c r="B30" s="120" t="s">
        <v>288</v>
      </c>
    </row>
    <row r="31" spans="1:26" x14ac:dyDescent="0.2">
      <c r="B31" s="77"/>
    </row>
    <row r="32" spans="1:26" x14ac:dyDescent="0.25">
      <c r="B32" s="1" t="s">
        <v>146</v>
      </c>
    </row>
    <row r="33" spans="2:20" x14ac:dyDescent="0.25">
      <c r="B33" s="2" t="s">
        <v>147</v>
      </c>
      <c r="F33" s="2" t="s">
        <v>143</v>
      </c>
      <c r="L33" s="147">
        <v>2.5000000000000001E-2</v>
      </c>
      <c r="M33" s="147">
        <v>2.8500000000000001E-2</v>
      </c>
      <c r="N33" s="147">
        <v>0.03</v>
      </c>
      <c r="O33" s="147">
        <v>0.03</v>
      </c>
      <c r="P33" s="147">
        <v>0.04</v>
      </c>
      <c r="Q33" s="147">
        <v>0.04</v>
      </c>
      <c r="R33" s="147">
        <v>0.04</v>
      </c>
      <c r="S33" s="147">
        <v>0.04</v>
      </c>
      <c r="T33" s="157">
        <v>0.04</v>
      </c>
    </row>
    <row r="34" spans="2:20" x14ac:dyDescent="0.25">
      <c r="B34" s="2" t="s">
        <v>148</v>
      </c>
      <c r="F34" s="2" t="s">
        <v>143</v>
      </c>
      <c r="L34" s="147">
        <v>2.5000000000000001E-2</v>
      </c>
      <c r="M34" s="147">
        <v>2.3E-2</v>
      </c>
      <c r="N34" s="147">
        <v>0.03</v>
      </c>
      <c r="O34" s="147">
        <v>0.04</v>
      </c>
      <c r="P34" s="147">
        <v>0.04</v>
      </c>
      <c r="Q34" s="147">
        <v>0.04</v>
      </c>
      <c r="R34" s="147">
        <v>0.04</v>
      </c>
      <c r="S34" s="147">
        <v>0.04</v>
      </c>
      <c r="T34" s="157">
        <v>0.04</v>
      </c>
    </row>
    <row r="35" spans="2:20" x14ac:dyDescent="0.25">
      <c r="B35" s="2" t="s">
        <v>149</v>
      </c>
      <c r="F35" s="2" t="s">
        <v>143</v>
      </c>
      <c r="L35" s="147">
        <v>2.75E-2</v>
      </c>
      <c r="M35" s="147">
        <v>2.5000000000000001E-2</v>
      </c>
      <c r="N35" s="147">
        <v>0.03</v>
      </c>
      <c r="O35" s="147">
        <v>0.04</v>
      </c>
      <c r="P35" s="147">
        <v>0.04</v>
      </c>
      <c r="Q35" s="147">
        <v>0.04</v>
      </c>
      <c r="R35" s="147">
        <v>0.04</v>
      </c>
      <c r="S35" s="147">
        <v>0.04</v>
      </c>
      <c r="T35" s="158"/>
    </row>
    <row r="36" spans="2:20" x14ac:dyDescent="0.25">
      <c r="B36" s="2" t="s">
        <v>150</v>
      </c>
      <c r="F36" s="2" t="s">
        <v>143</v>
      </c>
      <c r="L36" s="147">
        <v>0.03</v>
      </c>
      <c r="M36" s="147">
        <v>2.2499999999999999E-2</v>
      </c>
      <c r="N36" s="147">
        <v>0.03</v>
      </c>
      <c r="O36" s="147">
        <v>0.04</v>
      </c>
      <c r="P36" s="147">
        <v>0.04</v>
      </c>
      <c r="Q36" s="147">
        <v>0.04</v>
      </c>
      <c r="R36" s="147">
        <v>0.04</v>
      </c>
      <c r="S36" s="157">
        <v>0.04</v>
      </c>
      <c r="T36" s="158"/>
    </row>
    <row r="37" spans="2:20" x14ac:dyDescent="0.25">
      <c r="L37" s="158"/>
      <c r="M37" s="158"/>
      <c r="N37" s="158"/>
      <c r="O37" s="158"/>
      <c r="P37" s="158"/>
      <c r="Q37" s="158"/>
      <c r="R37" s="158"/>
      <c r="S37" s="158"/>
      <c r="T37" s="158"/>
    </row>
    <row r="38" spans="2:20" x14ac:dyDescent="0.25">
      <c r="L38" s="158"/>
      <c r="M38" s="158"/>
      <c r="N38" s="158"/>
      <c r="O38" s="158"/>
      <c r="P38" s="158"/>
      <c r="Q38" s="158"/>
      <c r="R38" s="158"/>
      <c r="S38" s="158"/>
      <c r="T38" s="158"/>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2:X184"/>
  <sheetViews>
    <sheetView showGridLines="0" zoomScale="85" zoomScaleNormal="85" workbookViewId="0">
      <pane xSplit="6" ySplit="18" topLeftCell="G19" activePane="bottomRight" state="frozen"/>
      <selection activeCell="Q51" sqref="Q51"/>
      <selection pane="topRight" activeCell="Q51" sqref="Q51"/>
      <selection pane="bottomLeft" activeCell="Q51" sqref="Q51"/>
      <selection pane="bottomRight"/>
    </sheetView>
  </sheetViews>
  <sheetFormatPr defaultRowHeight="12.75" x14ac:dyDescent="0.25"/>
  <cols>
    <col min="1" max="1" width="4" style="2" customWidth="1"/>
    <col min="2" max="2" width="63" style="2" customWidth="1"/>
    <col min="3" max="5" width="4.5703125" style="2" customWidth="1"/>
    <col min="6" max="6" width="13.28515625" style="2" bestFit="1"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2" customWidth="1"/>
    <col min="14" max="15" width="13.28515625" style="2" bestFit="1" customWidth="1"/>
    <col min="16" max="16" width="12.140625" style="2" bestFit="1" customWidth="1"/>
    <col min="17" max="17" width="13.28515625" style="2" bestFit="1" customWidth="1"/>
    <col min="18" max="18" width="12.140625" style="2" customWidth="1"/>
    <col min="19" max="19" width="12.5703125" style="2" customWidth="1"/>
    <col min="20" max="21" width="2.7109375" style="2" customWidth="1"/>
    <col min="22" max="22" width="17.140625" style="2" customWidth="1"/>
    <col min="23" max="23" width="2.7109375" style="2" customWidth="1"/>
    <col min="24" max="24" width="13.7109375" style="2" customWidth="1"/>
    <col min="25" max="25" width="2.7109375" style="2" customWidth="1"/>
    <col min="26" max="40" width="13.7109375" style="2" customWidth="1"/>
    <col min="41" max="16384" width="9.140625" style="2"/>
  </cols>
  <sheetData>
    <row r="2" spans="2:19" s="32" customFormat="1" ht="18" x14ac:dyDescent="0.25">
      <c r="B2" s="32" t="s">
        <v>189</v>
      </c>
    </row>
    <row r="4" spans="2:19" x14ac:dyDescent="0.25">
      <c r="B4" s="1" t="s">
        <v>31</v>
      </c>
      <c r="C4" s="1"/>
      <c r="D4" s="1"/>
    </row>
    <row r="6" spans="2:19" x14ac:dyDescent="0.2">
      <c r="B6" s="76" t="s">
        <v>290</v>
      </c>
      <c r="L6" s="52"/>
      <c r="M6" s="52"/>
      <c r="N6" s="52"/>
      <c r="O6" s="52"/>
      <c r="P6" s="52"/>
      <c r="Q6" s="52"/>
      <c r="R6" s="52"/>
      <c r="S6" s="52"/>
    </row>
    <row r="7" spans="2:19" x14ac:dyDescent="0.2">
      <c r="B7" s="76" t="s">
        <v>291</v>
      </c>
      <c r="C7" s="3"/>
      <c r="D7" s="3"/>
      <c r="H7" s="33"/>
      <c r="L7" s="52"/>
      <c r="M7" s="52"/>
      <c r="N7" s="52"/>
      <c r="O7" s="52"/>
      <c r="P7" s="52"/>
      <c r="Q7" s="52"/>
      <c r="R7" s="52"/>
      <c r="S7" s="52"/>
    </row>
    <row r="8" spans="2:19" x14ac:dyDescent="0.2">
      <c r="B8" s="76"/>
      <c r="C8" s="3"/>
      <c r="D8" s="3"/>
      <c r="L8" s="52"/>
      <c r="M8" s="52"/>
      <c r="N8" s="52"/>
      <c r="O8" s="52"/>
      <c r="P8" s="52"/>
      <c r="Q8" s="52"/>
      <c r="R8" s="52"/>
      <c r="S8" s="52"/>
    </row>
    <row r="9" spans="2:19" x14ac:dyDescent="0.2">
      <c r="B9" s="76" t="s">
        <v>116</v>
      </c>
      <c r="C9" s="3"/>
      <c r="D9" s="3"/>
      <c r="L9" s="52"/>
      <c r="M9" s="52"/>
      <c r="N9" s="52"/>
      <c r="O9" s="52"/>
      <c r="P9" s="52"/>
      <c r="Q9" s="52"/>
      <c r="R9" s="52"/>
      <c r="S9" s="52"/>
    </row>
    <row r="10" spans="2:19" x14ac:dyDescent="0.2">
      <c r="B10" s="76" t="s">
        <v>292</v>
      </c>
      <c r="C10" s="3"/>
      <c r="D10" s="3"/>
      <c r="L10" s="52"/>
      <c r="M10" s="52"/>
      <c r="N10" s="52"/>
      <c r="O10" s="52"/>
      <c r="P10" s="52"/>
      <c r="Q10" s="52"/>
      <c r="R10" s="52"/>
      <c r="S10" s="52"/>
    </row>
    <row r="11" spans="2:19" x14ac:dyDescent="0.2">
      <c r="B11" s="76" t="s">
        <v>212</v>
      </c>
      <c r="C11" s="3"/>
      <c r="D11" s="3"/>
      <c r="L11" s="52"/>
      <c r="M11" s="52"/>
      <c r="N11" s="52"/>
      <c r="O11" s="52"/>
      <c r="P11" s="52"/>
      <c r="Q11" s="52"/>
      <c r="R11" s="52"/>
      <c r="S11" s="52"/>
    </row>
    <row r="12" spans="2:19" x14ac:dyDescent="0.2">
      <c r="B12" s="76" t="s">
        <v>117</v>
      </c>
      <c r="C12" s="3"/>
      <c r="D12" s="3"/>
      <c r="L12" s="52"/>
      <c r="M12" s="52"/>
      <c r="N12" s="52"/>
      <c r="O12" s="52"/>
      <c r="P12" s="52"/>
      <c r="Q12" s="52"/>
      <c r="R12" s="52"/>
      <c r="S12" s="52"/>
    </row>
    <row r="13" spans="2:19" x14ac:dyDescent="0.2">
      <c r="B13" s="76" t="s">
        <v>293</v>
      </c>
      <c r="C13" s="3"/>
      <c r="D13" s="3"/>
      <c r="L13" s="52"/>
      <c r="M13" s="52"/>
      <c r="N13" s="52"/>
      <c r="O13" s="52"/>
      <c r="P13" s="52"/>
      <c r="Q13" s="52"/>
      <c r="R13" s="52"/>
      <c r="S13" s="52"/>
    </row>
    <row r="14" spans="2:19" x14ac:dyDescent="0.2">
      <c r="B14" s="76"/>
      <c r="C14" s="3"/>
      <c r="D14" s="3"/>
      <c r="L14" s="52"/>
      <c r="M14" s="52"/>
      <c r="N14" s="52"/>
      <c r="O14" s="52"/>
      <c r="P14" s="52"/>
      <c r="Q14" s="52"/>
      <c r="R14" s="52"/>
      <c r="S14" s="52"/>
    </row>
    <row r="15" spans="2:19" x14ac:dyDescent="0.2">
      <c r="B15" s="76" t="s">
        <v>118</v>
      </c>
      <c r="C15" s="3"/>
      <c r="D15" s="3"/>
      <c r="L15" s="52"/>
      <c r="M15" s="52"/>
      <c r="N15" s="52"/>
      <c r="O15" s="52"/>
      <c r="P15" s="52"/>
      <c r="Q15" s="52"/>
      <c r="R15" s="52"/>
      <c r="S15" s="52"/>
    </row>
    <row r="17" spans="2:24" s="8" customFormat="1" x14ac:dyDescent="0.25">
      <c r="B17" s="8" t="s">
        <v>47</v>
      </c>
      <c r="F17" s="8" t="s">
        <v>29</v>
      </c>
      <c r="H17" s="8" t="s">
        <v>30</v>
      </c>
      <c r="J17" s="8" t="s">
        <v>51</v>
      </c>
      <c r="L17" s="8" t="s">
        <v>177</v>
      </c>
      <c r="M17" s="8" t="s">
        <v>68</v>
      </c>
      <c r="N17" s="8" t="s">
        <v>69</v>
      </c>
      <c r="O17" s="8" t="s">
        <v>70</v>
      </c>
      <c r="P17" s="8" t="s">
        <v>71</v>
      </c>
      <c r="Q17" s="8" t="s">
        <v>72</v>
      </c>
      <c r="R17" s="8" t="s">
        <v>73</v>
      </c>
      <c r="S17" s="8" t="s">
        <v>74</v>
      </c>
      <c r="V17" s="8" t="s">
        <v>48</v>
      </c>
      <c r="X17" s="8" t="s">
        <v>49</v>
      </c>
    </row>
    <row r="20" spans="2:24" s="8" customFormat="1" x14ac:dyDescent="0.25">
      <c r="B20" s="8" t="s">
        <v>195</v>
      </c>
    </row>
    <row r="22" spans="2:24" s="9" customFormat="1" x14ac:dyDescent="0.2">
      <c r="B22" s="85" t="s">
        <v>196</v>
      </c>
    </row>
    <row r="23" spans="2:24" s="9" customFormat="1" ht="15" x14ac:dyDescent="0.25">
      <c r="B23" s="87" t="s">
        <v>169</v>
      </c>
      <c r="F23" s="76" t="s">
        <v>215</v>
      </c>
      <c r="J23" s="71"/>
      <c r="L23" s="88">
        <v>19924881.148029286</v>
      </c>
      <c r="M23" s="88">
        <v>27850281.668148845</v>
      </c>
      <c r="N23" s="88">
        <v>325687429.09945923</v>
      </c>
      <c r="O23" s="88">
        <v>376018786.04679012</v>
      </c>
      <c r="P23" s="88">
        <v>16862366.761935793</v>
      </c>
      <c r="Q23" s="88">
        <v>278984790.69003886</v>
      </c>
      <c r="R23" s="88">
        <v>15873598.83696973</v>
      </c>
      <c r="S23" s="88">
        <v>5411806.5965916943</v>
      </c>
      <c r="T23" s="76"/>
      <c r="V23" s="89" t="s">
        <v>329</v>
      </c>
      <c r="W23" s="66"/>
    </row>
    <row r="24" spans="2:24" s="9" customFormat="1" ht="15" x14ac:dyDescent="0.25">
      <c r="B24" s="85"/>
      <c r="F24" s="64"/>
      <c r="J24" s="71"/>
      <c r="L24" s="65"/>
      <c r="M24" s="65"/>
      <c r="N24" s="65"/>
      <c r="O24" s="65"/>
      <c r="P24" s="65"/>
      <c r="Q24" s="65"/>
      <c r="R24" s="65"/>
      <c r="S24" s="65"/>
      <c r="W24" s="66"/>
    </row>
    <row r="25" spans="2:24" s="8" customFormat="1" x14ac:dyDescent="0.25">
      <c r="B25" s="8" t="s">
        <v>205</v>
      </c>
    </row>
    <row r="26" spans="2:24" s="9" customFormat="1" ht="15" x14ac:dyDescent="0.25">
      <c r="F26" s="64"/>
      <c r="J26" s="71"/>
      <c r="L26" s="65"/>
      <c r="M26" s="65"/>
      <c r="N26" s="65"/>
      <c r="O26" s="65"/>
      <c r="P26" s="65"/>
      <c r="Q26" s="65"/>
      <c r="R26" s="65"/>
      <c r="S26" s="65"/>
      <c r="W26" s="66"/>
    </row>
    <row r="27" spans="2:24" s="9" customFormat="1" ht="15" x14ac:dyDescent="0.25">
      <c r="B27" s="85" t="s">
        <v>119</v>
      </c>
      <c r="F27" s="64"/>
      <c r="J27" s="71"/>
      <c r="L27" s="65"/>
      <c r="M27" s="65"/>
      <c r="N27" s="65"/>
      <c r="O27" s="65"/>
      <c r="P27" s="65"/>
      <c r="Q27" s="65"/>
      <c r="R27" s="65"/>
      <c r="S27" s="65"/>
      <c r="W27" s="66"/>
    </row>
    <row r="28" spans="2:24" s="9" customFormat="1" ht="15" x14ac:dyDescent="0.25">
      <c r="B28" s="90"/>
      <c r="F28" s="64"/>
      <c r="J28" s="71"/>
      <c r="L28" s="44"/>
      <c r="M28" s="65"/>
      <c r="N28" s="65"/>
      <c r="O28" s="65"/>
      <c r="P28" s="65"/>
      <c r="Q28" s="65"/>
      <c r="R28" s="65"/>
      <c r="S28" s="65"/>
      <c r="W28" s="66"/>
    </row>
    <row r="29" spans="2:24" s="9" customFormat="1" x14ac:dyDescent="0.2">
      <c r="B29" s="85" t="s">
        <v>192</v>
      </c>
      <c r="F29" s="64"/>
      <c r="J29" s="71"/>
      <c r="L29" s="65"/>
      <c r="M29" s="65"/>
      <c r="N29" s="65"/>
      <c r="O29" s="65"/>
      <c r="P29" s="65"/>
      <c r="Q29" s="65"/>
      <c r="R29" s="65"/>
      <c r="S29" s="65"/>
    </row>
    <row r="30" spans="2:24" s="9" customFormat="1" x14ac:dyDescent="0.2">
      <c r="B30" s="91" t="s">
        <v>120</v>
      </c>
      <c r="F30" s="64"/>
      <c r="J30" s="71"/>
      <c r="L30" s="65"/>
      <c r="M30" s="65"/>
      <c r="N30" s="65"/>
      <c r="O30" s="65"/>
      <c r="P30" s="65"/>
      <c r="Q30" s="65"/>
      <c r="R30" s="65"/>
      <c r="S30" s="65"/>
    </row>
    <row r="31" spans="2:24" s="9" customFormat="1" ht="15" x14ac:dyDescent="0.25">
      <c r="B31" s="64" t="s">
        <v>121</v>
      </c>
      <c r="F31" s="76" t="s">
        <v>215</v>
      </c>
      <c r="J31" s="71"/>
      <c r="L31" s="47">
        <v>0</v>
      </c>
      <c r="M31" s="47">
        <v>437650</v>
      </c>
      <c r="N31" s="47">
        <v>2457727.0644840365</v>
      </c>
      <c r="O31" s="47">
        <v>47610273.799999997</v>
      </c>
      <c r="P31" s="47">
        <v>97248.5</v>
      </c>
      <c r="Q31" s="47">
        <v>27441636.877827235</v>
      </c>
      <c r="R31" s="47">
        <v>17410.419999999998</v>
      </c>
      <c r="S31" s="47">
        <v>0</v>
      </c>
      <c r="T31" s="76"/>
      <c r="V31" s="76" t="s">
        <v>330</v>
      </c>
      <c r="W31" s="66"/>
    </row>
    <row r="32" spans="2:24" s="9" customFormat="1" ht="15" x14ac:dyDescent="0.25">
      <c r="B32" s="64" t="s">
        <v>122</v>
      </c>
      <c r="F32" s="76" t="s">
        <v>215</v>
      </c>
      <c r="J32" s="71"/>
      <c r="L32" s="47">
        <v>0</v>
      </c>
      <c r="M32" s="47">
        <v>24333.080471037341</v>
      </c>
      <c r="N32" s="47">
        <v>0</v>
      </c>
      <c r="O32" s="47">
        <v>0</v>
      </c>
      <c r="P32" s="47">
        <v>0</v>
      </c>
      <c r="Q32" s="47">
        <v>0</v>
      </c>
      <c r="R32" s="47">
        <v>0</v>
      </c>
      <c r="S32" s="47">
        <v>0</v>
      </c>
      <c r="T32" s="76"/>
      <c r="V32" s="76" t="s">
        <v>331</v>
      </c>
      <c r="W32" s="66"/>
    </row>
    <row r="33" spans="2:23" s="9" customFormat="1" ht="15" x14ac:dyDescent="0.25">
      <c r="B33" s="91" t="s">
        <v>302</v>
      </c>
      <c r="F33" s="96"/>
      <c r="J33" s="71"/>
      <c r="L33" s="86"/>
      <c r="M33" s="86"/>
      <c r="N33" s="86"/>
      <c r="O33" s="86"/>
      <c r="P33" s="86"/>
      <c r="Q33" s="86"/>
      <c r="R33" s="86"/>
      <c r="S33" s="86"/>
      <c r="T33" s="96"/>
      <c r="V33" s="76"/>
      <c r="W33" s="66"/>
    </row>
    <row r="34" spans="2:23" s="9" customFormat="1" ht="15" x14ac:dyDescent="0.25">
      <c r="B34" s="64" t="s">
        <v>121</v>
      </c>
      <c r="F34" s="76" t="s">
        <v>215</v>
      </c>
      <c r="J34" s="71"/>
      <c r="L34" s="47">
        <v>0</v>
      </c>
      <c r="M34" s="47">
        <v>0</v>
      </c>
      <c r="N34" s="47">
        <v>0</v>
      </c>
      <c r="O34" s="47">
        <v>0</v>
      </c>
      <c r="P34" s="47">
        <v>0</v>
      </c>
      <c r="Q34" s="47">
        <v>0</v>
      </c>
      <c r="R34" s="47">
        <v>0</v>
      </c>
      <c r="S34" s="47">
        <v>0</v>
      </c>
      <c r="T34" s="76"/>
      <c r="V34" s="76" t="s">
        <v>332</v>
      </c>
      <c r="W34" s="66"/>
    </row>
    <row r="35" spans="2:23" s="9" customFormat="1" ht="15" x14ac:dyDescent="0.25">
      <c r="B35" s="64" t="s">
        <v>122</v>
      </c>
      <c r="F35" s="76" t="s">
        <v>215</v>
      </c>
      <c r="J35" s="71"/>
      <c r="L35" s="47">
        <v>0</v>
      </c>
      <c r="M35" s="47">
        <v>0</v>
      </c>
      <c r="N35" s="47">
        <v>0</v>
      </c>
      <c r="O35" s="47">
        <v>0</v>
      </c>
      <c r="P35" s="47">
        <v>0</v>
      </c>
      <c r="Q35" s="47">
        <v>0</v>
      </c>
      <c r="R35" s="47">
        <v>0</v>
      </c>
      <c r="S35" s="47">
        <v>0</v>
      </c>
      <c r="T35" s="76"/>
      <c r="V35" s="76" t="s">
        <v>333</v>
      </c>
      <c r="W35" s="66"/>
    </row>
    <row r="36" spans="2:23" s="9" customFormat="1" ht="15" x14ac:dyDescent="0.25">
      <c r="B36" s="91" t="s">
        <v>303</v>
      </c>
      <c r="F36" s="96"/>
      <c r="J36" s="71"/>
      <c r="L36" s="86"/>
      <c r="M36" s="86"/>
      <c r="N36" s="86"/>
      <c r="O36" s="86"/>
      <c r="P36" s="86"/>
      <c r="Q36" s="86"/>
      <c r="R36" s="86"/>
      <c r="S36" s="86"/>
      <c r="T36" s="96"/>
      <c r="V36" s="76"/>
      <c r="W36" s="66"/>
    </row>
    <row r="37" spans="2:23" s="9" customFormat="1" x14ac:dyDescent="0.2">
      <c r="B37" s="64" t="s">
        <v>121</v>
      </c>
      <c r="F37" s="76" t="s">
        <v>215</v>
      </c>
      <c r="J37" s="71"/>
      <c r="L37" s="47">
        <v>0</v>
      </c>
      <c r="M37" s="47">
        <v>0</v>
      </c>
      <c r="N37" s="47">
        <v>0</v>
      </c>
      <c r="O37" s="47">
        <v>0</v>
      </c>
      <c r="P37" s="47">
        <v>0</v>
      </c>
      <c r="Q37" s="47">
        <v>0</v>
      </c>
      <c r="R37" s="47">
        <v>0</v>
      </c>
      <c r="S37" s="47">
        <v>0</v>
      </c>
      <c r="T37" s="76"/>
      <c r="V37" s="76" t="s">
        <v>334</v>
      </c>
    </row>
    <row r="38" spans="2:23" s="9" customFormat="1" x14ac:dyDescent="0.2">
      <c r="B38" s="64" t="s">
        <v>122</v>
      </c>
      <c r="F38" s="76" t="s">
        <v>215</v>
      </c>
      <c r="J38" s="71"/>
      <c r="L38" s="47">
        <v>0</v>
      </c>
      <c r="M38" s="47">
        <v>0</v>
      </c>
      <c r="N38" s="47">
        <v>0</v>
      </c>
      <c r="O38" s="47">
        <v>0</v>
      </c>
      <c r="P38" s="47">
        <v>0</v>
      </c>
      <c r="Q38" s="47">
        <v>0</v>
      </c>
      <c r="R38" s="47">
        <v>0</v>
      </c>
      <c r="S38" s="47">
        <v>0</v>
      </c>
      <c r="T38" s="76"/>
      <c r="V38" s="76" t="s">
        <v>335</v>
      </c>
    </row>
    <row r="39" spans="2:23" s="9" customFormat="1" x14ac:dyDescent="0.2">
      <c r="B39" s="85"/>
      <c r="F39" s="76"/>
      <c r="J39" s="71"/>
      <c r="L39" s="101"/>
      <c r="M39" s="90"/>
      <c r="N39" s="90"/>
      <c r="O39" s="90"/>
      <c r="P39" s="90"/>
      <c r="Q39" s="90"/>
      <c r="R39" s="90"/>
      <c r="S39" s="90"/>
      <c r="T39" s="76"/>
      <c r="V39" s="76"/>
    </row>
    <row r="40" spans="2:23" s="9" customFormat="1" ht="15" x14ac:dyDescent="0.25">
      <c r="B40" s="85" t="s">
        <v>211</v>
      </c>
      <c r="F40" s="76"/>
      <c r="J40" s="72"/>
      <c r="L40" s="101"/>
      <c r="M40" s="90"/>
      <c r="N40" s="90"/>
      <c r="O40" s="90"/>
      <c r="P40" s="90"/>
      <c r="Q40" s="90"/>
      <c r="R40" s="90"/>
      <c r="S40" s="90"/>
      <c r="T40" s="76"/>
      <c r="V40" s="76"/>
    </row>
    <row r="41" spans="2:23" s="9" customFormat="1" ht="15" x14ac:dyDescent="0.25">
      <c r="B41" s="85"/>
      <c r="F41" s="76"/>
      <c r="J41" s="71"/>
      <c r="L41" s="101"/>
      <c r="M41" s="90"/>
      <c r="N41" s="90"/>
      <c r="O41" s="90"/>
      <c r="P41" s="90"/>
      <c r="Q41" s="90"/>
      <c r="R41" s="90"/>
      <c r="S41" s="90"/>
      <c r="T41" s="76"/>
      <c r="V41" s="76"/>
      <c r="W41" s="66"/>
    </row>
    <row r="42" spans="2:23" s="9" customFormat="1" ht="15" x14ac:dyDescent="0.25">
      <c r="B42" s="92" t="s">
        <v>123</v>
      </c>
      <c r="F42" s="76"/>
      <c r="J42" s="71"/>
      <c r="L42" s="102"/>
      <c r="M42" s="76"/>
      <c r="N42" s="140"/>
      <c r="O42" s="109"/>
      <c r="P42" s="102"/>
      <c r="Q42" s="109"/>
      <c r="R42" s="76"/>
      <c r="S42" s="76"/>
      <c r="T42" s="76"/>
      <c r="V42" s="76"/>
      <c r="W42" s="66"/>
    </row>
    <row r="43" spans="2:23" s="9" customFormat="1" ht="15" x14ac:dyDescent="0.25">
      <c r="B43" s="93" t="s">
        <v>124</v>
      </c>
      <c r="F43" s="76" t="s">
        <v>215</v>
      </c>
      <c r="J43" s="71"/>
      <c r="L43" s="103"/>
      <c r="M43" s="76"/>
      <c r="N43" s="133">
        <v>0</v>
      </c>
      <c r="O43" s="76"/>
      <c r="P43" s="104">
        <v>0</v>
      </c>
      <c r="Q43" s="76"/>
      <c r="R43" s="76"/>
      <c r="S43" s="76"/>
      <c r="T43" s="76"/>
      <c r="V43" s="76" t="s">
        <v>271</v>
      </c>
      <c r="W43" s="66"/>
    </row>
    <row r="44" spans="2:23" s="9" customFormat="1" ht="15" x14ac:dyDescent="0.25">
      <c r="B44" s="93" t="s">
        <v>125</v>
      </c>
      <c r="F44" s="76" t="s">
        <v>215</v>
      </c>
      <c r="J44" s="71"/>
      <c r="L44" s="103"/>
      <c r="M44" s="76"/>
      <c r="N44" s="133">
        <v>892288.72133416787</v>
      </c>
      <c r="O44" s="76"/>
      <c r="P44" s="104">
        <v>1769702.243701641</v>
      </c>
      <c r="Q44" s="76"/>
      <c r="R44" s="76"/>
      <c r="S44" s="76"/>
      <c r="T44" s="76"/>
      <c r="V44" s="76" t="s">
        <v>271</v>
      </c>
      <c r="W44" s="66"/>
    </row>
    <row r="45" spans="2:23" s="9" customFormat="1" x14ac:dyDescent="0.2">
      <c r="B45" s="93" t="s">
        <v>126</v>
      </c>
      <c r="F45" s="76" t="s">
        <v>215</v>
      </c>
      <c r="J45" s="71"/>
      <c r="L45" s="103"/>
      <c r="M45" s="76"/>
      <c r="N45" s="133">
        <v>4461443.6066708518</v>
      </c>
      <c r="O45" s="76"/>
      <c r="P45" s="104">
        <v>1769702.2437016503</v>
      </c>
      <c r="Q45" s="76"/>
      <c r="R45" s="76"/>
      <c r="S45" s="76"/>
      <c r="T45" s="76"/>
      <c r="V45" s="76" t="s">
        <v>271</v>
      </c>
    </row>
    <row r="46" spans="2:23" s="9" customFormat="1" x14ac:dyDescent="0.2">
      <c r="B46" s="93"/>
      <c r="F46" s="76"/>
      <c r="J46" s="71"/>
      <c r="L46" s="101"/>
      <c r="M46" s="90"/>
      <c r="N46" s="90"/>
      <c r="O46" s="90"/>
      <c r="P46" s="90"/>
      <c r="Q46" s="90"/>
      <c r="R46" s="90"/>
      <c r="S46" s="90"/>
      <c r="T46" s="76"/>
      <c r="U46" s="76"/>
    </row>
    <row r="47" spans="2:23" s="8" customFormat="1" x14ac:dyDescent="0.25">
      <c r="B47" s="8" t="s">
        <v>127</v>
      </c>
    </row>
    <row r="48" spans="2:23" s="9" customFormat="1" x14ac:dyDescent="0.2">
      <c r="B48" s="93"/>
      <c r="F48" s="76"/>
      <c r="J48" s="71"/>
      <c r="L48" s="101"/>
      <c r="M48" s="90"/>
      <c r="N48" s="90"/>
      <c r="O48" s="90"/>
      <c r="P48" s="90"/>
      <c r="Q48" s="90"/>
      <c r="R48" s="90"/>
      <c r="S48" s="90"/>
      <c r="T48" s="76"/>
      <c r="U48" s="76"/>
    </row>
    <row r="49" spans="2:22" s="9" customFormat="1" ht="15" x14ac:dyDescent="0.25">
      <c r="B49" s="85" t="s">
        <v>128</v>
      </c>
      <c r="F49" s="77"/>
      <c r="J49" s="71"/>
      <c r="L49" s="105"/>
      <c r="M49" s="105"/>
      <c r="N49" s="105"/>
      <c r="O49" s="105"/>
      <c r="P49" s="105"/>
      <c r="Q49" s="105"/>
      <c r="R49" s="105"/>
      <c r="S49" s="105"/>
      <c r="T49" s="77"/>
      <c r="U49" s="77"/>
      <c r="V49" s="66"/>
    </row>
    <row r="50" spans="2:22" s="9" customFormat="1" ht="15" x14ac:dyDescent="0.25">
      <c r="B50" s="85"/>
      <c r="F50" s="77"/>
      <c r="J50" s="71"/>
      <c r="L50" s="48"/>
      <c r="M50" s="48"/>
      <c r="N50" s="48"/>
      <c r="O50" s="48"/>
      <c r="P50" s="48"/>
      <c r="Q50" s="48"/>
      <c r="R50" s="48"/>
      <c r="S50" s="105"/>
      <c r="T50" s="77"/>
      <c r="U50" s="77"/>
      <c r="V50" s="66"/>
    </row>
    <row r="51" spans="2:22" s="9" customFormat="1" x14ac:dyDescent="0.2">
      <c r="B51" s="94" t="s">
        <v>193</v>
      </c>
      <c r="F51" s="46" t="s">
        <v>213</v>
      </c>
      <c r="J51" s="71"/>
      <c r="L51" s="106">
        <v>20194791.192798588</v>
      </c>
      <c r="M51" s="106">
        <v>28230489.513523933</v>
      </c>
      <c r="N51" s="106">
        <v>331561738.76645088</v>
      </c>
      <c r="O51" s="106">
        <v>403291160.06978238</v>
      </c>
      <c r="P51" s="106">
        <v>16843705.06353401</v>
      </c>
      <c r="Q51" s="106">
        <v>296557916.46444798</v>
      </c>
      <c r="R51" s="106">
        <v>16144563.107850987</v>
      </c>
      <c r="S51" s="106">
        <v>5521688.1916046264</v>
      </c>
      <c r="T51" s="94"/>
      <c r="U51" s="77"/>
      <c r="V51" s="9" t="s">
        <v>272</v>
      </c>
    </row>
    <row r="52" spans="2:22" s="9" customFormat="1" x14ac:dyDescent="0.2">
      <c r="B52" s="94" t="s">
        <v>194</v>
      </c>
      <c r="F52" s="94" t="s">
        <v>80</v>
      </c>
      <c r="L52" s="107">
        <v>1.54</v>
      </c>
      <c r="M52" s="107">
        <v>1.51</v>
      </c>
      <c r="N52" s="107">
        <v>1.53</v>
      </c>
      <c r="O52" s="107">
        <v>1.33</v>
      </c>
      <c r="P52" s="107">
        <v>1.37</v>
      </c>
      <c r="Q52" s="107">
        <v>1.39</v>
      </c>
      <c r="R52" s="107">
        <v>1.79</v>
      </c>
      <c r="S52" s="108">
        <v>2.19</v>
      </c>
      <c r="T52" s="94"/>
      <c r="U52" s="77"/>
      <c r="V52" s="9" t="s">
        <v>273</v>
      </c>
    </row>
    <row r="53" spans="2:22" s="98" customFormat="1" x14ac:dyDescent="0.2">
      <c r="B53" s="97"/>
      <c r="F53" s="97"/>
    </row>
    <row r="54" spans="2:22" s="100" customFormat="1" x14ac:dyDescent="0.2">
      <c r="B54" s="110"/>
      <c r="F54" s="111"/>
      <c r="H54" s="112"/>
    </row>
    <row r="55" spans="2:22" s="98" customFormat="1" x14ac:dyDescent="0.2">
      <c r="B55" s="110"/>
      <c r="F55" s="111"/>
      <c r="H55" s="112"/>
    </row>
    <row r="56" spans="2:22" s="9" customFormat="1" x14ac:dyDescent="0.2">
      <c r="B56" s="87"/>
      <c r="F56" s="113"/>
      <c r="H56" s="112"/>
    </row>
    <row r="57" spans="2:22" s="9" customFormat="1" x14ac:dyDescent="0.2">
      <c r="B57" s="87"/>
      <c r="F57" s="113"/>
    </row>
    <row r="58" spans="2:22" s="9" customFormat="1" x14ac:dyDescent="0.2">
      <c r="B58" s="77"/>
      <c r="F58" s="76"/>
    </row>
    <row r="59" spans="2:22" s="9" customFormat="1" ht="15" x14ac:dyDescent="0.25">
      <c r="B59" s="77"/>
      <c r="F59" s="76"/>
      <c r="J59" s="71"/>
      <c r="L59" s="65"/>
      <c r="M59" s="65"/>
      <c r="N59" s="65"/>
      <c r="O59" s="65"/>
      <c r="P59" s="65"/>
      <c r="Q59" s="65"/>
      <c r="R59" s="65"/>
      <c r="S59" s="65"/>
      <c r="V59" s="66"/>
    </row>
    <row r="60" spans="2:22" s="9" customFormat="1" ht="15" x14ac:dyDescent="0.25">
      <c r="B60" s="77"/>
      <c r="F60" s="76"/>
      <c r="J60" s="71"/>
      <c r="L60" s="65"/>
      <c r="M60" s="65"/>
      <c r="N60" s="65"/>
      <c r="O60" s="65"/>
      <c r="P60" s="65"/>
      <c r="Q60" s="65"/>
      <c r="R60" s="65"/>
      <c r="S60" s="65"/>
      <c r="V60" s="66"/>
    </row>
    <row r="61" spans="2:22" s="9" customFormat="1" ht="15" x14ac:dyDescent="0.25">
      <c r="F61" s="64"/>
      <c r="J61" s="71"/>
      <c r="L61" s="65"/>
      <c r="M61" s="65"/>
      <c r="N61" s="65"/>
      <c r="O61" s="65"/>
      <c r="P61" s="65"/>
      <c r="Q61" s="65"/>
      <c r="R61" s="65"/>
      <c r="S61" s="65"/>
      <c r="V61" s="66"/>
    </row>
    <row r="62" spans="2:22" s="9" customFormat="1" ht="15" x14ac:dyDescent="0.25">
      <c r="F62" s="64"/>
      <c r="J62" s="71"/>
      <c r="L62" s="65"/>
      <c r="M62" s="65"/>
      <c r="N62" s="65"/>
      <c r="O62" s="65"/>
      <c r="P62" s="65"/>
      <c r="Q62" s="65"/>
      <c r="R62" s="65"/>
      <c r="S62" s="65"/>
      <c r="V62" s="66"/>
    </row>
    <row r="63" spans="2:22" s="9" customFormat="1" ht="15" x14ac:dyDescent="0.25">
      <c r="F63" s="64"/>
      <c r="J63" s="71"/>
      <c r="L63" s="65"/>
      <c r="M63" s="65"/>
      <c r="N63" s="65"/>
      <c r="O63" s="65"/>
      <c r="P63" s="65"/>
      <c r="Q63" s="65"/>
      <c r="R63" s="65"/>
      <c r="S63" s="65"/>
      <c r="V63" s="66"/>
    </row>
    <row r="64" spans="2:22" s="9" customFormat="1" ht="15" x14ac:dyDescent="0.25">
      <c r="F64" s="64"/>
      <c r="J64" s="71"/>
      <c r="L64" s="65"/>
      <c r="M64" s="65"/>
      <c r="N64" s="65"/>
      <c r="O64" s="65"/>
      <c r="P64" s="65"/>
      <c r="Q64" s="65"/>
      <c r="R64" s="65"/>
      <c r="S64" s="65"/>
      <c r="V64" s="66"/>
    </row>
    <row r="65" spans="2:22" s="9" customFormat="1" x14ac:dyDescent="0.2">
      <c r="F65" s="64"/>
      <c r="J65" s="71"/>
      <c r="L65" s="65"/>
      <c r="M65" s="65"/>
      <c r="N65" s="65"/>
      <c r="O65" s="65"/>
      <c r="P65" s="65"/>
      <c r="Q65" s="65"/>
      <c r="R65" s="65"/>
      <c r="S65" s="65"/>
    </row>
    <row r="66" spans="2:22" s="9" customFormat="1" x14ac:dyDescent="0.2">
      <c r="B66" s="78"/>
      <c r="F66" s="64"/>
      <c r="J66" s="71"/>
      <c r="L66" s="65"/>
      <c r="M66" s="65"/>
      <c r="N66" s="65"/>
      <c r="O66" s="65"/>
      <c r="P66" s="65"/>
      <c r="Q66" s="65"/>
      <c r="R66" s="65"/>
      <c r="S66" s="65"/>
    </row>
    <row r="67" spans="2:22" s="9" customFormat="1" ht="15" x14ac:dyDescent="0.25">
      <c r="F67" s="64"/>
      <c r="J67" s="71"/>
      <c r="L67" s="65"/>
      <c r="M67" s="65"/>
      <c r="N67" s="65"/>
      <c r="O67" s="65"/>
      <c r="P67" s="65"/>
      <c r="Q67" s="65"/>
      <c r="R67" s="65"/>
      <c r="S67" s="65"/>
      <c r="V67" s="66"/>
    </row>
    <row r="68" spans="2:22" s="9" customFormat="1" ht="15" x14ac:dyDescent="0.25">
      <c r="F68" s="64"/>
      <c r="J68" s="71"/>
      <c r="L68" s="65"/>
      <c r="M68" s="65"/>
      <c r="N68" s="65"/>
      <c r="O68" s="65"/>
      <c r="P68" s="65"/>
      <c r="Q68" s="65"/>
      <c r="R68" s="65"/>
      <c r="S68" s="65"/>
      <c r="V68" s="66"/>
    </row>
    <row r="69" spans="2:22" s="9" customFormat="1" ht="15" x14ac:dyDescent="0.25">
      <c r="F69" s="64"/>
      <c r="J69" s="71"/>
      <c r="L69" s="65"/>
      <c r="M69" s="65"/>
      <c r="N69" s="65"/>
      <c r="O69" s="65"/>
      <c r="P69" s="65"/>
      <c r="Q69" s="65"/>
      <c r="R69" s="65"/>
      <c r="S69" s="65"/>
      <c r="V69" s="66"/>
    </row>
    <row r="70" spans="2:22" s="9" customFormat="1" ht="15" x14ac:dyDescent="0.25">
      <c r="F70" s="64"/>
      <c r="J70" s="71"/>
      <c r="L70" s="65"/>
      <c r="M70" s="65"/>
      <c r="N70" s="65"/>
      <c r="O70" s="65"/>
      <c r="P70" s="65"/>
      <c r="Q70" s="65"/>
      <c r="R70" s="65"/>
      <c r="S70" s="65"/>
      <c r="V70" s="66"/>
    </row>
    <row r="71" spans="2:22" s="9" customFormat="1" ht="15" x14ac:dyDescent="0.25">
      <c r="F71" s="64"/>
      <c r="J71" s="71"/>
      <c r="L71" s="65"/>
      <c r="M71" s="65"/>
      <c r="N71" s="65"/>
      <c r="O71" s="65"/>
      <c r="P71" s="65"/>
      <c r="Q71" s="65"/>
      <c r="R71" s="65"/>
      <c r="S71" s="65"/>
      <c r="V71" s="66"/>
    </row>
    <row r="72" spans="2:22" s="9" customFormat="1" ht="15" x14ac:dyDescent="0.25">
      <c r="F72" s="64"/>
      <c r="J72" s="71"/>
      <c r="L72" s="65"/>
      <c r="M72" s="65"/>
      <c r="N72" s="65"/>
      <c r="O72" s="65"/>
      <c r="P72" s="65"/>
      <c r="Q72" s="65"/>
      <c r="R72" s="65"/>
      <c r="S72" s="65"/>
      <c r="V72" s="66"/>
    </row>
    <row r="73" spans="2:22" s="9" customFormat="1" x14ac:dyDescent="0.2">
      <c r="F73" s="64"/>
      <c r="J73" s="71"/>
      <c r="L73" s="65"/>
      <c r="M73" s="65"/>
      <c r="N73" s="65"/>
      <c r="O73" s="65"/>
      <c r="P73" s="65"/>
      <c r="Q73" s="65"/>
      <c r="R73" s="65"/>
      <c r="S73" s="65"/>
    </row>
    <row r="74" spans="2:22" s="9" customFormat="1" x14ac:dyDescent="0.2">
      <c r="B74" s="78"/>
      <c r="F74" s="64"/>
      <c r="J74" s="71"/>
      <c r="L74" s="65"/>
      <c r="M74" s="65"/>
      <c r="N74" s="65"/>
      <c r="O74" s="65"/>
      <c r="P74" s="65"/>
      <c r="Q74" s="65"/>
      <c r="R74" s="65"/>
      <c r="S74" s="65"/>
    </row>
    <row r="75" spans="2:22" s="9" customFormat="1" x14ac:dyDescent="0.2">
      <c r="F75" s="64"/>
      <c r="J75" s="71"/>
      <c r="L75" s="65"/>
      <c r="M75" s="65"/>
      <c r="N75" s="65"/>
      <c r="O75" s="65"/>
      <c r="P75" s="65"/>
      <c r="Q75" s="65"/>
      <c r="R75" s="65"/>
      <c r="S75" s="65"/>
    </row>
    <row r="76" spans="2:22" s="9" customFormat="1" ht="15" x14ac:dyDescent="0.25">
      <c r="B76" s="78"/>
      <c r="F76" s="64"/>
      <c r="J76" s="72"/>
      <c r="L76" s="66"/>
      <c r="M76" s="66"/>
      <c r="N76" s="66"/>
      <c r="O76" s="66"/>
      <c r="P76" s="66"/>
      <c r="Q76" s="66"/>
      <c r="R76" s="66"/>
      <c r="S76" s="66"/>
    </row>
    <row r="77" spans="2:22" s="9" customFormat="1" ht="15" x14ac:dyDescent="0.25">
      <c r="F77" s="64"/>
      <c r="J77" s="71"/>
      <c r="L77" s="65"/>
      <c r="M77" s="65"/>
      <c r="N77" s="65"/>
      <c r="O77" s="65"/>
      <c r="P77" s="65"/>
      <c r="Q77" s="65"/>
      <c r="R77" s="65"/>
      <c r="S77" s="65"/>
      <c r="V77" s="66"/>
    </row>
    <row r="78" spans="2:22" s="9" customFormat="1" ht="15" x14ac:dyDescent="0.25">
      <c r="F78" s="64"/>
      <c r="J78" s="71"/>
      <c r="L78" s="65"/>
      <c r="M78" s="65"/>
      <c r="N78" s="65"/>
      <c r="O78" s="65"/>
      <c r="P78" s="65"/>
      <c r="Q78" s="65"/>
      <c r="R78" s="65"/>
      <c r="S78" s="65"/>
      <c r="V78" s="66"/>
    </row>
    <row r="79" spans="2:22" s="9" customFormat="1" ht="15" x14ac:dyDescent="0.25">
      <c r="F79" s="64"/>
      <c r="J79" s="71"/>
      <c r="L79" s="65"/>
      <c r="M79" s="65"/>
      <c r="N79" s="65"/>
      <c r="O79" s="65"/>
      <c r="P79" s="65"/>
      <c r="Q79" s="65"/>
      <c r="R79" s="65"/>
      <c r="S79" s="65"/>
      <c r="V79" s="66"/>
    </row>
    <row r="80" spans="2:22" s="9" customFormat="1" ht="15" x14ac:dyDescent="0.25">
      <c r="F80" s="64"/>
      <c r="J80" s="71"/>
      <c r="L80" s="65"/>
      <c r="M80" s="65"/>
      <c r="N80" s="65"/>
      <c r="O80" s="65"/>
      <c r="P80" s="65"/>
      <c r="Q80" s="65"/>
      <c r="R80" s="65"/>
      <c r="S80" s="65"/>
      <c r="V80" s="66"/>
    </row>
    <row r="81" spans="2:22" s="9" customFormat="1" x14ac:dyDescent="0.2">
      <c r="F81" s="64"/>
      <c r="J81" s="71"/>
      <c r="L81" s="65"/>
      <c r="M81" s="65"/>
      <c r="N81" s="65"/>
      <c r="O81" s="65"/>
      <c r="P81" s="65"/>
      <c r="Q81" s="65"/>
      <c r="R81" s="65"/>
      <c r="S81" s="65"/>
    </row>
    <row r="82" spans="2:22" s="9" customFormat="1" x14ac:dyDescent="0.2">
      <c r="B82" s="78"/>
      <c r="F82" s="64"/>
      <c r="J82" s="71"/>
      <c r="L82" s="65"/>
      <c r="M82" s="65"/>
      <c r="N82" s="65"/>
      <c r="O82" s="65"/>
      <c r="P82" s="65"/>
      <c r="Q82" s="65"/>
      <c r="R82" s="65"/>
      <c r="S82" s="65"/>
    </row>
    <row r="83" spans="2:22" s="9" customFormat="1" x14ac:dyDescent="0.2">
      <c r="F83" s="64"/>
      <c r="J83" s="71"/>
      <c r="L83" s="65"/>
      <c r="M83" s="65"/>
      <c r="N83" s="65"/>
      <c r="O83" s="65"/>
      <c r="P83" s="65"/>
      <c r="Q83" s="65"/>
      <c r="R83" s="65"/>
      <c r="S83" s="65"/>
    </row>
    <row r="84" spans="2:22" s="9" customFormat="1" x14ac:dyDescent="0.2">
      <c r="B84" s="78"/>
      <c r="F84" s="64"/>
      <c r="J84" s="71"/>
      <c r="L84" s="65"/>
      <c r="M84" s="65"/>
      <c r="N84" s="65"/>
      <c r="O84" s="65"/>
      <c r="P84" s="65"/>
      <c r="Q84" s="65"/>
      <c r="R84" s="65"/>
      <c r="S84" s="65"/>
    </row>
    <row r="85" spans="2:22" s="9" customFormat="1" ht="15" x14ac:dyDescent="0.25">
      <c r="F85" s="64"/>
      <c r="J85" s="71"/>
      <c r="L85" s="65"/>
      <c r="M85" s="65"/>
      <c r="N85" s="65"/>
      <c r="O85" s="65"/>
      <c r="P85" s="65"/>
      <c r="Q85" s="65"/>
      <c r="R85" s="65"/>
      <c r="S85" s="65"/>
      <c r="V85" s="66"/>
    </row>
    <row r="86" spans="2:22" s="9" customFormat="1" ht="15" x14ac:dyDescent="0.25">
      <c r="F86" s="64"/>
      <c r="J86" s="71"/>
      <c r="L86" s="65"/>
      <c r="M86" s="65"/>
      <c r="N86" s="65"/>
      <c r="O86" s="65"/>
      <c r="P86" s="65"/>
      <c r="Q86" s="65"/>
      <c r="R86" s="65"/>
      <c r="S86" s="65"/>
      <c r="V86" s="66"/>
    </row>
    <row r="87" spans="2:22" s="9" customFormat="1" ht="15" x14ac:dyDescent="0.25">
      <c r="F87" s="64"/>
      <c r="J87" s="71"/>
      <c r="L87" s="65"/>
      <c r="M87" s="65"/>
      <c r="N87" s="65"/>
      <c r="O87" s="65"/>
      <c r="P87" s="65"/>
      <c r="Q87" s="65"/>
      <c r="R87" s="65"/>
      <c r="S87" s="65"/>
      <c r="V87" s="66"/>
    </row>
    <row r="88" spans="2:22" s="9" customFormat="1" ht="15" x14ac:dyDescent="0.25">
      <c r="F88" s="64"/>
      <c r="J88" s="71"/>
      <c r="L88" s="65"/>
      <c r="M88" s="65"/>
      <c r="N88" s="65"/>
      <c r="O88" s="65"/>
      <c r="P88" s="65"/>
      <c r="Q88" s="65"/>
      <c r="R88" s="65"/>
      <c r="S88" s="65"/>
      <c r="V88" s="66"/>
    </row>
    <row r="89" spans="2:22" s="9" customFormat="1" x14ac:dyDescent="0.25">
      <c r="J89" s="73"/>
    </row>
    <row r="90" spans="2:22" s="79" customFormat="1" x14ac:dyDescent="0.25"/>
    <row r="91" spans="2:22" s="9" customFormat="1" x14ac:dyDescent="0.25"/>
    <row r="92" spans="2:22" s="9" customFormat="1" x14ac:dyDescent="0.25">
      <c r="B92" s="78"/>
    </row>
    <row r="93" spans="2:22" s="9" customFormat="1" x14ac:dyDescent="0.25"/>
    <row r="94" spans="2:22" s="9" customFormat="1" x14ac:dyDescent="0.25">
      <c r="B94" s="78"/>
      <c r="J94" s="73"/>
    </row>
    <row r="95" spans="2:22" s="9" customFormat="1" ht="15" x14ac:dyDescent="0.25">
      <c r="F95" s="64"/>
      <c r="J95" s="71"/>
      <c r="L95" s="65"/>
      <c r="M95" s="65"/>
      <c r="N95" s="65"/>
      <c r="O95" s="65"/>
      <c r="P95" s="65"/>
      <c r="Q95" s="65"/>
      <c r="R95" s="65"/>
      <c r="S95" s="65"/>
      <c r="V95" s="66"/>
    </row>
    <row r="96" spans="2:22" s="9" customFormat="1" ht="15" x14ac:dyDescent="0.25">
      <c r="F96" s="64"/>
      <c r="J96" s="71"/>
      <c r="L96" s="65"/>
      <c r="M96" s="65"/>
      <c r="N96" s="65"/>
      <c r="O96" s="65"/>
      <c r="P96" s="65"/>
      <c r="Q96" s="65"/>
      <c r="R96" s="65"/>
      <c r="S96" s="65"/>
      <c r="V96" s="66"/>
    </row>
    <row r="97" spans="2:22" s="9" customFormat="1" ht="15" x14ac:dyDescent="0.25">
      <c r="F97" s="64"/>
      <c r="J97" s="71"/>
      <c r="L97" s="65"/>
      <c r="M97" s="65"/>
      <c r="N97" s="65"/>
      <c r="O97" s="65"/>
      <c r="P97" s="65"/>
      <c r="Q97" s="65"/>
      <c r="R97" s="65"/>
      <c r="S97" s="65"/>
      <c r="V97" s="66"/>
    </row>
    <row r="98" spans="2:22" s="9" customFormat="1" ht="15" x14ac:dyDescent="0.25">
      <c r="F98" s="64"/>
      <c r="J98" s="71"/>
      <c r="L98" s="65"/>
      <c r="M98" s="65"/>
      <c r="N98" s="65"/>
      <c r="O98" s="65"/>
      <c r="P98" s="65"/>
      <c r="Q98" s="65"/>
      <c r="R98" s="65"/>
      <c r="S98" s="65"/>
      <c r="V98" s="66"/>
    </row>
    <row r="99" spans="2:22" s="9" customFormat="1" ht="15" x14ac:dyDescent="0.25">
      <c r="F99" s="64"/>
      <c r="J99" s="71"/>
      <c r="L99" s="65"/>
      <c r="M99" s="65"/>
      <c r="N99" s="65"/>
      <c r="O99" s="65"/>
      <c r="P99" s="65"/>
      <c r="Q99" s="65"/>
      <c r="R99" s="65"/>
      <c r="S99" s="65"/>
      <c r="V99" s="66"/>
    </row>
    <row r="100" spans="2:22" s="9" customFormat="1" ht="15" x14ac:dyDescent="0.25">
      <c r="F100" s="64"/>
      <c r="J100" s="71"/>
      <c r="L100" s="65"/>
      <c r="M100" s="65"/>
      <c r="N100" s="65"/>
      <c r="O100" s="65"/>
      <c r="P100" s="65"/>
      <c r="Q100" s="65"/>
      <c r="R100" s="65"/>
      <c r="S100" s="65"/>
      <c r="V100" s="66"/>
    </row>
    <row r="101" spans="2:22" s="9" customFormat="1" x14ac:dyDescent="0.2">
      <c r="F101" s="64"/>
      <c r="J101" s="71"/>
      <c r="L101" s="65"/>
      <c r="M101" s="65"/>
      <c r="N101" s="65"/>
      <c r="O101" s="65"/>
      <c r="P101" s="65"/>
      <c r="Q101" s="65"/>
      <c r="R101" s="65"/>
      <c r="S101" s="65"/>
    </row>
    <row r="102" spans="2:22" s="9" customFormat="1" x14ac:dyDescent="0.2">
      <c r="B102" s="78"/>
      <c r="F102" s="64"/>
      <c r="J102" s="71"/>
      <c r="L102" s="65"/>
      <c r="M102" s="65"/>
      <c r="N102" s="65"/>
      <c r="O102" s="65"/>
      <c r="P102" s="65"/>
      <c r="Q102" s="65"/>
      <c r="R102" s="65"/>
      <c r="S102" s="65"/>
    </row>
    <row r="103" spans="2:22" s="9" customFormat="1" ht="15" x14ac:dyDescent="0.25">
      <c r="F103" s="64"/>
      <c r="J103" s="71"/>
      <c r="L103" s="65"/>
      <c r="M103" s="65"/>
      <c r="N103" s="65"/>
      <c r="O103" s="65"/>
      <c r="P103" s="65"/>
      <c r="Q103" s="65"/>
      <c r="R103" s="65"/>
      <c r="S103" s="65"/>
      <c r="V103" s="66"/>
    </row>
    <row r="104" spans="2:22" s="9" customFormat="1" ht="15" x14ac:dyDescent="0.25">
      <c r="F104" s="64"/>
      <c r="J104" s="71"/>
      <c r="L104" s="65"/>
      <c r="M104" s="65"/>
      <c r="N104" s="65"/>
      <c r="O104" s="65"/>
      <c r="P104" s="65"/>
      <c r="Q104" s="65"/>
      <c r="R104" s="65"/>
      <c r="S104" s="65"/>
      <c r="V104" s="66"/>
    </row>
    <row r="105" spans="2:22" s="9" customFormat="1" ht="15" x14ac:dyDescent="0.25">
      <c r="F105" s="64"/>
      <c r="J105" s="71"/>
      <c r="L105" s="65"/>
      <c r="M105" s="65"/>
      <c r="N105" s="65"/>
      <c r="O105" s="65"/>
      <c r="P105" s="65"/>
      <c r="Q105" s="65"/>
      <c r="R105" s="65"/>
      <c r="S105" s="65"/>
      <c r="V105" s="66"/>
    </row>
    <row r="106" spans="2:22" s="9" customFormat="1" ht="15" x14ac:dyDescent="0.25">
      <c r="F106" s="64"/>
      <c r="J106" s="71"/>
      <c r="L106" s="65"/>
      <c r="M106" s="65"/>
      <c r="N106" s="65"/>
      <c r="O106" s="65"/>
      <c r="P106" s="65"/>
      <c r="Q106" s="65"/>
      <c r="R106" s="65"/>
      <c r="S106" s="65"/>
      <c r="V106" s="66"/>
    </row>
    <row r="107" spans="2:22" s="9" customFormat="1" ht="15" x14ac:dyDescent="0.25">
      <c r="F107" s="64"/>
      <c r="J107" s="71"/>
      <c r="L107" s="65"/>
      <c r="M107" s="65"/>
      <c r="N107" s="65"/>
      <c r="O107" s="65"/>
      <c r="P107" s="65"/>
      <c r="Q107" s="65"/>
      <c r="R107" s="65"/>
      <c r="S107" s="65"/>
      <c r="V107" s="66"/>
    </row>
    <row r="108" spans="2:22" s="9" customFormat="1" ht="15" x14ac:dyDescent="0.25">
      <c r="F108" s="64"/>
      <c r="J108" s="71"/>
      <c r="L108" s="65"/>
      <c r="M108" s="65"/>
      <c r="N108" s="65"/>
      <c r="O108" s="65"/>
      <c r="P108" s="65"/>
      <c r="Q108" s="65"/>
      <c r="R108" s="65"/>
      <c r="S108" s="65"/>
      <c r="V108" s="66"/>
    </row>
    <row r="109" spans="2:22" s="9" customFormat="1" x14ac:dyDescent="0.2">
      <c r="F109" s="64"/>
      <c r="J109" s="71"/>
      <c r="L109" s="65"/>
      <c r="M109" s="65"/>
      <c r="N109" s="65"/>
      <c r="O109" s="65"/>
      <c r="P109" s="65"/>
      <c r="Q109" s="65"/>
      <c r="R109" s="65"/>
      <c r="S109" s="65"/>
    </row>
    <row r="110" spans="2:22" s="9" customFormat="1" x14ac:dyDescent="0.2">
      <c r="B110" s="78"/>
      <c r="F110" s="64"/>
      <c r="J110" s="71"/>
      <c r="L110" s="65"/>
      <c r="M110" s="65"/>
      <c r="N110" s="65"/>
      <c r="O110" s="65"/>
      <c r="P110" s="65"/>
      <c r="Q110" s="65"/>
      <c r="R110" s="65"/>
      <c r="S110" s="65"/>
    </row>
    <row r="111" spans="2:22" s="9" customFormat="1" x14ac:dyDescent="0.2">
      <c r="F111" s="64"/>
      <c r="J111" s="71"/>
      <c r="L111" s="65"/>
      <c r="M111" s="65"/>
      <c r="N111" s="65"/>
      <c r="O111" s="65"/>
      <c r="P111" s="65"/>
      <c r="Q111" s="65"/>
      <c r="R111" s="65"/>
      <c r="S111" s="65"/>
    </row>
    <row r="112" spans="2:22" s="9" customFormat="1" ht="15" x14ac:dyDescent="0.25">
      <c r="B112" s="78"/>
      <c r="F112" s="64"/>
      <c r="J112" s="72"/>
      <c r="L112" s="66"/>
      <c r="M112" s="66"/>
      <c r="N112" s="66"/>
      <c r="O112" s="66"/>
      <c r="P112" s="66"/>
      <c r="Q112" s="66"/>
      <c r="R112" s="66"/>
      <c r="S112" s="66"/>
    </row>
    <row r="113" spans="1:22" s="9" customFormat="1" ht="15" x14ac:dyDescent="0.25">
      <c r="F113" s="64"/>
      <c r="J113" s="71"/>
      <c r="L113" s="65"/>
      <c r="M113" s="65"/>
      <c r="N113" s="65"/>
      <c r="O113" s="65"/>
      <c r="P113" s="65"/>
      <c r="Q113" s="65"/>
      <c r="R113" s="65"/>
      <c r="S113" s="65"/>
      <c r="V113" s="66"/>
    </row>
    <row r="114" spans="1:22" s="9" customFormat="1" ht="15" x14ac:dyDescent="0.25">
      <c r="F114" s="64"/>
      <c r="J114" s="71"/>
      <c r="L114" s="65"/>
      <c r="M114" s="65"/>
      <c r="N114" s="65"/>
      <c r="O114" s="65"/>
      <c r="P114" s="65"/>
      <c r="Q114" s="65"/>
      <c r="R114" s="65"/>
      <c r="S114" s="65"/>
      <c r="V114" s="66"/>
    </row>
    <row r="115" spans="1:22" s="9" customFormat="1" ht="15" x14ac:dyDescent="0.25">
      <c r="F115" s="64"/>
      <c r="J115" s="71"/>
      <c r="L115" s="65"/>
      <c r="M115" s="65"/>
      <c r="N115" s="65"/>
      <c r="O115" s="65"/>
      <c r="P115" s="65"/>
      <c r="Q115" s="65"/>
      <c r="R115" s="65"/>
      <c r="S115" s="65"/>
      <c r="V115" s="66"/>
    </row>
    <row r="116" spans="1:22" s="9" customFormat="1" ht="15" x14ac:dyDescent="0.25">
      <c r="F116" s="64"/>
      <c r="J116" s="71"/>
      <c r="L116" s="65"/>
      <c r="M116" s="65"/>
      <c r="N116" s="65"/>
      <c r="O116" s="65"/>
      <c r="P116" s="65"/>
      <c r="Q116" s="65"/>
      <c r="R116" s="65"/>
      <c r="S116" s="65"/>
      <c r="V116" s="66"/>
    </row>
    <row r="117" spans="1:22" s="9" customFormat="1" x14ac:dyDescent="0.2">
      <c r="F117" s="64"/>
      <c r="J117" s="71"/>
      <c r="L117" s="65"/>
      <c r="M117" s="65"/>
      <c r="N117" s="65"/>
      <c r="O117" s="65"/>
      <c r="P117" s="65"/>
      <c r="Q117" s="65"/>
      <c r="R117" s="65"/>
      <c r="S117" s="65"/>
    </row>
    <row r="118" spans="1:22" s="9" customFormat="1" x14ac:dyDescent="0.2">
      <c r="B118" s="78"/>
      <c r="F118" s="64"/>
      <c r="J118" s="71"/>
      <c r="L118" s="65"/>
      <c r="M118" s="65"/>
      <c r="N118" s="65"/>
      <c r="O118" s="65"/>
      <c r="P118" s="65"/>
      <c r="Q118" s="65"/>
      <c r="R118" s="65"/>
      <c r="S118" s="65"/>
    </row>
    <row r="119" spans="1:22" s="9" customFormat="1" x14ac:dyDescent="0.2">
      <c r="F119" s="64"/>
      <c r="J119" s="71"/>
      <c r="L119" s="65"/>
      <c r="M119" s="65"/>
      <c r="N119" s="65"/>
      <c r="O119" s="65"/>
      <c r="P119" s="65"/>
      <c r="Q119" s="65"/>
      <c r="R119" s="65"/>
      <c r="S119" s="65"/>
    </row>
    <row r="120" spans="1:22" s="9" customFormat="1" x14ac:dyDescent="0.2">
      <c r="B120" s="78"/>
      <c r="F120" s="64"/>
      <c r="J120" s="71"/>
      <c r="L120" s="65"/>
      <c r="M120" s="65"/>
      <c r="N120" s="65"/>
      <c r="O120" s="65"/>
      <c r="P120" s="65"/>
      <c r="Q120" s="65"/>
      <c r="R120" s="65"/>
      <c r="S120" s="65"/>
    </row>
    <row r="121" spans="1:22" s="9" customFormat="1" ht="15" x14ac:dyDescent="0.25">
      <c r="F121" s="64"/>
      <c r="J121" s="71"/>
      <c r="L121" s="65"/>
      <c r="M121" s="65"/>
      <c r="N121" s="65"/>
      <c r="O121" s="65"/>
      <c r="P121" s="65"/>
      <c r="Q121" s="65"/>
      <c r="R121" s="65"/>
      <c r="S121" s="65"/>
      <c r="V121" s="66"/>
    </row>
    <row r="122" spans="1:22" s="9" customFormat="1" ht="15" x14ac:dyDescent="0.25">
      <c r="F122" s="64"/>
      <c r="J122" s="71"/>
      <c r="L122" s="65"/>
      <c r="M122" s="65"/>
      <c r="N122" s="65"/>
      <c r="O122" s="65"/>
      <c r="P122" s="65"/>
      <c r="Q122" s="65"/>
      <c r="R122" s="65"/>
      <c r="S122" s="65"/>
      <c r="V122" s="66"/>
    </row>
    <row r="123" spans="1:22" s="9" customFormat="1" ht="15" x14ac:dyDescent="0.25">
      <c r="F123" s="64"/>
      <c r="J123" s="71"/>
      <c r="L123" s="65"/>
      <c r="M123" s="65"/>
      <c r="N123" s="65"/>
      <c r="O123" s="65"/>
      <c r="P123" s="65"/>
      <c r="Q123" s="65"/>
      <c r="R123" s="65"/>
      <c r="S123" s="65"/>
      <c r="V123" s="66"/>
    </row>
    <row r="124" spans="1:22" s="9" customFormat="1" ht="15" x14ac:dyDescent="0.25">
      <c r="F124" s="64"/>
      <c r="J124" s="71"/>
      <c r="L124" s="65"/>
      <c r="M124" s="65"/>
      <c r="N124" s="65"/>
      <c r="O124" s="65"/>
      <c r="P124" s="65"/>
      <c r="Q124" s="65"/>
      <c r="R124" s="65"/>
      <c r="S124" s="65"/>
      <c r="V124" s="66"/>
    </row>
    <row r="125" spans="1:22" s="9" customFormat="1" x14ac:dyDescent="0.25"/>
    <row r="126" spans="1:22" s="79" customFormat="1" x14ac:dyDescent="0.25">
      <c r="B126" s="80"/>
      <c r="L126" s="81"/>
      <c r="M126" s="81"/>
      <c r="N126" s="81"/>
      <c r="O126" s="81"/>
      <c r="P126" s="81"/>
      <c r="Q126" s="81"/>
      <c r="R126" s="81"/>
      <c r="S126" s="81"/>
    </row>
    <row r="127" spans="1:22" s="66" customFormat="1" ht="15" x14ac:dyDescent="0.25">
      <c r="A127" s="64"/>
      <c r="B127" s="64"/>
      <c r="C127" s="64"/>
      <c r="D127" s="64"/>
      <c r="E127" s="64"/>
      <c r="F127" s="63"/>
      <c r="G127" s="64"/>
      <c r="H127" s="65"/>
      <c r="I127" s="65"/>
      <c r="J127" s="65"/>
      <c r="K127" s="65"/>
      <c r="L127" s="65"/>
      <c r="M127" s="65"/>
      <c r="N127" s="65"/>
    </row>
    <row r="128" spans="1:22" s="66" customFormat="1" ht="15" x14ac:dyDescent="0.25">
      <c r="B128" s="82"/>
      <c r="C128" s="64"/>
      <c r="D128" s="64"/>
      <c r="E128" s="64"/>
      <c r="F128" s="63"/>
      <c r="G128" s="64"/>
      <c r="H128" s="65"/>
      <c r="I128" s="65"/>
      <c r="J128" s="65"/>
      <c r="K128" s="65"/>
      <c r="L128" s="65"/>
      <c r="M128" s="65"/>
      <c r="N128" s="65"/>
    </row>
    <row r="129" spans="2:19" s="66" customFormat="1" ht="15" x14ac:dyDescent="0.25">
      <c r="B129" s="64"/>
      <c r="C129" s="64"/>
      <c r="D129" s="64"/>
      <c r="E129" s="64"/>
      <c r="F129" s="63"/>
      <c r="G129" s="64"/>
      <c r="H129" s="65"/>
      <c r="I129" s="65"/>
      <c r="J129" s="65"/>
      <c r="K129" s="65"/>
      <c r="L129" s="65"/>
      <c r="M129" s="65"/>
      <c r="N129" s="65"/>
    </row>
    <row r="130" spans="2:19" s="66" customFormat="1" ht="15" x14ac:dyDescent="0.25">
      <c r="B130" s="82"/>
      <c r="C130" s="64"/>
      <c r="D130" s="64"/>
      <c r="E130" s="64"/>
      <c r="F130" s="63"/>
      <c r="G130" s="64"/>
      <c r="H130" s="65"/>
      <c r="I130" s="65"/>
      <c r="J130" s="65"/>
      <c r="K130" s="65"/>
      <c r="L130" s="65"/>
      <c r="M130" s="65"/>
      <c r="N130" s="65"/>
    </row>
    <row r="131" spans="2:19" s="66" customFormat="1" ht="15" x14ac:dyDescent="0.25">
      <c r="B131" s="64"/>
      <c r="C131" s="9"/>
      <c r="D131" s="9"/>
      <c r="E131" s="64"/>
      <c r="F131" s="64"/>
      <c r="G131" s="9"/>
      <c r="H131" s="9"/>
      <c r="I131" s="9"/>
      <c r="J131" s="71"/>
      <c r="K131" s="64"/>
      <c r="L131" s="65"/>
      <c r="M131" s="65"/>
      <c r="N131" s="65"/>
      <c r="O131" s="65"/>
      <c r="P131" s="65"/>
      <c r="Q131" s="65"/>
      <c r="R131" s="65"/>
      <c r="S131" s="65"/>
    </row>
    <row r="132" spans="2:19" s="66" customFormat="1" ht="15" x14ac:dyDescent="0.25">
      <c r="B132" s="64"/>
      <c r="C132" s="9"/>
      <c r="D132" s="9"/>
      <c r="E132" s="64"/>
      <c r="F132" s="64"/>
      <c r="G132" s="9"/>
      <c r="H132" s="9"/>
      <c r="I132" s="9"/>
      <c r="J132" s="71"/>
      <c r="K132" s="64"/>
      <c r="L132" s="65"/>
      <c r="M132" s="65"/>
      <c r="N132" s="65"/>
      <c r="O132" s="65"/>
      <c r="P132" s="65"/>
      <c r="Q132" s="65"/>
      <c r="R132" s="65"/>
      <c r="S132" s="65"/>
    </row>
    <row r="133" spans="2:19" s="66" customFormat="1" ht="15" x14ac:dyDescent="0.25">
      <c r="B133" s="64"/>
      <c r="C133" s="9"/>
      <c r="D133" s="9"/>
      <c r="E133" s="64"/>
      <c r="F133" s="64"/>
      <c r="G133" s="9"/>
      <c r="H133" s="9"/>
      <c r="I133" s="9"/>
      <c r="J133" s="71"/>
      <c r="K133" s="64"/>
      <c r="L133" s="65"/>
      <c r="M133" s="65"/>
      <c r="N133" s="65"/>
      <c r="O133" s="65"/>
      <c r="P133" s="65"/>
      <c r="Q133" s="65"/>
      <c r="R133" s="65"/>
      <c r="S133" s="65"/>
    </row>
    <row r="134" spans="2:19" s="66" customFormat="1" ht="15" x14ac:dyDescent="0.25">
      <c r="B134" s="64"/>
      <c r="C134" s="9"/>
      <c r="D134" s="9"/>
      <c r="E134" s="64"/>
      <c r="F134" s="64"/>
      <c r="G134" s="9"/>
      <c r="H134" s="9"/>
      <c r="I134" s="9"/>
      <c r="J134" s="71"/>
      <c r="K134" s="64"/>
      <c r="L134" s="65"/>
      <c r="M134" s="65"/>
      <c r="N134" s="65"/>
      <c r="O134" s="65"/>
      <c r="P134" s="65"/>
      <c r="Q134" s="65"/>
      <c r="R134" s="65"/>
      <c r="S134" s="65"/>
    </row>
    <row r="135" spans="2:19" s="66" customFormat="1" ht="15" x14ac:dyDescent="0.25">
      <c r="B135" s="64"/>
      <c r="C135" s="9"/>
      <c r="D135" s="9"/>
      <c r="E135" s="64"/>
      <c r="F135" s="64"/>
      <c r="G135" s="9"/>
      <c r="H135" s="9"/>
      <c r="I135" s="9"/>
      <c r="J135" s="71"/>
      <c r="K135" s="64"/>
      <c r="L135" s="65"/>
      <c r="M135" s="65"/>
      <c r="N135" s="65"/>
      <c r="O135" s="65"/>
      <c r="P135" s="65"/>
      <c r="Q135" s="65"/>
      <c r="R135" s="65"/>
      <c r="S135" s="65"/>
    </row>
    <row r="136" spans="2:19" s="66" customFormat="1" ht="15" x14ac:dyDescent="0.25">
      <c r="B136" s="64"/>
      <c r="C136" s="9"/>
      <c r="D136" s="9"/>
      <c r="E136" s="64"/>
      <c r="F136" s="64"/>
      <c r="G136" s="9"/>
      <c r="H136" s="9"/>
      <c r="I136" s="9"/>
      <c r="J136" s="71"/>
      <c r="K136" s="64"/>
      <c r="L136" s="65"/>
      <c r="M136" s="65"/>
      <c r="N136" s="65"/>
      <c r="O136" s="65"/>
      <c r="P136" s="65"/>
      <c r="Q136" s="65"/>
      <c r="R136" s="65"/>
      <c r="S136" s="65"/>
    </row>
    <row r="137" spans="2:19" s="66" customFormat="1" ht="15" x14ac:dyDescent="0.25">
      <c r="B137" s="64"/>
      <c r="C137" s="9"/>
      <c r="D137" s="9"/>
      <c r="E137" s="64"/>
      <c r="F137" s="64"/>
      <c r="G137" s="9"/>
      <c r="H137" s="9"/>
      <c r="I137" s="9"/>
      <c r="J137" s="71"/>
      <c r="K137" s="64"/>
      <c r="L137" s="65"/>
      <c r="M137" s="65"/>
      <c r="N137" s="65"/>
      <c r="O137" s="65"/>
      <c r="P137" s="65"/>
      <c r="Q137" s="65"/>
      <c r="R137" s="65"/>
      <c r="S137" s="65"/>
    </row>
    <row r="138" spans="2:19" s="66" customFormat="1" ht="15" x14ac:dyDescent="0.25">
      <c r="B138" s="82"/>
      <c r="C138" s="9"/>
      <c r="D138" s="9"/>
      <c r="E138" s="64"/>
      <c r="F138" s="64"/>
      <c r="G138" s="9"/>
      <c r="H138" s="9"/>
      <c r="I138" s="9"/>
      <c r="J138" s="71"/>
      <c r="K138" s="64"/>
      <c r="L138" s="65"/>
      <c r="M138" s="65"/>
      <c r="N138" s="65"/>
      <c r="O138" s="65"/>
      <c r="P138" s="65"/>
      <c r="Q138" s="65"/>
      <c r="R138" s="65"/>
      <c r="S138" s="65"/>
    </row>
    <row r="139" spans="2:19" s="66" customFormat="1" ht="15" x14ac:dyDescent="0.25">
      <c r="B139" s="64"/>
      <c r="C139" s="9"/>
      <c r="D139" s="9"/>
      <c r="E139" s="64"/>
      <c r="F139" s="64"/>
      <c r="G139" s="9"/>
      <c r="H139" s="9"/>
      <c r="I139" s="9"/>
      <c r="J139" s="71"/>
      <c r="K139" s="64"/>
      <c r="L139" s="65"/>
      <c r="M139" s="65"/>
      <c r="N139" s="65"/>
      <c r="O139" s="65"/>
      <c r="P139" s="65"/>
      <c r="Q139" s="65"/>
      <c r="R139" s="65"/>
      <c r="S139" s="65"/>
    </row>
    <row r="140" spans="2:19" s="66" customFormat="1" ht="15" x14ac:dyDescent="0.25">
      <c r="B140" s="64"/>
      <c r="C140" s="9"/>
      <c r="D140" s="9"/>
      <c r="E140" s="64"/>
      <c r="F140" s="64"/>
      <c r="G140" s="9"/>
      <c r="H140" s="9"/>
      <c r="I140" s="9"/>
      <c r="J140" s="71"/>
      <c r="K140" s="64"/>
      <c r="L140" s="65"/>
      <c r="M140" s="65"/>
      <c r="N140" s="65"/>
      <c r="O140" s="65"/>
      <c r="P140" s="65"/>
      <c r="Q140" s="65"/>
      <c r="R140" s="65"/>
      <c r="S140" s="65"/>
    </row>
    <row r="141" spans="2:19" s="66" customFormat="1" ht="15" x14ac:dyDescent="0.25">
      <c r="B141" s="64"/>
      <c r="C141" s="9"/>
      <c r="D141" s="9"/>
      <c r="E141" s="64"/>
      <c r="F141" s="64"/>
      <c r="G141" s="9"/>
      <c r="H141" s="9"/>
      <c r="I141" s="9"/>
      <c r="J141" s="71"/>
      <c r="K141" s="64"/>
      <c r="L141" s="65"/>
      <c r="M141" s="65"/>
      <c r="N141" s="65"/>
      <c r="O141" s="65"/>
      <c r="P141" s="65"/>
      <c r="Q141" s="65"/>
      <c r="R141" s="65"/>
      <c r="S141" s="65"/>
    </row>
    <row r="142" spans="2:19" s="66" customFormat="1" ht="15" x14ac:dyDescent="0.25">
      <c r="B142" s="64"/>
      <c r="C142" s="9"/>
      <c r="D142" s="9"/>
      <c r="E142" s="64"/>
      <c r="F142" s="64"/>
      <c r="G142" s="9"/>
      <c r="H142" s="9"/>
      <c r="I142" s="9"/>
      <c r="J142" s="71"/>
      <c r="K142" s="64"/>
      <c r="L142" s="65"/>
      <c r="M142" s="65"/>
      <c r="N142" s="65"/>
      <c r="O142" s="65"/>
      <c r="P142" s="65"/>
      <c r="Q142" s="65"/>
      <c r="R142" s="65"/>
      <c r="S142" s="65"/>
    </row>
    <row r="143" spans="2:19" s="66" customFormat="1" ht="15" x14ac:dyDescent="0.25">
      <c r="B143" s="64"/>
      <c r="C143" s="9"/>
      <c r="D143" s="9"/>
      <c r="E143" s="64"/>
      <c r="F143" s="64"/>
      <c r="G143" s="9"/>
      <c r="H143" s="9"/>
      <c r="I143" s="9"/>
      <c r="J143" s="71"/>
      <c r="K143" s="64"/>
      <c r="L143" s="65"/>
      <c r="M143" s="65"/>
      <c r="N143" s="65"/>
      <c r="O143" s="65"/>
      <c r="P143" s="65"/>
      <c r="Q143" s="65"/>
      <c r="R143" s="65"/>
      <c r="S143" s="65"/>
    </row>
    <row r="144" spans="2:19" s="66" customFormat="1" ht="15" x14ac:dyDescent="0.25">
      <c r="B144" s="64"/>
      <c r="C144" s="9"/>
      <c r="D144" s="9"/>
      <c r="E144" s="64"/>
      <c r="F144" s="64"/>
      <c r="G144" s="9"/>
      <c r="H144" s="9"/>
      <c r="I144" s="9"/>
      <c r="J144" s="71"/>
      <c r="K144" s="64"/>
      <c r="L144" s="65"/>
      <c r="M144" s="65"/>
      <c r="N144" s="65"/>
      <c r="O144" s="65"/>
      <c r="P144" s="65"/>
      <c r="Q144" s="65"/>
      <c r="R144" s="65"/>
      <c r="S144" s="65"/>
    </row>
    <row r="145" spans="2:19" s="66" customFormat="1" ht="15" x14ac:dyDescent="0.25">
      <c r="B145" s="82"/>
      <c r="C145" s="9"/>
      <c r="D145" s="9"/>
      <c r="E145" s="64"/>
      <c r="F145" s="64"/>
      <c r="G145" s="9"/>
      <c r="H145" s="9"/>
      <c r="I145" s="9"/>
      <c r="J145" s="71"/>
      <c r="K145" s="64"/>
      <c r="L145" s="65"/>
      <c r="M145" s="65"/>
      <c r="N145" s="65"/>
      <c r="O145" s="65"/>
      <c r="P145" s="65"/>
      <c r="Q145" s="65"/>
      <c r="R145" s="65"/>
      <c r="S145" s="65"/>
    </row>
    <row r="146" spans="2:19" s="66" customFormat="1" ht="15" x14ac:dyDescent="0.25">
      <c r="B146" s="64"/>
      <c r="C146" s="9"/>
      <c r="D146" s="9"/>
      <c r="E146" s="64"/>
      <c r="F146" s="64"/>
      <c r="G146" s="9"/>
      <c r="H146" s="9"/>
      <c r="I146" s="9"/>
      <c r="J146" s="71"/>
      <c r="K146" s="64"/>
      <c r="L146" s="65"/>
      <c r="M146" s="65"/>
      <c r="N146" s="65"/>
      <c r="O146" s="65"/>
      <c r="P146" s="65"/>
      <c r="Q146" s="65"/>
      <c r="R146" s="65"/>
      <c r="S146" s="65"/>
    </row>
    <row r="147" spans="2:19" s="66" customFormat="1" ht="15" x14ac:dyDescent="0.25">
      <c r="B147" s="82"/>
      <c r="C147" s="9"/>
      <c r="D147" s="9"/>
      <c r="E147" s="64"/>
      <c r="F147" s="64"/>
      <c r="G147" s="9"/>
      <c r="H147" s="9"/>
      <c r="I147" s="9"/>
      <c r="J147" s="72"/>
      <c r="K147" s="64"/>
      <c r="L147" s="65"/>
      <c r="M147" s="65"/>
      <c r="N147" s="65"/>
      <c r="O147" s="65"/>
      <c r="P147" s="65"/>
      <c r="Q147" s="65"/>
      <c r="R147" s="65"/>
      <c r="S147" s="65"/>
    </row>
    <row r="148" spans="2:19" s="66" customFormat="1" ht="15" x14ac:dyDescent="0.25">
      <c r="B148" s="64"/>
      <c r="C148" s="9"/>
      <c r="D148" s="9"/>
      <c r="E148" s="64"/>
      <c r="F148" s="64"/>
      <c r="G148" s="9"/>
      <c r="H148" s="9"/>
      <c r="I148" s="9"/>
      <c r="J148" s="71"/>
      <c r="K148" s="64"/>
      <c r="L148" s="65"/>
      <c r="M148" s="65"/>
      <c r="N148" s="65"/>
      <c r="O148" s="65"/>
      <c r="P148" s="65"/>
      <c r="Q148" s="65"/>
      <c r="R148" s="65"/>
      <c r="S148" s="65"/>
    </row>
    <row r="149" spans="2:19" s="66" customFormat="1" ht="15" x14ac:dyDescent="0.25">
      <c r="B149" s="64"/>
      <c r="C149" s="9"/>
      <c r="D149" s="9"/>
      <c r="E149" s="64"/>
      <c r="F149" s="64"/>
      <c r="G149" s="9"/>
      <c r="H149" s="9"/>
      <c r="I149" s="9"/>
      <c r="J149" s="71"/>
      <c r="K149" s="64"/>
      <c r="L149" s="65"/>
      <c r="M149" s="65"/>
      <c r="N149" s="65"/>
      <c r="O149" s="65"/>
      <c r="P149" s="65"/>
      <c r="Q149" s="65"/>
      <c r="R149" s="65"/>
      <c r="S149" s="65"/>
    </row>
    <row r="150" spans="2:19" s="66" customFormat="1" ht="15" x14ac:dyDescent="0.25">
      <c r="C150" s="9"/>
      <c r="D150" s="9"/>
      <c r="E150" s="64"/>
      <c r="F150" s="64"/>
      <c r="G150" s="9"/>
      <c r="H150" s="9"/>
      <c r="I150" s="9"/>
      <c r="J150" s="71"/>
      <c r="K150" s="64"/>
      <c r="L150" s="65"/>
      <c r="M150" s="65"/>
      <c r="N150" s="65"/>
      <c r="O150" s="65"/>
      <c r="P150" s="65"/>
      <c r="Q150" s="65"/>
      <c r="R150" s="65"/>
      <c r="S150" s="65"/>
    </row>
    <row r="151" spans="2:19" s="66" customFormat="1" ht="15" x14ac:dyDescent="0.25">
      <c r="B151" s="64"/>
      <c r="C151" s="9"/>
      <c r="D151" s="9"/>
      <c r="E151" s="64"/>
      <c r="F151" s="64"/>
      <c r="G151" s="9"/>
      <c r="H151" s="9"/>
      <c r="I151" s="9"/>
      <c r="J151" s="71"/>
      <c r="K151" s="64"/>
      <c r="L151" s="65"/>
      <c r="M151" s="65"/>
      <c r="N151" s="65"/>
      <c r="O151" s="65"/>
      <c r="P151" s="65"/>
      <c r="Q151" s="65"/>
      <c r="R151" s="65"/>
      <c r="S151" s="65"/>
    </row>
    <row r="152" spans="2:19" s="66" customFormat="1" ht="15" x14ac:dyDescent="0.25">
      <c r="B152" s="64"/>
      <c r="C152" s="9"/>
      <c r="D152" s="9"/>
      <c r="E152" s="64"/>
      <c r="F152" s="64"/>
      <c r="G152" s="9"/>
      <c r="H152" s="9"/>
      <c r="I152" s="9"/>
      <c r="J152" s="71"/>
      <c r="K152" s="64"/>
      <c r="L152" s="65"/>
      <c r="M152" s="65"/>
      <c r="N152" s="65"/>
      <c r="O152" s="65"/>
      <c r="P152" s="65"/>
      <c r="Q152" s="65"/>
      <c r="R152" s="65"/>
      <c r="S152" s="65"/>
    </row>
    <row r="153" spans="2:19" s="66" customFormat="1" ht="15" x14ac:dyDescent="0.25">
      <c r="B153" s="82"/>
      <c r="C153" s="9"/>
      <c r="D153" s="9"/>
      <c r="E153" s="64"/>
      <c r="F153" s="64"/>
      <c r="G153" s="9"/>
      <c r="H153" s="9"/>
      <c r="I153" s="9"/>
      <c r="J153" s="71"/>
      <c r="K153" s="64"/>
      <c r="L153" s="65"/>
      <c r="M153" s="65"/>
      <c r="N153" s="65"/>
      <c r="O153" s="65"/>
      <c r="P153" s="65"/>
      <c r="Q153" s="65"/>
      <c r="R153" s="65"/>
      <c r="S153" s="65"/>
    </row>
    <row r="154" spans="2:19" s="66" customFormat="1" ht="15" x14ac:dyDescent="0.25">
      <c r="B154" s="64"/>
      <c r="C154" s="9"/>
      <c r="D154" s="9"/>
      <c r="E154" s="64"/>
      <c r="F154" s="64"/>
      <c r="G154" s="9"/>
      <c r="H154" s="9"/>
      <c r="I154" s="9"/>
      <c r="J154" s="71"/>
      <c r="K154" s="64"/>
      <c r="L154" s="65"/>
      <c r="M154" s="65"/>
      <c r="N154" s="65"/>
      <c r="O154" s="65"/>
      <c r="P154" s="65"/>
      <c r="Q154" s="65"/>
      <c r="R154" s="65"/>
      <c r="S154" s="65"/>
    </row>
    <row r="155" spans="2:19" s="66" customFormat="1" ht="15" x14ac:dyDescent="0.25">
      <c r="B155" s="82"/>
      <c r="C155" s="9"/>
      <c r="D155" s="9"/>
      <c r="E155" s="64"/>
      <c r="F155" s="64"/>
      <c r="G155" s="9"/>
      <c r="H155" s="9"/>
      <c r="I155" s="9"/>
      <c r="J155" s="71"/>
      <c r="K155" s="64"/>
      <c r="L155" s="65"/>
      <c r="M155" s="65"/>
      <c r="N155" s="65"/>
      <c r="O155" s="65"/>
      <c r="P155" s="65"/>
      <c r="Q155" s="65"/>
      <c r="R155" s="65"/>
      <c r="S155" s="65"/>
    </row>
    <row r="156" spans="2:19" s="66" customFormat="1" ht="15" x14ac:dyDescent="0.25">
      <c r="B156" s="64"/>
      <c r="C156" s="9"/>
      <c r="D156" s="9"/>
      <c r="E156" s="64"/>
      <c r="F156" s="64"/>
      <c r="G156" s="9"/>
      <c r="H156" s="9"/>
      <c r="I156" s="9"/>
      <c r="J156" s="71"/>
      <c r="K156" s="64"/>
      <c r="L156" s="65"/>
      <c r="M156" s="65"/>
      <c r="N156" s="65"/>
      <c r="O156" s="65"/>
      <c r="P156" s="65"/>
      <c r="Q156" s="65"/>
      <c r="R156" s="65"/>
      <c r="S156" s="65"/>
    </row>
    <row r="157" spans="2:19" s="66" customFormat="1" ht="15" x14ac:dyDescent="0.25">
      <c r="B157" s="64"/>
      <c r="C157" s="9"/>
      <c r="D157" s="9"/>
      <c r="E157" s="64"/>
      <c r="F157" s="64"/>
      <c r="G157" s="9"/>
      <c r="H157" s="9"/>
      <c r="I157" s="9"/>
      <c r="J157" s="71"/>
      <c r="K157" s="64"/>
      <c r="L157" s="65"/>
      <c r="M157" s="65"/>
      <c r="N157" s="65"/>
      <c r="O157" s="65"/>
      <c r="P157" s="65"/>
      <c r="Q157" s="65"/>
      <c r="R157" s="65"/>
      <c r="S157" s="65"/>
    </row>
    <row r="158" spans="2:19" s="66" customFormat="1" ht="15" x14ac:dyDescent="0.25">
      <c r="B158" s="64"/>
      <c r="C158" s="9"/>
      <c r="D158" s="9"/>
      <c r="E158" s="64"/>
      <c r="F158" s="64"/>
      <c r="G158" s="9"/>
      <c r="H158" s="9"/>
      <c r="I158" s="9"/>
      <c r="J158" s="71"/>
      <c r="K158" s="64"/>
      <c r="L158" s="65"/>
      <c r="M158" s="65"/>
      <c r="N158" s="65"/>
      <c r="O158" s="65"/>
      <c r="P158" s="65"/>
      <c r="Q158" s="65"/>
      <c r="R158" s="65"/>
      <c r="S158" s="65"/>
    </row>
    <row r="159" spans="2:19" s="66" customFormat="1" ht="15" x14ac:dyDescent="0.25">
      <c r="B159" s="64"/>
      <c r="C159" s="9"/>
      <c r="D159" s="9"/>
      <c r="E159" s="64"/>
      <c r="F159" s="64"/>
      <c r="G159" s="9"/>
      <c r="H159" s="9"/>
      <c r="I159" s="9"/>
      <c r="J159" s="71"/>
      <c r="K159" s="64"/>
      <c r="L159" s="65"/>
      <c r="M159" s="65"/>
      <c r="N159" s="65"/>
      <c r="O159" s="65"/>
      <c r="P159" s="65"/>
      <c r="Q159" s="65"/>
      <c r="R159" s="65"/>
      <c r="S159" s="65"/>
    </row>
    <row r="160" spans="2:19" s="66" customFormat="1" ht="15" x14ac:dyDescent="0.25">
      <c r="C160" s="9"/>
      <c r="D160" s="9"/>
      <c r="J160" s="72"/>
    </row>
    <row r="161" spans="1:19" s="79" customFormat="1" x14ac:dyDescent="0.25"/>
    <row r="162" spans="1:19" s="66" customFormat="1" ht="15" x14ac:dyDescent="0.25">
      <c r="A162" s="64"/>
      <c r="B162" s="64"/>
      <c r="C162" s="64"/>
      <c r="D162" s="64"/>
      <c r="E162" s="64"/>
      <c r="F162" s="63"/>
      <c r="G162" s="64"/>
      <c r="H162" s="65"/>
      <c r="I162" s="65"/>
      <c r="J162" s="65"/>
      <c r="K162" s="65"/>
      <c r="L162" s="65"/>
      <c r="M162" s="65"/>
      <c r="N162" s="65"/>
    </row>
    <row r="163" spans="1:19" s="66" customFormat="1" ht="15" x14ac:dyDescent="0.25">
      <c r="B163" s="82"/>
      <c r="C163" s="64"/>
      <c r="D163" s="64"/>
      <c r="E163" s="64"/>
      <c r="F163" s="63"/>
      <c r="G163" s="64"/>
      <c r="H163" s="65"/>
      <c r="I163" s="65"/>
      <c r="J163" s="65"/>
      <c r="K163" s="65"/>
      <c r="L163" s="65"/>
      <c r="M163" s="65"/>
      <c r="N163" s="65"/>
    </row>
    <row r="164" spans="1:19" s="66" customFormat="1" ht="15" x14ac:dyDescent="0.25">
      <c r="B164" s="64"/>
      <c r="C164" s="64"/>
      <c r="D164" s="64"/>
      <c r="E164" s="64"/>
      <c r="F164" s="63"/>
      <c r="G164" s="64"/>
      <c r="H164" s="65"/>
      <c r="I164" s="65"/>
      <c r="J164" s="65"/>
      <c r="K164" s="65"/>
      <c r="L164" s="65"/>
      <c r="M164" s="65"/>
      <c r="N164" s="65"/>
    </row>
    <row r="165" spans="1:19" s="66" customFormat="1" ht="15" x14ac:dyDescent="0.25">
      <c r="B165" s="82"/>
      <c r="C165" s="64"/>
      <c r="D165" s="64"/>
      <c r="E165" s="64"/>
      <c r="F165" s="63"/>
      <c r="G165" s="64"/>
      <c r="H165" s="65"/>
      <c r="I165" s="65"/>
      <c r="J165" s="65"/>
      <c r="K165" s="65"/>
      <c r="L165" s="65"/>
      <c r="M165" s="65"/>
      <c r="N165" s="65"/>
    </row>
    <row r="166" spans="1:19" s="66" customFormat="1" ht="15" x14ac:dyDescent="0.25">
      <c r="B166" s="64"/>
      <c r="C166" s="64"/>
      <c r="D166" s="9"/>
      <c r="E166" s="64"/>
      <c r="F166" s="64"/>
      <c r="G166" s="64"/>
      <c r="H166" s="9"/>
      <c r="I166" s="9"/>
      <c r="J166" s="9"/>
      <c r="K166" s="9"/>
      <c r="L166" s="69"/>
      <c r="M166" s="69"/>
      <c r="N166" s="69"/>
      <c r="O166" s="69"/>
      <c r="P166" s="69"/>
      <c r="Q166" s="69"/>
      <c r="R166" s="69"/>
      <c r="S166" s="69"/>
    </row>
    <row r="167" spans="1:19" s="66" customFormat="1" ht="15" x14ac:dyDescent="0.25">
      <c r="B167" s="64"/>
      <c r="C167" s="64"/>
      <c r="D167" s="9"/>
      <c r="E167" s="64"/>
      <c r="F167" s="64"/>
      <c r="G167" s="64"/>
      <c r="H167" s="9"/>
      <c r="I167" s="9"/>
      <c r="J167" s="9"/>
      <c r="K167" s="9"/>
      <c r="L167" s="69"/>
      <c r="M167" s="69"/>
      <c r="N167" s="69"/>
      <c r="O167" s="69"/>
      <c r="P167" s="69"/>
      <c r="Q167" s="69"/>
      <c r="R167" s="69"/>
      <c r="S167" s="69"/>
    </row>
    <row r="168" spans="1:19" s="66" customFormat="1" ht="15" x14ac:dyDescent="0.25">
      <c r="B168" s="64"/>
      <c r="C168" s="64"/>
      <c r="D168" s="9"/>
      <c r="E168" s="64"/>
      <c r="F168" s="64"/>
      <c r="G168" s="64"/>
      <c r="H168" s="9"/>
      <c r="I168" s="9"/>
      <c r="J168" s="9"/>
      <c r="K168" s="9"/>
      <c r="L168" s="69"/>
      <c r="M168" s="69"/>
      <c r="N168" s="69"/>
      <c r="O168" s="69"/>
      <c r="P168" s="69"/>
      <c r="Q168" s="69"/>
      <c r="R168" s="69"/>
      <c r="S168" s="69"/>
    </row>
    <row r="169" spans="1:19" s="66" customFormat="1" ht="15" x14ac:dyDescent="0.25">
      <c r="B169" s="82"/>
      <c r="C169" s="64"/>
      <c r="D169" s="9"/>
      <c r="E169" s="64"/>
      <c r="F169" s="64"/>
      <c r="G169" s="64"/>
      <c r="H169" s="9"/>
      <c r="I169" s="9"/>
      <c r="J169" s="9"/>
      <c r="K169" s="9"/>
      <c r="L169" s="69"/>
      <c r="M169" s="69"/>
      <c r="N169" s="69"/>
      <c r="O169" s="69"/>
      <c r="P169" s="69"/>
      <c r="Q169" s="69"/>
      <c r="R169" s="69"/>
      <c r="S169" s="69"/>
    </row>
    <row r="170" spans="1:19" s="66" customFormat="1" ht="15" x14ac:dyDescent="0.25">
      <c r="B170" s="64"/>
      <c r="C170" s="64"/>
      <c r="D170" s="9"/>
      <c r="E170" s="64"/>
      <c r="F170" s="64"/>
      <c r="G170" s="64"/>
      <c r="H170" s="9"/>
      <c r="I170" s="9"/>
      <c r="J170" s="9"/>
      <c r="K170" s="9"/>
      <c r="L170" s="69"/>
      <c r="M170" s="69"/>
      <c r="N170" s="69"/>
      <c r="O170" s="69"/>
      <c r="P170" s="69"/>
      <c r="Q170" s="69"/>
      <c r="R170" s="69"/>
      <c r="S170" s="69"/>
    </row>
    <row r="171" spans="1:19" s="66" customFormat="1" ht="15" x14ac:dyDescent="0.25">
      <c r="B171" s="64"/>
      <c r="C171" s="64"/>
      <c r="D171" s="9"/>
      <c r="E171" s="64"/>
      <c r="F171" s="64"/>
      <c r="G171" s="64"/>
      <c r="H171" s="9"/>
      <c r="I171" s="9"/>
      <c r="J171" s="9"/>
      <c r="K171" s="9"/>
      <c r="L171" s="69"/>
      <c r="M171" s="69"/>
      <c r="N171" s="69"/>
      <c r="O171" s="69"/>
      <c r="P171" s="69"/>
      <c r="Q171" s="69"/>
      <c r="R171" s="69"/>
      <c r="S171" s="69"/>
    </row>
    <row r="172" spans="1:19" s="66" customFormat="1" ht="15" x14ac:dyDescent="0.25">
      <c r="B172" s="64"/>
      <c r="C172" s="64"/>
      <c r="D172" s="9"/>
      <c r="E172" s="64"/>
      <c r="F172" s="64"/>
      <c r="G172" s="64"/>
      <c r="H172" s="9"/>
      <c r="I172" s="9"/>
      <c r="J172" s="9"/>
      <c r="K172" s="9"/>
      <c r="L172" s="69"/>
      <c r="M172" s="69"/>
      <c r="N172" s="69"/>
      <c r="O172" s="69"/>
      <c r="P172" s="69"/>
      <c r="Q172" s="69"/>
      <c r="R172" s="69"/>
      <c r="S172" s="69"/>
    </row>
    <row r="173" spans="1:19" s="66" customFormat="1" ht="15" x14ac:dyDescent="0.25">
      <c r="B173" s="82"/>
      <c r="C173" s="64"/>
      <c r="D173" s="9"/>
      <c r="E173" s="64"/>
      <c r="F173" s="64"/>
      <c r="G173" s="63"/>
      <c r="H173" s="9"/>
      <c r="I173" s="9"/>
      <c r="J173" s="9"/>
      <c r="K173" s="9"/>
      <c r="L173" s="83"/>
      <c r="M173" s="83"/>
      <c r="N173" s="83"/>
      <c r="O173" s="83"/>
      <c r="P173" s="83"/>
      <c r="Q173" s="83"/>
      <c r="R173" s="69"/>
      <c r="S173" s="69"/>
    </row>
    <row r="174" spans="1:19" s="66" customFormat="1" ht="15" x14ac:dyDescent="0.25">
      <c r="B174" s="64"/>
      <c r="C174" s="64"/>
      <c r="D174" s="9"/>
      <c r="E174" s="64"/>
      <c r="F174" s="64"/>
      <c r="G174" s="64"/>
      <c r="H174" s="9"/>
      <c r="I174" s="9"/>
      <c r="J174" s="9"/>
      <c r="K174" s="9"/>
      <c r="L174" s="69"/>
      <c r="M174" s="69"/>
      <c r="N174" s="69"/>
      <c r="O174" s="69"/>
      <c r="P174" s="69"/>
      <c r="Q174" s="69"/>
      <c r="R174" s="69"/>
      <c r="S174" s="69"/>
    </row>
    <row r="175" spans="1:19" s="66" customFormat="1" ht="15" x14ac:dyDescent="0.25">
      <c r="B175" s="64"/>
      <c r="C175" s="64"/>
      <c r="D175" s="9"/>
      <c r="E175" s="64"/>
      <c r="F175" s="64"/>
      <c r="G175" s="64"/>
      <c r="H175" s="9"/>
      <c r="I175" s="9"/>
      <c r="J175" s="9"/>
      <c r="K175" s="9"/>
      <c r="L175" s="69"/>
      <c r="M175" s="69"/>
      <c r="N175" s="69"/>
      <c r="O175" s="69"/>
      <c r="P175" s="69"/>
      <c r="Q175" s="69"/>
      <c r="R175" s="69"/>
      <c r="S175" s="69"/>
    </row>
    <row r="176" spans="1:19" s="66" customFormat="1" ht="15" x14ac:dyDescent="0.25">
      <c r="B176" s="64"/>
      <c r="C176" s="64"/>
      <c r="D176" s="9"/>
      <c r="E176" s="64"/>
      <c r="F176" s="64"/>
      <c r="G176" s="64"/>
      <c r="H176" s="9"/>
      <c r="I176" s="9"/>
      <c r="J176" s="9"/>
      <c r="K176" s="9"/>
      <c r="L176" s="69"/>
      <c r="M176" s="69"/>
      <c r="N176" s="69"/>
      <c r="O176" s="69"/>
      <c r="P176" s="69"/>
      <c r="Q176" s="69"/>
      <c r="R176" s="69"/>
      <c r="S176" s="69"/>
    </row>
    <row r="177" spans="2:19" s="66" customFormat="1" ht="15" x14ac:dyDescent="0.25">
      <c r="B177" s="64"/>
      <c r="C177" s="64"/>
      <c r="D177" s="9"/>
      <c r="E177" s="64"/>
      <c r="F177" s="64"/>
      <c r="G177" s="64"/>
      <c r="H177" s="9"/>
      <c r="I177" s="9"/>
      <c r="J177" s="9"/>
      <c r="K177" s="9"/>
      <c r="L177" s="69"/>
      <c r="M177" s="69"/>
      <c r="N177" s="69"/>
      <c r="O177" s="69"/>
      <c r="P177" s="69"/>
      <c r="Q177" s="69"/>
      <c r="R177" s="69"/>
      <c r="S177" s="69"/>
    </row>
    <row r="178" spans="2:19" s="66" customFormat="1" ht="15" x14ac:dyDescent="0.25">
      <c r="D178" s="9"/>
      <c r="H178" s="9"/>
      <c r="I178" s="9"/>
      <c r="J178" s="9"/>
      <c r="K178" s="9"/>
      <c r="L178" s="68"/>
      <c r="M178" s="68"/>
      <c r="N178" s="68"/>
      <c r="O178" s="68"/>
      <c r="P178" s="68"/>
      <c r="Q178" s="68"/>
      <c r="R178" s="68"/>
      <c r="S178" s="68"/>
    </row>
    <row r="179" spans="2:19" s="66" customFormat="1" ht="15" x14ac:dyDescent="0.25">
      <c r="B179" s="84"/>
      <c r="D179" s="9"/>
      <c r="H179" s="9"/>
      <c r="I179" s="9"/>
      <c r="J179" s="9"/>
      <c r="K179" s="9"/>
      <c r="L179" s="68"/>
      <c r="M179" s="68"/>
      <c r="N179" s="68"/>
      <c r="O179" s="68"/>
      <c r="P179" s="68"/>
      <c r="Q179" s="68"/>
      <c r="R179" s="68"/>
      <c r="S179" s="68"/>
    </row>
    <row r="180" spans="2:19" s="66" customFormat="1" ht="15" x14ac:dyDescent="0.25">
      <c r="D180" s="9"/>
      <c r="H180" s="9"/>
      <c r="I180" s="9"/>
      <c r="J180" s="9"/>
      <c r="K180" s="9"/>
      <c r="L180" s="68"/>
      <c r="M180" s="68"/>
      <c r="N180" s="68"/>
      <c r="O180" s="68"/>
      <c r="P180" s="68"/>
      <c r="Q180" s="68"/>
      <c r="R180" s="68"/>
      <c r="S180" s="68"/>
    </row>
    <row r="181" spans="2:19" s="66" customFormat="1" ht="15" x14ac:dyDescent="0.25">
      <c r="D181" s="9"/>
      <c r="F181" s="64"/>
      <c r="H181" s="9"/>
      <c r="I181" s="9"/>
      <c r="J181" s="9"/>
      <c r="K181" s="9"/>
      <c r="L181" s="68"/>
      <c r="M181" s="68"/>
      <c r="N181" s="68"/>
      <c r="O181" s="68"/>
      <c r="P181" s="68"/>
      <c r="Q181" s="69"/>
      <c r="R181" s="68"/>
      <c r="S181" s="68"/>
    </row>
    <row r="182" spans="2:19" s="66" customFormat="1" ht="15" x14ac:dyDescent="0.25">
      <c r="D182" s="9"/>
      <c r="F182" s="64"/>
      <c r="H182" s="9"/>
      <c r="I182" s="9"/>
      <c r="J182" s="9"/>
      <c r="K182" s="9"/>
      <c r="L182" s="68"/>
      <c r="M182" s="68"/>
      <c r="N182" s="68"/>
      <c r="O182" s="69"/>
      <c r="P182" s="68"/>
      <c r="Q182" s="68"/>
      <c r="R182" s="68"/>
      <c r="S182" s="68"/>
    </row>
    <row r="183" spans="2:19" s="66" customFormat="1" ht="15" x14ac:dyDescent="0.25"/>
    <row r="184" spans="2:19" s="66" customFormat="1" ht="15" x14ac:dyDescent="0.25"/>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2:AA176"/>
  <sheetViews>
    <sheetView showGridLines="0" zoomScale="85" zoomScaleNormal="85" workbookViewId="0">
      <pane xSplit="6" ySplit="11" topLeftCell="G12" activePane="bottomRight" state="frozen"/>
      <selection activeCell="Q51" sqref="Q51"/>
      <selection pane="topRight" activeCell="Q51" sqref="Q51"/>
      <selection pane="bottomLeft" activeCell="Q51" sqref="Q51"/>
      <selection pane="bottomRight"/>
    </sheetView>
  </sheetViews>
  <sheetFormatPr defaultRowHeight="12.75" x14ac:dyDescent="0.2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9" width="12.5703125" style="2" customWidth="1"/>
    <col min="20" max="21" width="2.7109375" style="2" customWidth="1"/>
    <col min="22" max="22" width="17.140625" style="2" customWidth="1"/>
    <col min="23" max="23" width="2.7109375" style="2" customWidth="1"/>
    <col min="24" max="24" width="13.7109375" style="2" customWidth="1"/>
    <col min="25" max="25" width="2.7109375" style="2" customWidth="1"/>
    <col min="26" max="40" width="13.7109375" style="2" customWidth="1"/>
    <col min="41" max="16384" width="9.140625" style="2"/>
  </cols>
  <sheetData>
    <row r="2" spans="2:24" s="32" customFormat="1" ht="18" x14ac:dyDescent="0.25">
      <c r="B2" s="32" t="s">
        <v>190</v>
      </c>
    </row>
    <row r="4" spans="2:24" x14ac:dyDescent="0.25">
      <c r="B4" s="1" t="s">
        <v>31</v>
      </c>
      <c r="C4" s="1"/>
      <c r="D4" s="1"/>
      <c r="L4" s="44"/>
      <c r="M4" s="44"/>
    </row>
    <row r="6" spans="2:24" x14ac:dyDescent="0.25">
      <c r="B6" s="2" t="s">
        <v>231</v>
      </c>
    </row>
    <row r="7" spans="2:24" x14ac:dyDescent="0.25">
      <c r="B7" s="2" t="s">
        <v>232</v>
      </c>
    </row>
    <row r="8" spans="2:24" x14ac:dyDescent="0.25">
      <c r="B8" s="2" t="s">
        <v>278</v>
      </c>
    </row>
    <row r="10" spans="2:24" s="8" customFormat="1" x14ac:dyDescent="0.25">
      <c r="B10" s="8" t="s">
        <v>47</v>
      </c>
      <c r="F10" s="8" t="s">
        <v>29</v>
      </c>
      <c r="H10" s="8" t="s">
        <v>30</v>
      </c>
      <c r="J10" s="8" t="s">
        <v>51</v>
      </c>
      <c r="L10" s="8" t="s">
        <v>177</v>
      </c>
      <c r="M10" s="8" t="s">
        <v>68</v>
      </c>
      <c r="N10" s="8" t="s">
        <v>69</v>
      </c>
      <c r="O10" s="8" t="s">
        <v>70</v>
      </c>
      <c r="P10" s="8" t="s">
        <v>71</v>
      </c>
      <c r="Q10" s="8" t="s">
        <v>72</v>
      </c>
      <c r="R10" s="8" t="s">
        <v>73</v>
      </c>
      <c r="S10" s="8" t="s">
        <v>74</v>
      </c>
      <c r="V10" s="8" t="s">
        <v>48</v>
      </c>
      <c r="X10" s="8" t="s">
        <v>49</v>
      </c>
    </row>
    <row r="13" spans="2:24" s="8" customFormat="1" x14ac:dyDescent="0.25">
      <c r="B13" s="8" t="s">
        <v>109</v>
      </c>
    </row>
    <row r="15" spans="2:24" x14ac:dyDescent="0.25">
      <c r="B15" s="45" t="s">
        <v>77</v>
      </c>
    </row>
    <row r="17" spans="2:22" x14ac:dyDescent="0.25">
      <c r="B17" s="45" t="s">
        <v>78</v>
      </c>
    </row>
    <row r="18" spans="2:22" ht="15" x14ac:dyDescent="0.25">
      <c r="B18" s="2" t="s">
        <v>79</v>
      </c>
      <c r="F18" s="46" t="s">
        <v>80</v>
      </c>
      <c r="J18" s="71"/>
      <c r="L18" s="47"/>
      <c r="M18" s="47"/>
      <c r="N18" s="47"/>
      <c r="O18" s="47"/>
      <c r="P18" s="47"/>
      <c r="Q18" s="47"/>
      <c r="R18" s="47"/>
      <c r="S18" s="47"/>
      <c r="V18" t="s">
        <v>221</v>
      </c>
    </row>
    <row r="19" spans="2:22" ht="15" x14ac:dyDescent="0.25">
      <c r="B19" s="2" t="s">
        <v>82</v>
      </c>
      <c r="F19" s="46" t="s">
        <v>80</v>
      </c>
      <c r="J19" s="71"/>
      <c r="L19" s="47"/>
      <c r="M19" s="47"/>
      <c r="N19" s="47"/>
      <c r="O19" s="47"/>
      <c r="P19" s="47"/>
      <c r="Q19" s="47"/>
      <c r="R19" s="47"/>
      <c r="S19" s="47"/>
      <c r="V19"/>
    </row>
    <row r="20" spans="2:22" ht="15" x14ac:dyDescent="0.25">
      <c r="B20" s="2" t="s">
        <v>83</v>
      </c>
      <c r="F20" s="46" t="s">
        <v>80</v>
      </c>
      <c r="J20" s="71"/>
      <c r="L20" s="47"/>
      <c r="M20" s="47"/>
      <c r="N20" s="47"/>
      <c r="O20" s="47"/>
      <c r="P20" s="47"/>
      <c r="Q20" s="47"/>
      <c r="R20" s="47"/>
      <c r="S20" s="47"/>
      <c r="V20"/>
    </row>
    <row r="21" spans="2:22" ht="15" x14ac:dyDescent="0.25">
      <c r="B21" s="2" t="s">
        <v>84</v>
      </c>
      <c r="F21" s="46" t="s">
        <v>80</v>
      </c>
      <c r="J21" s="71"/>
      <c r="L21" s="47"/>
      <c r="M21" s="47"/>
      <c r="N21" s="47"/>
      <c r="O21" s="47"/>
      <c r="P21" s="47"/>
      <c r="Q21" s="47"/>
      <c r="R21" s="47"/>
      <c r="S21" s="47"/>
      <c r="V21"/>
    </row>
    <row r="22" spans="2:22" ht="15" x14ac:dyDescent="0.25">
      <c r="B22" s="2" t="s">
        <v>85</v>
      </c>
      <c r="F22" s="46" t="s">
        <v>80</v>
      </c>
      <c r="J22" s="71"/>
      <c r="L22" s="47"/>
      <c r="M22" s="47"/>
      <c r="N22" s="47"/>
      <c r="O22" s="47"/>
      <c r="P22" s="47"/>
      <c r="Q22" s="47"/>
      <c r="R22" s="47"/>
      <c r="S22" s="47"/>
      <c r="V22"/>
    </row>
    <row r="23" spans="2:22" ht="15" x14ac:dyDescent="0.25">
      <c r="B23" s="2" t="s">
        <v>86</v>
      </c>
      <c r="F23" s="46" t="s">
        <v>80</v>
      </c>
      <c r="J23" s="71"/>
      <c r="L23" s="47"/>
      <c r="M23" s="47"/>
      <c r="N23" s="47"/>
      <c r="O23" s="47"/>
      <c r="P23" s="47"/>
      <c r="Q23" s="47"/>
      <c r="R23" s="47"/>
      <c r="S23" s="47"/>
      <c r="V23"/>
    </row>
    <row r="24" spans="2:22" x14ac:dyDescent="0.2">
      <c r="F24" s="46"/>
      <c r="J24" s="71"/>
      <c r="L24" s="48"/>
      <c r="M24" s="48"/>
      <c r="N24" s="48"/>
      <c r="O24" s="48"/>
      <c r="P24" s="48"/>
      <c r="Q24" s="48"/>
      <c r="R24" s="48"/>
      <c r="S24" s="48"/>
    </row>
    <row r="25" spans="2:22" x14ac:dyDescent="0.2">
      <c r="B25" s="45" t="s">
        <v>87</v>
      </c>
      <c r="F25" s="46"/>
      <c r="J25" s="71"/>
      <c r="L25" s="48"/>
      <c r="M25" s="48"/>
      <c r="N25" s="48"/>
      <c r="O25" s="48"/>
      <c r="P25" s="48"/>
      <c r="Q25" s="48"/>
      <c r="R25" s="48"/>
      <c r="S25" s="48"/>
    </row>
    <row r="26" spans="2:22" ht="15" x14ac:dyDescent="0.25">
      <c r="B26" s="2" t="s">
        <v>88</v>
      </c>
      <c r="F26" s="46" t="s">
        <v>80</v>
      </c>
      <c r="J26" s="71"/>
      <c r="L26" s="47"/>
      <c r="M26" s="47"/>
      <c r="N26" s="47"/>
      <c r="O26" s="47"/>
      <c r="P26" s="47"/>
      <c r="Q26" s="47"/>
      <c r="R26" s="47"/>
      <c r="S26" s="47"/>
      <c r="V26"/>
    </row>
    <row r="27" spans="2:22" ht="15" x14ac:dyDescent="0.25">
      <c r="B27" s="2" t="s">
        <v>89</v>
      </c>
      <c r="F27" s="46" t="s">
        <v>80</v>
      </c>
      <c r="J27" s="71"/>
      <c r="L27" s="47"/>
      <c r="M27" s="47"/>
      <c r="N27" s="47"/>
      <c r="O27" s="47"/>
      <c r="P27" s="47"/>
      <c r="Q27" s="47"/>
      <c r="R27" s="47"/>
      <c r="S27" s="47"/>
      <c r="V27"/>
    </row>
    <row r="28" spans="2:22" ht="15" x14ac:dyDescent="0.25">
      <c r="B28" s="2" t="s">
        <v>90</v>
      </c>
      <c r="F28" s="46" t="s">
        <v>80</v>
      </c>
      <c r="J28" s="71"/>
      <c r="L28" s="47"/>
      <c r="M28" s="47"/>
      <c r="N28" s="47"/>
      <c r="O28" s="47"/>
      <c r="P28" s="47"/>
      <c r="Q28" s="47"/>
      <c r="R28" s="47"/>
      <c r="S28" s="47"/>
      <c r="V28"/>
    </row>
    <row r="29" spans="2:22" ht="15" x14ac:dyDescent="0.25">
      <c r="B29" s="2" t="s">
        <v>91</v>
      </c>
      <c r="F29" s="46" t="s">
        <v>80</v>
      </c>
      <c r="J29" s="71"/>
      <c r="L29" s="47"/>
      <c r="M29" s="47"/>
      <c r="N29" s="47"/>
      <c r="O29" s="47"/>
      <c r="P29" s="47"/>
      <c r="Q29" s="47"/>
      <c r="R29" s="47"/>
      <c r="S29" s="47"/>
      <c r="V29"/>
    </row>
    <row r="30" spans="2:22" ht="15" x14ac:dyDescent="0.25">
      <c r="B30" s="2" t="s">
        <v>92</v>
      </c>
      <c r="F30" s="46" t="s">
        <v>80</v>
      </c>
      <c r="J30" s="71"/>
      <c r="L30" s="47"/>
      <c r="M30" s="47"/>
      <c r="N30" s="47"/>
      <c r="O30" s="47"/>
      <c r="P30" s="47"/>
      <c r="Q30" s="47"/>
      <c r="R30" s="47"/>
      <c r="S30" s="47"/>
      <c r="V30"/>
    </row>
    <row r="31" spans="2:22" x14ac:dyDescent="0.2">
      <c r="F31" s="46"/>
      <c r="J31" s="71"/>
      <c r="L31" s="48"/>
      <c r="M31" s="48"/>
      <c r="N31" s="48"/>
      <c r="O31" s="48"/>
      <c r="P31" s="48"/>
      <c r="Q31" s="48"/>
      <c r="R31" s="48"/>
      <c r="S31" s="48"/>
    </row>
    <row r="32" spans="2:22" x14ac:dyDescent="0.2">
      <c r="B32" s="45" t="s">
        <v>93</v>
      </c>
      <c r="F32" s="46"/>
      <c r="J32" s="71"/>
      <c r="L32" s="48"/>
      <c r="M32" s="48"/>
      <c r="N32" s="48"/>
      <c r="O32" s="48"/>
      <c r="P32" s="48"/>
      <c r="Q32" s="48"/>
      <c r="R32" s="48"/>
      <c r="S32" s="48"/>
    </row>
    <row r="33" spans="2:22" x14ac:dyDescent="0.2">
      <c r="F33" s="46"/>
      <c r="J33" s="71"/>
      <c r="L33" s="48"/>
      <c r="M33" s="48"/>
      <c r="N33" s="48"/>
      <c r="O33" s="48"/>
      <c r="P33" s="48"/>
      <c r="Q33" s="48"/>
      <c r="R33" s="48"/>
      <c r="S33" s="48"/>
    </row>
    <row r="34" spans="2:22" ht="15" x14ac:dyDescent="0.25">
      <c r="B34" s="45" t="s">
        <v>94</v>
      </c>
      <c r="F34" s="46"/>
      <c r="J34" s="72"/>
      <c r="L34"/>
      <c r="M34"/>
      <c r="N34"/>
      <c r="O34"/>
      <c r="P34"/>
      <c r="Q34"/>
      <c r="R34"/>
      <c r="S34"/>
    </row>
    <row r="35" spans="2:22" ht="15" x14ac:dyDescent="0.25">
      <c r="B35" s="2" t="s">
        <v>95</v>
      </c>
      <c r="F35" s="46" t="s">
        <v>80</v>
      </c>
      <c r="J35" s="71"/>
      <c r="L35" s="47">
        <v>1</v>
      </c>
      <c r="M35" s="47"/>
      <c r="N35" s="47"/>
      <c r="O35" s="47"/>
      <c r="P35" s="47"/>
      <c r="Q35" s="47"/>
      <c r="R35" s="47"/>
      <c r="S35" s="47"/>
      <c r="V35"/>
    </row>
    <row r="36" spans="2:22" ht="15" x14ac:dyDescent="0.25">
      <c r="B36" s="2" t="s">
        <v>96</v>
      </c>
      <c r="F36" s="46" t="s">
        <v>80</v>
      </c>
      <c r="J36" s="71"/>
      <c r="L36" s="47"/>
      <c r="M36" s="47"/>
      <c r="N36" s="47"/>
      <c r="O36" s="47"/>
      <c r="P36" s="47"/>
      <c r="Q36" s="47"/>
      <c r="R36" s="47"/>
      <c r="S36" s="47"/>
      <c r="V36"/>
    </row>
    <row r="37" spans="2:22" ht="15" x14ac:dyDescent="0.25">
      <c r="F37" s="46"/>
      <c r="J37" s="71"/>
      <c r="L37" s="48"/>
      <c r="M37" s="48"/>
      <c r="N37" s="48"/>
      <c r="O37" s="48"/>
      <c r="P37" s="48"/>
      <c r="Q37" s="48"/>
      <c r="R37" s="48"/>
      <c r="S37" s="48"/>
      <c r="V37"/>
    </row>
    <row r="38" spans="2:22" ht="15" x14ac:dyDescent="0.25">
      <c r="B38" s="2" t="s">
        <v>97</v>
      </c>
      <c r="F38" s="46" t="s">
        <v>80</v>
      </c>
      <c r="J38" s="71"/>
      <c r="L38" s="47"/>
      <c r="M38" s="47"/>
      <c r="N38" s="133">
        <f>10+0.904057971014493</f>
        <v>10.904057971014494</v>
      </c>
      <c r="O38" s="47">
        <v>6</v>
      </c>
      <c r="P38" s="47"/>
      <c r="Q38" s="47">
        <v>3</v>
      </c>
      <c r="R38" s="47"/>
      <c r="S38" s="47"/>
      <c r="V38"/>
    </row>
    <row r="39" spans="2:22" x14ac:dyDescent="0.2">
      <c r="F39" s="46"/>
      <c r="J39" s="71"/>
      <c r="L39" s="48"/>
      <c r="M39" s="48"/>
      <c r="N39" s="48"/>
      <c r="O39" s="48"/>
      <c r="P39" s="48"/>
      <c r="Q39" s="48"/>
      <c r="R39" s="48"/>
      <c r="S39" s="48"/>
    </row>
    <row r="40" spans="2:22" x14ac:dyDescent="0.2">
      <c r="B40" s="45" t="s">
        <v>98</v>
      </c>
      <c r="F40" s="46"/>
      <c r="J40" s="71"/>
      <c r="L40" s="48"/>
      <c r="M40" s="48"/>
      <c r="N40" s="48"/>
      <c r="O40" s="48"/>
      <c r="P40" s="48"/>
      <c r="Q40" s="48"/>
      <c r="R40" s="48"/>
      <c r="S40" s="48"/>
    </row>
    <row r="41" spans="2:22" x14ac:dyDescent="0.2">
      <c r="F41" s="46"/>
      <c r="J41" s="71"/>
      <c r="L41" s="48"/>
      <c r="M41" s="48"/>
      <c r="N41" s="48"/>
      <c r="O41" s="48"/>
      <c r="P41" s="48"/>
      <c r="Q41" s="48"/>
      <c r="R41" s="48"/>
      <c r="S41" s="48"/>
    </row>
    <row r="42" spans="2:22" x14ac:dyDescent="0.2">
      <c r="B42" s="45" t="s">
        <v>94</v>
      </c>
      <c r="F42" s="46"/>
      <c r="J42" s="71"/>
      <c r="L42" s="48"/>
      <c r="M42" s="48"/>
      <c r="N42" s="48"/>
      <c r="O42" s="48"/>
      <c r="P42" s="48"/>
      <c r="Q42" s="48"/>
      <c r="R42" s="48"/>
      <c r="S42" s="48"/>
    </row>
    <row r="43" spans="2:22" ht="15" x14ac:dyDescent="0.25">
      <c r="B43" s="2" t="s">
        <v>95</v>
      </c>
      <c r="F43" s="46" t="s">
        <v>80</v>
      </c>
      <c r="J43" s="71"/>
      <c r="L43" s="47">
        <v>0</v>
      </c>
      <c r="M43" s="47"/>
      <c r="N43" s="47"/>
      <c r="O43" s="47"/>
      <c r="P43" s="47"/>
      <c r="Q43" s="47"/>
      <c r="R43" s="47"/>
      <c r="S43" s="47"/>
      <c r="V43"/>
    </row>
    <row r="44" spans="2:22" ht="15" x14ac:dyDescent="0.25">
      <c r="B44" s="2" t="s">
        <v>96</v>
      </c>
      <c r="F44" s="46" t="s">
        <v>80</v>
      </c>
      <c r="J44" s="71"/>
      <c r="L44" s="47"/>
      <c r="M44" s="47"/>
      <c r="N44" s="47"/>
      <c r="O44" s="47"/>
      <c r="P44" s="47"/>
      <c r="Q44" s="47"/>
      <c r="R44" s="47"/>
      <c r="S44" s="47"/>
      <c r="V44"/>
    </row>
    <row r="45" spans="2:22" ht="15" x14ac:dyDescent="0.25">
      <c r="F45" s="46"/>
      <c r="J45" s="71"/>
      <c r="L45" s="48"/>
      <c r="M45" s="48"/>
      <c r="N45" s="48"/>
      <c r="O45" s="48"/>
      <c r="P45" s="48"/>
      <c r="Q45" s="48"/>
      <c r="R45" s="48"/>
      <c r="S45" s="48"/>
      <c r="V45"/>
    </row>
    <row r="46" spans="2:22" ht="15" x14ac:dyDescent="0.25">
      <c r="B46" s="2" t="s">
        <v>99</v>
      </c>
      <c r="F46" s="46" t="s">
        <v>80</v>
      </c>
      <c r="J46" s="71"/>
      <c r="L46" s="47"/>
      <c r="M46" s="47"/>
      <c r="N46" s="133">
        <f>9842+369.570652173913</f>
        <v>10211.570652173912</v>
      </c>
      <c r="O46" s="47">
        <v>2145</v>
      </c>
      <c r="P46" s="47"/>
      <c r="Q46" s="47">
        <v>523.99894695274452</v>
      </c>
      <c r="R46" s="47"/>
      <c r="S46" s="47"/>
      <c r="V46"/>
    </row>
    <row r="48" spans="2:22" s="8" customFormat="1" x14ac:dyDescent="0.25">
      <c r="B48" s="8" t="s">
        <v>110</v>
      </c>
    </row>
    <row r="50" spans="2:22" x14ac:dyDescent="0.25">
      <c r="B50" s="45" t="s">
        <v>77</v>
      </c>
    </row>
    <row r="52" spans="2:22" x14ac:dyDescent="0.25">
      <c r="B52" s="45" t="s">
        <v>78</v>
      </c>
    </row>
    <row r="53" spans="2:22" ht="15" x14ac:dyDescent="0.25">
      <c r="B53" s="2" t="s">
        <v>79</v>
      </c>
      <c r="F53" s="46" t="s">
        <v>80</v>
      </c>
      <c r="J53" s="71"/>
      <c r="L53" s="47"/>
      <c r="M53" s="47"/>
      <c r="N53" s="47"/>
      <c r="O53" s="47"/>
      <c r="P53" s="47"/>
      <c r="Q53" s="47"/>
      <c r="R53" s="47"/>
      <c r="S53" s="47"/>
      <c r="V53" t="s">
        <v>270</v>
      </c>
    </row>
    <row r="54" spans="2:22" ht="15" x14ac:dyDescent="0.25">
      <c r="B54" s="2" t="s">
        <v>82</v>
      </c>
      <c r="F54" s="46" t="s">
        <v>80</v>
      </c>
      <c r="J54" s="71"/>
      <c r="L54" s="47"/>
      <c r="M54" s="47"/>
      <c r="N54" s="47"/>
      <c r="O54" s="47"/>
      <c r="P54" s="47"/>
      <c r="Q54" s="47"/>
      <c r="R54" s="47"/>
      <c r="S54" s="47"/>
      <c r="V54"/>
    </row>
    <row r="55" spans="2:22" ht="15" x14ac:dyDescent="0.25">
      <c r="B55" s="2" t="s">
        <v>83</v>
      </c>
      <c r="F55" s="46" t="s">
        <v>80</v>
      </c>
      <c r="J55" s="71"/>
      <c r="L55" s="47"/>
      <c r="M55" s="47"/>
      <c r="N55" s="47"/>
      <c r="O55" s="47"/>
      <c r="P55" s="47"/>
      <c r="Q55" s="47"/>
      <c r="R55" s="47"/>
      <c r="S55" s="47"/>
      <c r="V55"/>
    </row>
    <row r="56" spans="2:22" ht="15" x14ac:dyDescent="0.25">
      <c r="B56" s="2" t="s">
        <v>84</v>
      </c>
      <c r="F56" s="46" t="s">
        <v>80</v>
      </c>
      <c r="J56" s="71"/>
      <c r="L56" s="47"/>
      <c r="M56" s="47"/>
      <c r="N56" s="47"/>
      <c r="O56" s="47"/>
      <c r="P56" s="47"/>
      <c r="Q56" s="47"/>
      <c r="R56" s="47"/>
      <c r="S56" s="47"/>
      <c r="V56"/>
    </row>
    <row r="57" spans="2:22" ht="15" x14ac:dyDescent="0.25">
      <c r="B57" s="2" t="s">
        <v>85</v>
      </c>
      <c r="F57" s="46" t="s">
        <v>80</v>
      </c>
      <c r="J57" s="71"/>
      <c r="L57" s="47"/>
      <c r="M57" s="47"/>
      <c r="N57" s="47"/>
      <c r="O57" s="47"/>
      <c r="P57" s="47"/>
      <c r="Q57" s="47"/>
      <c r="R57" s="47"/>
      <c r="S57" s="47"/>
      <c r="V57"/>
    </row>
    <row r="58" spans="2:22" ht="15" x14ac:dyDescent="0.25">
      <c r="B58" s="2" t="s">
        <v>86</v>
      </c>
      <c r="F58" s="46" t="s">
        <v>80</v>
      </c>
      <c r="J58" s="71"/>
      <c r="L58" s="47"/>
      <c r="M58" s="47"/>
      <c r="N58" s="47"/>
      <c r="O58" s="47"/>
      <c r="P58" s="47"/>
      <c r="Q58" s="47"/>
      <c r="R58" s="47"/>
      <c r="S58" s="47"/>
      <c r="V58"/>
    </row>
    <row r="59" spans="2:22" x14ac:dyDescent="0.2">
      <c r="F59" s="46"/>
      <c r="J59" s="71"/>
      <c r="L59" s="48"/>
      <c r="M59" s="48"/>
      <c r="N59" s="48"/>
      <c r="O59" s="48"/>
      <c r="P59" s="48"/>
      <c r="Q59" s="48"/>
      <c r="R59" s="48"/>
      <c r="S59" s="48"/>
    </row>
    <row r="60" spans="2:22" x14ac:dyDescent="0.2">
      <c r="B60" s="45" t="s">
        <v>87</v>
      </c>
      <c r="F60" s="46"/>
      <c r="J60" s="71"/>
      <c r="L60" s="48"/>
      <c r="M60" s="48"/>
      <c r="N60" s="48"/>
      <c r="O60" s="48"/>
      <c r="P60" s="48"/>
      <c r="Q60" s="48"/>
      <c r="R60" s="48"/>
      <c r="S60" s="48"/>
    </row>
    <row r="61" spans="2:22" ht="15" x14ac:dyDescent="0.25">
      <c r="B61" s="2" t="s">
        <v>88</v>
      </c>
      <c r="F61" s="46" t="s">
        <v>80</v>
      </c>
      <c r="J61" s="71"/>
      <c r="L61" s="47"/>
      <c r="M61" s="47"/>
      <c r="N61" s="47"/>
      <c r="O61" s="47"/>
      <c r="P61" s="47"/>
      <c r="Q61" s="47"/>
      <c r="R61" s="47"/>
      <c r="S61" s="47"/>
      <c r="V61"/>
    </row>
    <row r="62" spans="2:22" ht="15" x14ac:dyDescent="0.25">
      <c r="B62" s="2" t="s">
        <v>89</v>
      </c>
      <c r="F62" s="46" t="s">
        <v>80</v>
      </c>
      <c r="J62" s="71"/>
      <c r="L62" s="47"/>
      <c r="M62" s="47"/>
      <c r="N62" s="47"/>
      <c r="O62" s="47"/>
      <c r="P62" s="47"/>
      <c r="Q62" s="47"/>
      <c r="R62" s="47"/>
      <c r="S62" s="47"/>
      <c r="V62"/>
    </row>
    <row r="63" spans="2:22" ht="15" x14ac:dyDescent="0.25">
      <c r="B63" s="2" t="s">
        <v>90</v>
      </c>
      <c r="F63" s="46" t="s">
        <v>80</v>
      </c>
      <c r="J63" s="71"/>
      <c r="L63" s="47"/>
      <c r="M63" s="47"/>
      <c r="N63" s="47"/>
      <c r="O63" s="47"/>
      <c r="P63" s="47"/>
      <c r="Q63" s="47"/>
      <c r="R63" s="47"/>
      <c r="S63" s="47"/>
      <c r="V63"/>
    </row>
    <row r="64" spans="2:22" ht="15" x14ac:dyDescent="0.25">
      <c r="B64" s="2" t="s">
        <v>91</v>
      </c>
      <c r="F64" s="46" t="s">
        <v>80</v>
      </c>
      <c r="J64" s="71"/>
      <c r="L64" s="47"/>
      <c r="M64" s="47"/>
      <c r="N64" s="47"/>
      <c r="O64" s="47"/>
      <c r="P64" s="47"/>
      <c r="Q64" s="47"/>
      <c r="R64" s="47"/>
      <c r="S64" s="47"/>
      <c r="V64"/>
    </row>
    <row r="65" spans="2:22" ht="15" x14ac:dyDescent="0.25">
      <c r="B65" s="2" t="s">
        <v>92</v>
      </c>
      <c r="F65" s="46" t="s">
        <v>80</v>
      </c>
      <c r="J65" s="71"/>
      <c r="L65" s="47"/>
      <c r="M65" s="47"/>
      <c r="N65" s="47"/>
      <c r="O65" s="47"/>
      <c r="P65" s="47"/>
      <c r="Q65" s="47"/>
      <c r="R65" s="47"/>
      <c r="S65" s="47"/>
      <c r="V65"/>
    </row>
    <row r="66" spans="2:22" x14ac:dyDescent="0.2">
      <c r="F66" s="46"/>
      <c r="J66" s="71"/>
      <c r="L66" s="48"/>
      <c r="M66" s="48"/>
      <c r="N66" s="48"/>
      <c r="O66" s="48"/>
      <c r="P66" s="48"/>
      <c r="Q66" s="48"/>
      <c r="R66" s="48"/>
      <c r="S66" s="48"/>
    </row>
    <row r="67" spans="2:22" x14ac:dyDescent="0.2">
      <c r="B67" s="45" t="s">
        <v>93</v>
      </c>
      <c r="F67" s="46"/>
      <c r="J67" s="71"/>
      <c r="L67" s="48"/>
      <c r="M67" s="48"/>
      <c r="N67" s="48"/>
      <c r="O67" s="48"/>
      <c r="P67" s="48"/>
      <c r="Q67" s="48"/>
      <c r="R67" s="48"/>
      <c r="S67" s="48"/>
    </row>
    <row r="68" spans="2:22" x14ac:dyDescent="0.2">
      <c r="F68" s="46"/>
      <c r="J68" s="71"/>
      <c r="L68" s="48"/>
      <c r="M68" s="48"/>
      <c r="N68" s="48"/>
      <c r="O68" s="48"/>
      <c r="P68" s="48"/>
      <c r="Q68" s="48"/>
      <c r="R68" s="48"/>
      <c r="S68" s="48"/>
    </row>
    <row r="69" spans="2:22" ht="15" x14ac:dyDescent="0.25">
      <c r="B69" s="45" t="s">
        <v>94</v>
      </c>
      <c r="F69" s="46"/>
      <c r="J69" s="72"/>
      <c r="L69"/>
      <c r="M69"/>
      <c r="N69"/>
      <c r="O69"/>
      <c r="P69"/>
      <c r="Q69"/>
      <c r="R69"/>
      <c r="S69"/>
    </row>
    <row r="70" spans="2:22" ht="15" x14ac:dyDescent="0.25">
      <c r="B70" s="2" t="s">
        <v>95</v>
      </c>
      <c r="F70" s="46" t="s">
        <v>80</v>
      </c>
      <c r="J70" s="71"/>
      <c r="L70" s="47">
        <v>1</v>
      </c>
      <c r="M70" s="47"/>
      <c r="N70" s="47"/>
      <c r="O70" s="47"/>
      <c r="P70" s="47">
        <v>0.42</v>
      </c>
      <c r="Q70" s="47"/>
      <c r="R70" s="47"/>
      <c r="S70" s="47"/>
      <c r="V70"/>
    </row>
    <row r="71" spans="2:22" ht="15" x14ac:dyDescent="0.25">
      <c r="B71" s="2" t="s">
        <v>96</v>
      </c>
      <c r="F71" s="46" t="s">
        <v>80</v>
      </c>
      <c r="J71" s="71"/>
      <c r="L71" s="47"/>
      <c r="M71" s="47"/>
      <c r="N71" s="47"/>
      <c r="O71" s="47"/>
      <c r="P71" s="47"/>
      <c r="Q71" s="47"/>
      <c r="R71" s="47"/>
      <c r="S71" s="47"/>
      <c r="V71"/>
    </row>
    <row r="72" spans="2:22" ht="15" x14ac:dyDescent="0.25">
      <c r="F72" s="46"/>
      <c r="J72" s="71"/>
      <c r="L72" s="48"/>
      <c r="M72" s="48"/>
      <c r="N72" s="48"/>
      <c r="O72" s="48"/>
      <c r="P72" s="48"/>
      <c r="Q72" s="48"/>
      <c r="R72" s="48"/>
      <c r="S72" s="48"/>
      <c r="V72"/>
    </row>
    <row r="73" spans="2:22" ht="15" x14ac:dyDescent="0.25">
      <c r="B73" s="2" t="s">
        <v>97</v>
      </c>
      <c r="F73" s="46" t="s">
        <v>80</v>
      </c>
      <c r="J73" s="71"/>
      <c r="L73" s="47"/>
      <c r="M73" s="47"/>
      <c r="N73" s="133">
        <f>10+1.99983849764</f>
        <v>11.999838497640001</v>
      </c>
      <c r="O73" s="47">
        <v>7</v>
      </c>
      <c r="P73" s="47"/>
      <c r="Q73" s="47">
        <v>3</v>
      </c>
      <c r="R73" s="47"/>
      <c r="S73" s="47"/>
      <c r="V73"/>
    </row>
    <row r="74" spans="2:22" x14ac:dyDescent="0.2">
      <c r="F74" s="46"/>
      <c r="J74" s="71"/>
      <c r="L74" s="48"/>
      <c r="M74" s="48"/>
      <c r="N74" s="48"/>
      <c r="O74" s="48"/>
      <c r="P74" s="48"/>
      <c r="Q74" s="48"/>
      <c r="R74" s="48"/>
      <c r="S74" s="48"/>
    </row>
    <row r="75" spans="2:22" x14ac:dyDescent="0.2">
      <c r="B75" s="45" t="s">
        <v>98</v>
      </c>
      <c r="F75" s="46"/>
      <c r="J75" s="71"/>
      <c r="L75" s="48"/>
      <c r="M75" s="48"/>
      <c r="N75" s="48"/>
      <c r="O75" s="48"/>
      <c r="P75" s="48"/>
      <c r="Q75" s="48"/>
      <c r="R75" s="48"/>
      <c r="S75" s="48"/>
    </row>
    <row r="76" spans="2:22" x14ac:dyDescent="0.2">
      <c r="F76" s="46"/>
      <c r="J76" s="71"/>
      <c r="L76" s="48"/>
      <c r="M76" s="48"/>
      <c r="N76" s="48"/>
      <c r="O76" s="48"/>
      <c r="P76" s="48"/>
      <c r="Q76" s="48"/>
      <c r="R76" s="48"/>
      <c r="S76" s="48"/>
    </row>
    <row r="77" spans="2:22" x14ac:dyDescent="0.2">
      <c r="B77" s="45" t="s">
        <v>94</v>
      </c>
      <c r="F77" s="46"/>
      <c r="J77" s="71"/>
      <c r="L77" s="48"/>
      <c r="M77" s="48"/>
      <c r="N77" s="48"/>
      <c r="O77" s="48"/>
      <c r="P77" s="48"/>
      <c r="Q77" s="48"/>
      <c r="R77" s="48"/>
      <c r="S77" s="48"/>
    </row>
    <row r="78" spans="2:22" ht="15" x14ac:dyDescent="0.25">
      <c r="B78" s="2" t="s">
        <v>95</v>
      </c>
      <c r="F78" s="46" t="s">
        <v>80</v>
      </c>
      <c r="J78" s="71"/>
      <c r="L78" s="47">
        <v>0</v>
      </c>
      <c r="M78" s="47"/>
      <c r="N78" s="47"/>
      <c r="O78" s="47"/>
      <c r="P78" s="47">
        <v>1008</v>
      </c>
      <c r="Q78" s="47"/>
      <c r="R78" s="47"/>
      <c r="S78" s="47"/>
      <c r="V78"/>
    </row>
    <row r="79" spans="2:22" ht="15" x14ac:dyDescent="0.25">
      <c r="B79" s="2" t="s">
        <v>96</v>
      </c>
      <c r="F79" s="46" t="s">
        <v>80</v>
      </c>
      <c r="J79" s="71"/>
      <c r="L79" s="47"/>
      <c r="M79" s="47"/>
      <c r="N79" s="47"/>
      <c r="O79" s="47"/>
      <c r="P79" s="47"/>
      <c r="Q79" s="47"/>
      <c r="R79" s="47"/>
      <c r="S79" s="47"/>
      <c r="V79"/>
    </row>
    <row r="80" spans="2:22" ht="15" x14ac:dyDescent="0.25">
      <c r="F80" s="46"/>
      <c r="J80" s="71"/>
      <c r="L80" s="48"/>
      <c r="M80" s="48"/>
      <c r="N80" s="48"/>
      <c r="O80" s="48"/>
      <c r="P80" s="48"/>
      <c r="Q80" s="48"/>
      <c r="R80" s="48"/>
      <c r="S80" s="48"/>
      <c r="V80"/>
    </row>
    <row r="81" spans="2:22" ht="15" x14ac:dyDescent="0.25">
      <c r="B81" s="2" t="s">
        <v>99</v>
      </c>
      <c r="F81" s="46" t="s">
        <v>80</v>
      </c>
      <c r="J81" s="71"/>
      <c r="L81" s="47"/>
      <c r="M81" s="47"/>
      <c r="N81" s="133">
        <f>10338+1049.91521126124</f>
        <v>11387.915211261239</v>
      </c>
      <c r="O81" s="47">
        <v>2675</v>
      </c>
      <c r="P81" s="47"/>
      <c r="Q81" s="47">
        <v>524</v>
      </c>
      <c r="R81" s="47"/>
      <c r="S81" s="47"/>
      <c r="V81"/>
    </row>
    <row r="82" spans="2:22" x14ac:dyDescent="0.25">
      <c r="J82" s="73"/>
    </row>
    <row r="83" spans="2:22" s="8" customFormat="1" x14ac:dyDescent="0.25">
      <c r="B83" s="8" t="s">
        <v>111</v>
      </c>
    </row>
    <row r="85" spans="2:22" x14ac:dyDescent="0.25">
      <c r="B85" s="45" t="s">
        <v>77</v>
      </c>
    </row>
    <row r="87" spans="2:22" x14ac:dyDescent="0.25">
      <c r="B87" s="45" t="s">
        <v>78</v>
      </c>
      <c r="J87" s="73"/>
    </row>
    <row r="88" spans="2:22" ht="15" x14ac:dyDescent="0.25">
      <c r="B88" s="2" t="s">
        <v>79</v>
      </c>
      <c r="F88" s="46" t="s">
        <v>80</v>
      </c>
      <c r="J88" s="71"/>
      <c r="L88" s="47"/>
      <c r="M88" s="47"/>
      <c r="N88" s="47"/>
      <c r="O88" s="47"/>
      <c r="P88" s="47"/>
      <c r="Q88" s="47"/>
      <c r="R88" s="47"/>
      <c r="S88" s="47"/>
      <c r="V88" t="s">
        <v>81</v>
      </c>
    </row>
    <row r="89" spans="2:22" ht="15" x14ac:dyDescent="0.25">
      <c r="B89" s="2" t="s">
        <v>82</v>
      </c>
      <c r="F89" s="46" t="s">
        <v>80</v>
      </c>
      <c r="J89" s="71"/>
      <c r="L89" s="47"/>
      <c r="M89" s="47"/>
      <c r="N89" s="47"/>
      <c r="O89" s="47"/>
      <c r="P89" s="47"/>
      <c r="Q89" s="47"/>
      <c r="R89" s="47"/>
      <c r="S89" s="47"/>
      <c r="V89"/>
    </row>
    <row r="90" spans="2:22" ht="15" x14ac:dyDescent="0.25">
      <c r="B90" s="2" t="s">
        <v>83</v>
      </c>
      <c r="F90" s="46" t="s">
        <v>80</v>
      </c>
      <c r="J90" s="71"/>
      <c r="L90" s="47"/>
      <c r="M90" s="47"/>
      <c r="N90" s="47"/>
      <c r="O90" s="47"/>
      <c r="P90" s="47"/>
      <c r="Q90" s="47"/>
      <c r="R90" s="47"/>
      <c r="S90" s="47"/>
      <c r="V90"/>
    </row>
    <row r="91" spans="2:22" ht="15" x14ac:dyDescent="0.25">
      <c r="B91" s="2" t="s">
        <v>84</v>
      </c>
      <c r="F91" s="46" t="s">
        <v>80</v>
      </c>
      <c r="J91" s="71"/>
      <c r="L91" s="47"/>
      <c r="M91" s="47"/>
      <c r="N91" s="47"/>
      <c r="O91" s="47"/>
      <c r="P91" s="47"/>
      <c r="Q91" s="47"/>
      <c r="R91" s="47"/>
      <c r="S91" s="47"/>
      <c r="V91"/>
    </row>
    <row r="92" spans="2:22" ht="15" x14ac:dyDescent="0.25">
      <c r="B92" s="2" t="s">
        <v>85</v>
      </c>
      <c r="F92" s="46" t="s">
        <v>80</v>
      </c>
      <c r="J92" s="71"/>
      <c r="L92" s="47"/>
      <c r="M92" s="47"/>
      <c r="N92" s="47"/>
      <c r="O92" s="47"/>
      <c r="P92" s="47"/>
      <c r="Q92" s="47"/>
      <c r="R92" s="47"/>
      <c r="S92" s="47"/>
      <c r="V92"/>
    </row>
    <row r="93" spans="2:22" ht="15" x14ac:dyDescent="0.25">
      <c r="B93" s="2" t="s">
        <v>86</v>
      </c>
      <c r="F93" s="46" t="s">
        <v>80</v>
      </c>
      <c r="J93" s="71"/>
      <c r="L93" s="47"/>
      <c r="M93" s="47"/>
      <c r="N93" s="47"/>
      <c r="O93" s="47"/>
      <c r="P93" s="47"/>
      <c r="Q93" s="47">
        <v>0.31506849315068491</v>
      </c>
      <c r="R93" s="47"/>
      <c r="S93" s="47"/>
      <c r="V93"/>
    </row>
    <row r="94" spans="2:22" x14ac:dyDescent="0.2">
      <c r="F94" s="46"/>
      <c r="J94" s="71"/>
      <c r="L94" s="48"/>
      <c r="M94" s="48"/>
      <c r="N94" s="48"/>
      <c r="O94" s="48"/>
      <c r="P94" s="48"/>
      <c r="Q94" s="48"/>
      <c r="R94" s="48"/>
      <c r="S94" s="48"/>
    </row>
    <row r="95" spans="2:22" x14ac:dyDescent="0.2">
      <c r="B95" s="45" t="s">
        <v>87</v>
      </c>
      <c r="F95" s="46"/>
      <c r="J95" s="71"/>
      <c r="L95" s="48"/>
      <c r="M95" s="48"/>
      <c r="N95" s="48"/>
      <c r="O95" s="48"/>
      <c r="P95" s="48"/>
      <c r="Q95" s="48"/>
      <c r="R95" s="48"/>
      <c r="S95" s="48"/>
    </row>
    <row r="96" spans="2:22" ht="15" x14ac:dyDescent="0.25">
      <c r="B96" s="2" t="s">
        <v>88</v>
      </c>
      <c r="F96" s="46" t="s">
        <v>80</v>
      </c>
      <c r="J96" s="71"/>
      <c r="L96" s="47"/>
      <c r="M96" s="47"/>
      <c r="N96" s="47"/>
      <c r="O96" s="47"/>
      <c r="P96" s="47"/>
      <c r="Q96" s="47"/>
      <c r="R96" s="47"/>
      <c r="S96" s="47"/>
      <c r="V96"/>
    </row>
    <row r="97" spans="2:22" ht="15" x14ac:dyDescent="0.25">
      <c r="B97" s="2" t="s">
        <v>89</v>
      </c>
      <c r="F97" s="46" t="s">
        <v>80</v>
      </c>
      <c r="J97" s="71"/>
      <c r="L97" s="47"/>
      <c r="M97" s="47"/>
      <c r="N97" s="47"/>
      <c r="O97" s="47">
        <v>1</v>
      </c>
      <c r="P97" s="47"/>
      <c r="Q97" s="47"/>
      <c r="R97" s="47"/>
      <c r="S97" s="47"/>
      <c r="V97"/>
    </row>
    <row r="98" spans="2:22" ht="15" x14ac:dyDescent="0.25">
      <c r="B98" s="2" t="s">
        <v>90</v>
      </c>
      <c r="F98" s="46" t="s">
        <v>80</v>
      </c>
      <c r="J98" s="71"/>
      <c r="L98" s="47"/>
      <c r="M98" s="47"/>
      <c r="N98" s="47"/>
      <c r="O98" s="47"/>
      <c r="P98" s="47"/>
      <c r="Q98" s="47"/>
      <c r="R98" s="47"/>
      <c r="S98" s="47"/>
      <c r="V98"/>
    </row>
    <row r="99" spans="2:22" ht="15" x14ac:dyDescent="0.25">
      <c r="B99" s="2" t="s">
        <v>91</v>
      </c>
      <c r="F99" s="46" t="s">
        <v>80</v>
      </c>
      <c r="J99" s="71"/>
      <c r="L99" s="47"/>
      <c r="M99" s="47"/>
      <c r="N99" s="47"/>
      <c r="O99" s="47"/>
      <c r="P99" s="47"/>
      <c r="Q99" s="47"/>
      <c r="R99" s="47"/>
      <c r="S99" s="47"/>
      <c r="V99"/>
    </row>
    <row r="100" spans="2:22" ht="15" x14ac:dyDescent="0.25">
      <c r="B100" s="2" t="s">
        <v>92</v>
      </c>
      <c r="F100" s="46" t="s">
        <v>80</v>
      </c>
      <c r="J100" s="71"/>
      <c r="L100" s="47"/>
      <c r="M100" s="47"/>
      <c r="N100" s="47"/>
      <c r="O100" s="47"/>
      <c r="P100" s="47"/>
      <c r="Q100" s="47"/>
      <c r="R100" s="47"/>
      <c r="S100" s="47"/>
      <c r="V100"/>
    </row>
    <row r="101" spans="2:22" x14ac:dyDescent="0.2">
      <c r="F101" s="46"/>
      <c r="J101" s="71"/>
      <c r="L101" s="48"/>
      <c r="M101" s="48"/>
      <c r="N101" s="48"/>
      <c r="O101" s="48"/>
      <c r="P101" s="48"/>
      <c r="Q101" s="48"/>
      <c r="R101" s="48"/>
      <c r="S101" s="48"/>
    </row>
    <row r="102" spans="2:22" x14ac:dyDescent="0.2">
      <c r="B102" s="45" t="s">
        <v>93</v>
      </c>
      <c r="F102" s="46"/>
      <c r="J102" s="71"/>
      <c r="L102" s="48"/>
      <c r="M102" s="48"/>
      <c r="N102" s="48"/>
      <c r="O102" s="48"/>
      <c r="P102" s="48"/>
      <c r="Q102" s="48"/>
      <c r="R102" s="48"/>
      <c r="S102" s="48"/>
    </row>
    <row r="103" spans="2:22" x14ac:dyDescent="0.2">
      <c r="F103" s="46"/>
      <c r="J103" s="71"/>
      <c r="L103" s="48"/>
      <c r="M103" s="48"/>
      <c r="N103" s="48"/>
      <c r="O103" s="48"/>
      <c r="P103" s="48"/>
      <c r="Q103" s="48"/>
      <c r="R103" s="48"/>
      <c r="S103" s="48"/>
    </row>
    <row r="104" spans="2:22" ht="15" x14ac:dyDescent="0.25">
      <c r="B104" s="45" t="s">
        <v>94</v>
      </c>
      <c r="F104" s="46"/>
      <c r="J104" s="72"/>
      <c r="L104"/>
      <c r="M104"/>
      <c r="N104"/>
      <c r="O104"/>
      <c r="P104"/>
      <c r="Q104"/>
      <c r="R104"/>
      <c r="S104"/>
    </row>
    <row r="105" spans="2:22" ht="15" x14ac:dyDescent="0.25">
      <c r="B105" s="2" t="s">
        <v>95</v>
      </c>
      <c r="F105" s="46" t="s">
        <v>80</v>
      </c>
      <c r="J105" s="71"/>
      <c r="L105" s="47">
        <v>1</v>
      </c>
      <c r="M105" s="47"/>
      <c r="N105" s="47"/>
      <c r="O105" s="47"/>
      <c r="P105" s="47">
        <v>1</v>
      </c>
      <c r="Q105" s="47"/>
      <c r="R105" s="47"/>
      <c r="S105" s="47"/>
      <c r="V105"/>
    </row>
    <row r="106" spans="2:22" ht="15" x14ac:dyDescent="0.25">
      <c r="B106" s="2" t="s">
        <v>96</v>
      </c>
      <c r="F106" s="46" t="s">
        <v>80</v>
      </c>
      <c r="J106" s="71"/>
      <c r="L106" s="47"/>
      <c r="M106" s="47"/>
      <c r="N106" s="47"/>
      <c r="O106" s="47"/>
      <c r="P106" s="47"/>
      <c r="Q106" s="47"/>
      <c r="R106" s="47"/>
      <c r="S106" s="47"/>
      <c r="V106"/>
    </row>
    <row r="107" spans="2:22" ht="15" x14ac:dyDescent="0.25">
      <c r="F107" s="46"/>
      <c r="J107" s="71"/>
      <c r="L107" s="48"/>
      <c r="M107" s="48"/>
      <c r="N107" s="48"/>
      <c r="O107" s="48"/>
      <c r="P107" s="48"/>
      <c r="Q107" s="48"/>
      <c r="R107" s="48"/>
      <c r="S107" s="48"/>
      <c r="V107"/>
    </row>
    <row r="108" spans="2:22" ht="15" x14ac:dyDescent="0.25">
      <c r="B108" s="2" t="s">
        <v>97</v>
      </c>
      <c r="F108" s="46" t="s">
        <v>80</v>
      </c>
      <c r="J108" s="71"/>
      <c r="L108" s="47"/>
      <c r="M108" s="47"/>
      <c r="N108" s="133">
        <f>11+1.99993334690031</f>
        <v>12.99993334690031</v>
      </c>
      <c r="O108" s="47">
        <v>6.75</v>
      </c>
      <c r="P108" s="47"/>
      <c r="Q108" s="47">
        <v>3</v>
      </c>
      <c r="R108" s="47"/>
      <c r="S108" s="47"/>
      <c r="V108"/>
    </row>
    <row r="109" spans="2:22" x14ac:dyDescent="0.2">
      <c r="F109" s="46"/>
      <c r="J109" s="71"/>
      <c r="L109" s="48"/>
      <c r="M109" s="48"/>
      <c r="N109" s="48"/>
      <c r="O109" s="48"/>
      <c r="P109" s="48"/>
      <c r="Q109" s="48"/>
      <c r="R109" s="48"/>
      <c r="S109" s="48"/>
    </row>
    <row r="110" spans="2:22" x14ac:dyDescent="0.2">
      <c r="B110" s="45" t="s">
        <v>98</v>
      </c>
      <c r="F110" s="46"/>
      <c r="J110" s="71"/>
      <c r="L110" s="48"/>
      <c r="M110" s="48"/>
      <c r="N110" s="48"/>
      <c r="O110" s="48"/>
      <c r="P110" s="48"/>
      <c r="Q110" s="48"/>
      <c r="R110" s="48"/>
      <c r="S110" s="48"/>
    </row>
    <row r="111" spans="2:22" x14ac:dyDescent="0.2">
      <c r="F111" s="46"/>
      <c r="J111" s="71"/>
      <c r="L111" s="48"/>
      <c r="M111" s="48"/>
      <c r="N111" s="48"/>
      <c r="O111" s="48"/>
      <c r="P111" s="48"/>
      <c r="Q111" s="48"/>
      <c r="R111" s="48"/>
      <c r="S111" s="48"/>
    </row>
    <row r="112" spans="2:22" x14ac:dyDescent="0.2">
      <c r="B112" s="45" t="s">
        <v>94</v>
      </c>
      <c r="F112" s="46"/>
      <c r="J112" s="71"/>
      <c r="L112" s="48"/>
      <c r="M112" s="48"/>
      <c r="N112" s="48"/>
      <c r="O112" s="48"/>
      <c r="P112" s="48"/>
      <c r="Q112" s="48"/>
      <c r="R112" s="48"/>
      <c r="S112" s="48"/>
    </row>
    <row r="113" spans="1:22" ht="15" x14ac:dyDescent="0.25">
      <c r="B113" s="2" t="s">
        <v>95</v>
      </c>
      <c r="F113" s="46" t="s">
        <v>80</v>
      </c>
      <c r="J113" s="71"/>
      <c r="L113" s="47">
        <v>0</v>
      </c>
      <c r="M113" s="47"/>
      <c r="N113" s="47"/>
      <c r="O113" s="47"/>
      <c r="P113" s="47">
        <v>1135</v>
      </c>
      <c r="Q113" s="47"/>
      <c r="R113" s="47"/>
      <c r="S113" s="47"/>
      <c r="V113"/>
    </row>
    <row r="114" spans="1:22" ht="15" x14ac:dyDescent="0.25">
      <c r="B114" s="2" t="s">
        <v>96</v>
      </c>
      <c r="F114" s="46" t="s">
        <v>80</v>
      </c>
      <c r="J114" s="71"/>
      <c r="L114" s="47"/>
      <c r="M114" s="47"/>
      <c r="N114" s="47"/>
      <c r="O114" s="47"/>
      <c r="P114" s="47"/>
      <c r="Q114" s="47"/>
      <c r="R114" s="47"/>
      <c r="S114" s="47"/>
      <c r="V114"/>
    </row>
    <row r="115" spans="1:22" ht="15" x14ac:dyDescent="0.25">
      <c r="F115" s="46"/>
      <c r="J115" s="71"/>
      <c r="L115" s="48"/>
      <c r="M115" s="48"/>
      <c r="N115" s="48"/>
      <c r="O115" s="48"/>
      <c r="P115" s="48"/>
      <c r="Q115" s="48"/>
      <c r="R115" s="48"/>
      <c r="S115" s="48"/>
      <c r="V115"/>
    </row>
    <row r="116" spans="1:22" ht="15" x14ac:dyDescent="0.25">
      <c r="B116" s="2" t="s">
        <v>99</v>
      </c>
      <c r="F116" s="46" t="s">
        <v>80</v>
      </c>
      <c r="J116" s="71"/>
      <c r="L116" s="47"/>
      <c r="M116" s="47"/>
      <c r="N116" s="133">
        <f>9368+1049.96500712266</f>
        <v>10417.965007122661</v>
      </c>
      <c r="O116" s="47">
        <v>3125</v>
      </c>
      <c r="P116" s="47"/>
      <c r="Q116" s="47">
        <v>524</v>
      </c>
      <c r="R116" s="47"/>
      <c r="S116" s="47"/>
      <c r="V116"/>
    </row>
    <row r="118" spans="1:22" s="8" customFormat="1" x14ac:dyDescent="0.25">
      <c r="B118" s="54" t="s">
        <v>100</v>
      </c>
      <c r="L118" s="53"/>
      <c r="M118" s="53"/>
      <c r="N118" s="53"/>
      <c r="O118" s="53"/>
      <c r="P118" s="53"/>
      <c r="Q118" s="53"/>
      <c r="R118" s="53"/>
      <c r="S118" s="53"/>
    </row>
    <row r="119" spans="1:22" customFormat="1" ht="15" x14ac:dyDescent="0.25">
      <c r="A119" s="46"/>
      <c r="B119" s="46"/>
      <c r="C119" s="46"/>
      <c r="D119" s="46"/>
      <c r="E119" s="46"/>
      <c r="F119" s="49"/>
      <c r="G119" s="46"/>
      <c r="H119" s="48"/>
      <c r="I119" s="48"/>
      <c r="J119" s="48"/>
      <c r="K119" s="48"/>
      <c r="L119" s="48"/>
      <c r="M119" s="48"/>
      <c r="N119" s="48"/>
    </row>
    <row r="120" spans="1:22" customFormat="1" ht="15" x14ac:dyDescent="0.25">
      <c r="B120" s="45" t="s">
        <v>77</v>
      </c>
      <c r="C120" s="46"/>
      <c r="D120" s="46"/>
      <c r="E120" s="46"/>
      <c r="F120" s="49"/>
      <c r="G120" s="46"/>
      <c r="H120" s="48"/>
      <c r="I120" s="48"/>
      <c r="J120" s="48"/>
      <c r="K120" s="48"/>
      <c r="L120" s="48"/>
      <c r="M120" s="48"/>
      <c r="N120" s="48"/>
    </row>
    <row r="121" spans="1:22" customFormat="1" ht="15" x14ac:dyDescent="0.25">
      <c r="B121" s="46"/>
      <c r="C121" s="46"/>
      <c r="D121" s="46"/>
      <c r="E121" s="46"/>
      <c r="F121" s="49"/>
      <c r="G121" s="46"/>
      <c r="H121" s="48"/>
      <c r="I121" s="48"/>
      <c r="J121" s="48"/>
      <c r="K121" s="48"/>
      <c r="L121" s="48"/>
      <c r="M121" s="48"/>
      <c r="N121" s="48"/>
    </row>
    <row r="122" spans="1:22" customFormat="1" ht="15" x14ac:dyDescent="0.25">
      <c r="B122" s="45" t="s">
        <v>78</v>
      </c>
      <c r="C122" s="46"/>
      <c r="D122" s="46"/>
      <c r="E122" s="46"/>
      <c r="F122" s="49"/>
      <c r="G122" s="46"/>
      <c r="H122" s="48"/>
      <c r="I122" s="48"/>
      <c r="J122" s="48"/>
      <c r="K122" s="48"/>
      <c r="L122" s="48"/>
      <c r="M122" s="48"/>
      <c r="N122" s="48"/>
    </row>
    <row r="123" spans="1:22" customFormat="1" ht="15" x14ac:dyDescent="0.25">
      <c r="B123" s="46" t="s">
        <v>79</v>
      </c>
      <c r="C123" s="2"/>
      <c r="D123" s="2"/>
      <c r="E123" s="46"/>
      <c r="F123" s="46" t="s">
        <v>80</v>
      </c>
      <c r="G123" s="2"/>
      <c r="H123" s="2"/>
      <c r="I123" s="2"/>
      <c r="J123" s="71"/>
      <c r="K123" s="46"/>
      <c r="L123" s="62">
        <f t="shared" ref="L123:S123" si="0">SUM(L18,L53,L88)/3</f>
        <v>0</v>
      </c>
      <c r="M123" s="62">
        <f t="shared" si="0"/>
        <v>0</v>
      </c>
      <c r="N123" s="62">
        <f t="shared" si="0"/>
        <v>0</v>
      </c>
      <c r="O123" s="62">
        <f t="shared" si="0"/>
        <v>0</v>
      </c>
      <c r="P123" s="62">
        <f t="shared" si="0"/>
        <v>0</v>
      </c>
      <c r="Q123" s="62">
        <f t="shared" si="0"/>
        <v>0</v>
      </c>
      <c r="R123" s="62">
        <f t="shared" si="0"/>
        <v>0</v>
      </c>
      <c r="S123" s="62">
        <f t="shared" si="0"/>
        <v>0</v>
      </c>
    </row>
    <row r="124" spans="1:22" customFormat="1" ht="15" x14ac:dyDescent="0.25">
      <c r="B124" s="46" t="s">
        <v>82</v>
      </c>
      <c r="C124" s="2"/>
      <c r="D124" s="2"/>
      <c r="E124" s="46"/>
      <c r="F124" s="46" t="s">
        <v>80</v>
      </c>
      <c r="G124" s="2"/>
      <c r="H124" s="2"/>
      <c r="I124" s="2"/>
      <c r="J124" s="71"/>
      <c r="K124" s="46"/>
      <c r="L124" s="62">
        <f t="shared" ref="L124:S124" si="1">SUM(L19,L54,L89)/3</f>
        <v>0</v>
      </c>
      <c r="M124" s="62">
        <f t="shared" si="1"/>
        <v>0</v>
      </c>
      <c r="N124" s="62">
        <f t="shared" si="1"/>
        <v>0</v>
      </c>
      <c r="O124" s="62">
        <f t="shared" si="1"/>
        <v>0</v>
      </c>
      <c r="P124" s="62">
        <f t="shared" si="1"/>
        <v>0</v>
      </c>
      <c r="Q124" s="62">
        <f t="shared" si="1"/>
        <v>0</v>
      </c>
      <c r="R124" s="62">
        <f t="shared" si="1"/>
        <v>0</v>
      </c>
      <c r="S124" s="62">
        <f t="shared" si="1"/>
        <v>0</v>
      </c>
    </row>
    <row r="125" spans="1:22" customFormat="1" ht="15" x14ac:dyDescent="0.25">
      <c r="B125" s="46" t="s">
        <v>83</v>
      </c>
      <c r="C125" s="2"/>
      <c r="D125" s="2"/>
      <c r="E125" s="46"/>
      <c r="F125" s="46" t="s">
        <v>80</v>
      </c>
      <c r="G125" s="2"/>
      <c r="H125" s="2"/>
      <c r="I125" s="2"/>
      <c r="J125" s="71"/>
      <c r="K125" s="46"/>
      <c r="L125" s="62">
        <f t="shared" ref="L125:S125" si="2">SUM(L20,L55,L90)/3</f>
        <v>0</v>
      </c>
      <c r="M125" s="62">
        <f t="shared" si="2"/>
        <v>0</v>
      </c>
      <c r="N125" s="62">
        <f t="shared" si="2"/>
        <v>0</v>
      </c>
      <c r="O125" s="62">
        <f t="shared" si="2"/>
        <v>0</v>
      </c>
      <c r="P125" s="62">
        <f t="shared" si="2"/>
        <v>0</v>
      </c>
      <c r="Q125" s="62">
        <f t="shared" si="2"/>
        <v>0</v>
      </c>
      <c r="R125" s="62">
        <f t="shared" si="2"/>
        <v>0</v>
      </c>
      <c r="S125" s="62">
        <f t="shared" si="2"/>
        <v>0</v>
      </c>
    </row>
    <row r="126" spans="1:22" customFormat="1" ht="15" x14ac:dyDescent="0.25">
      <c r="B126" s="46" t="s">
        <v>84</v>
      </c>
      <c r="C126" s="2"/>
      <c r="D126" s="2"/>
      <c r="E126" s="46"/>
      <c r="F126" s="46" t="s">
        <v>80</v>
      </c>
      <c r="G126" s="2"/>
      <c r="H126" s="2"/>
      <c r="I126" s="2"/>
      <c r="J126" s="71"/>
      <c r="K126" s="46"/>
      <c r="L126" s="62">
        <f t="shared" ref="L126:S126" si="3">SUM(L21,L56,L91)/3</f>
        <v>0</v>
      </c>
      <c r="M126" s="62">
        <f t="shared" si="3"/>
        <v>0</v>
      </c>
      <c r="N126" s="62">
        <f t="shared" si="3"/>
        <v>0</v>
      </c>
      <c r="O126" s="62">
        <f t="shared" si="3"/>
        <v>0</v>
      </c>
      <c r="P126" s="62">
        <f t="shared" si="3"/>
        <v>0</v>
      </c>
      <c r="Q126" s="62">
        <f t="shared" si="3"/>
        <v>0</v>
      </c>
      <c r="R126" s="62">
        <f t="shared" si="3"/>
        <v>0</v>
      </c>
      <c r="S126" s="62">
        <f t="shared" si="3"/>
        <v>0</v>
      </c>
    </row>
    <row r="127" spans="1:22" customFormat="1" ht="15" x14ac:dyDescent="0.25">
      <c r="B127" s="46" t="s">
        <v>85</v>
      </c>
      <c r="C127" s="2"/>
      <c r="D127" s="2"/>
      <c r="E127" s="46"/>
      <c r="F127" s="46" t="s">
        <v>80</v>
      </c>
      <c r="G127" s="2"/>
      <c r="H127" s="2"/>
      <c r="I127" s="2"/>
      <c r="J127" s="71"/>
      <c r="K127" s="46"/>
      <c r="L127" s="62">
        <f t="shared" ref="L127:S127" si="4">SUM(L22,L57,L92)/3</f>
        <v>0</v>
      </c>
      <c r="M127" s="62">
        <f t="shared" si="4"/>
        <v>0</v>
      </c>
      <c r="N127" s="62">
        <f t="shared" si="4"/>
        <v>0</v>
      </c>
      <c r="O127" s="62">
        <f t="shared" si="4"/>
        <v>0</v>
      </c>
      <c r="P127" s="62">
        <f t="shared" si="4"/>
        <v>0</v>
      </c>
      <c r="Q127" s="62">
        <f t="shared" si="4"/>
        <v>0</v>
      </c>
      <c r="R127" s="62">
        <f t="shared" si="4"/>
        <v>0</v>
      </c>
      <c r="S127" s="62">
        <f t="shared" si="4"/>
        <v>0</v>
      </c>
    </row>
    <row r="128" spans="1:22" customFormat="1" ht="15" x14ac:dyDescent="0.25">
      <c r="B128" s="46" t="s">
        <v>86</v>
      </c>
      <c r="C128" s="2"/>
      <c r="D128" s="2"/>
      <c r="E128" s="46"/>
      <c r="F128" s="46" t="s">
        <v>80</v>
      </c>
      <c r="G128" s="2"/>
      <c r="H128" s="2"/>
      <c r="I128" s="2"/>
      <c r="J128" s="71"/>
      <c r="K128" s="46"/>
      <c r="L128" s="62">
        <f t="shared" ref="L128:S128" si="5">SUM(L23,L58,L93)/3</f>
        <v>0</v>
      </c>
      <c r="M128" s="62">
        <f t="shared" si="5"/>
        <v>0</v>
      </c>
      <c r="N128" s="62">
        <f t="shared" si="5"/>
        <v>0</v>
      </c>
      <c r="O128" s="62">
        <f t="shared" si="5"/>
        <v>0</v>
      </c>
      <c r="P128" s="62">
        <f t="shared" si="5"/>
        <v>0</v>
      </c>
      <c r="Q128" s="62">
        <f t="shared" si="5"/>
        <v>0.1050228310502283</v>
      </c>
      <c r="R128" s="62">
        <f t="shared" si="5"/>
        <v>0</v>
      </c>
      <c r="S128" s="62">
        <f t="shared" si="5"/>
        <v>0</v>
      </c>
    </row>
    <row r="129" spans="2:23" customFormat="1" ht="15" x14ac:dyDescent="0.25">
      <c r="B129" s="46"/>
      <c r="C129" s="2"/>
      <c r="D129" s="2"/>
      <c r="E129" s="46"/>
      <c r="F129" s="46"/>
      <c r="G129" s="2"/>
      <c r="H129" s="2"/>
      <c r="I129" s="2"/>
      <c r="J129" s="71"/>
      <c r="K129" s="64"/>
      <c r="L129" s="65"/>
      <c r="M129" s="65"/>
      <c r="N129" s="65"/>
      <c r="O129" s="65"/>
      <c r="P129" s="65"/>
      <c r="Q129" s="65"/>
      <c r="R129" s="65"/>
      <c r="S129" s="65"/>
    </row>
    <row r="130" spans="2:23" customFormat="1" ht="15" x14ac:dyDescent="0.25">
      <c r="B130" s="45" t="s">
        <v>87</v>
      </c>
      <c r="C130" s="2"/>
      <c r="D130" s="2"/>
      <c r="E130" s="46"/>
      <c r="F130" s="46"/>
      <c r="G130" s="2"/>
      <c r="H130" s="2"/>
      <c r="I130" s="2"/>
      <c r="J130" s="71"/>
      <c r="K130" s="64"/>
      <c r="L130" s="65"/>
      <c r="M130" s="65"/>
      <c r="N130" s="65"/>
      <c r="O130" s="65"/>
      <c r="P130" s="65"/>
      <c r="Q130" s="65"/>
      <c r="R130" s="65"/>
      <c r="S130" s="65"/>
    </row>
    <row r="131" spans="2:23" customFormat="1" ht="15" x14ac:dyDescent="0.25">
      <c r="B131" s="46" t="s">
        <v>88</v>
      </c>
      <c r="C131" s="2"/>
      <c r="D131" s="2"/>
      <c r="E131" s="46"/>
      <c r="F131" s="46" t="s">
        <v>80</v>
      </c>
      <c r="G131" s="2"/>
      <c r="H131" s="2"/>
      <c r="I131" s="2"/>
      <c r="J131" s="71"/>
      <c r="K131" s="46"/>
      <c r="L131" s="62">
        <f t="shared" ref="L131:S131" si="6">SUM(L26,L61,L96)/3</f>
        <v>0</v>
      </c>
      <c r="M131" s="62">
        <f t="shared" si="6"/>
        <v>0</v>
      </c>
      <c r="N131" s="62">
        <f t="shared" si="6"/>
        <v>0</v>
      </c>
      <c r="O131" s="62">
        <f t="shared" si="6"/>
        <v>0</v>
      </c>
      <c r="P131" s="62">
        <f t="shared" si="6"/>
        <v>0</v>
      </c>
      <c r="Q131" s="62">
        <f t="shared" si="6"/>
        <v>0</v>
      </c>
      <c r="R131" s="62">
        <f t="shared" si="6"/>
        <v>0</v>
      </c>
      <c r="S131" s="62">
        <f t="shared" si="6"/>
        <v>0</v>
      </c>
    </row>
    <row r="132" spans="2:23" customFormat="1" ht="15" x14ac:dyDescent="0.25">
      <c r="B132" s="46" t="s">
        <v>89</v>
      </c>
      <c r="C132" s="2"/>
      <c r="D132" s="2"/>
      <c r="E132" s="46"/>
      <c r="F132" s="46" t="s">
        <v>80</v>
      </c>
      <c r="G132" s="2"/>
      <c r="H132" s="2"/>
      <c r="I132" s="2"/>
      <c r="J132" s="71"/>
      <c r="K132" s="46"/>
      <c r="L132" s="62">
        <f t="shared" ref="L132:S132" si="7">SUM(L27,L62,L97)/3</f>
        <v>0</v>
      </c>
      <c r="M132" s="62">
        <f t="shared" si="7"/>
        <v>0</v>
      </c>
      <c r="N132" s="62">
        <f t="shared" si="7"/>
        <v>0</v>
      </c>
      <c r="O132" s="62">
        <f t="shared" si="7"/>
        <v>0.33333333333333331</v>
      </c>
      <c r="P132" s="62">
        <f t="shared" si="7"/>
        <v>0</v>
      </c>
      <c r="Q132" s="62">
        <f t="shared" si="7"/>
        <v>0</v>
      </c>
      <c r="R132" s="62">
        <f t="shared" si="7"/>
        <v>0</v>
      </c>
      <c r="S132" s="62">
        <f t="shared" si="7"/>
        <v>0</v>
      </c>
    </row>
    <row r="133" spans="2:23" customFormat="1" ht="15" x14ac:dyDescent="0.25">
      <c r="B133" s="46" t="s">
        <v>90</v>
      </c>
      <c r="C133" s="2"/>
      <c r="D133" s="2"/>
      <c r="E133" s="46"/>
      <c r="F133" s="46" t="s">
        <v>80</v>
      </c>
      <c r="G133" s="2"/>
      <c r="H133" s="2"/>
      <c r="I133" s="2"/>
      <c r="J133" s="71"/>
      <c r="K133" s="46"/>
      <c r="L133" s="62">
        <f t="shared" ref="L133:S133" si="8">SUM(L28,L63,L98)/3</f>
        <v>0</v>
      </c>
      <c r="M133" s="62">
        <f t="shared" si="8"/>
        <v>0</v>
      </c>
      <c r="N133" s="62">
        <f t="shared" si="8"/>
        <v>0</v>
      </c>
      <c r="O133" s="62">
        <f t="shared" si="8"/>
        <v>0</v>
      </c>
      <c r="P133" s="62">
        <f t="shared" si="8"/>
        <v>0</v>
      </c>
      <c r="Q133" s="62">
        <f t="shared" si="8"/>
        <v>0</v>
      </c>
      <c r="R133" s="62">
        <f t="shared" si="8"/>
        <v>0</v>
      </c>
      <c r="S133" s="62">
        <f t="shared" si="8"/>
        <v>0</v>
      </c>
    </row>
    <row r="134" spans="2:23" customFormat="1" ht="15" x14ac:dyDescent="0.25">
      <c r="B134" s="46" t="s">
        <v>91</v>
      </c>
      <c r="C134" s="2"/>
      <c r="D134" s="2"/>
      <c r="E134" s="46"/>
      <c r="F134" s="46" t="s">
        <v>80</v>
      </c>
      <c r="G134" s="2"/>
      <c r="H134" s="2"/>
      <c r="I134" s="2"/>
      <c r="J134" s="71"/>
      <c r="K134" s="46"/>
      <c r="L134" s="62">
        <f t="shared" ref="L134:S134" si="9">SUM(L29,L64,L99)/3</f>
        <v>0</v>
      </c>
      <c r="M134" s="62">
        <f t="shared" si="9"/>
        <v>0</v>
      </c>
      <c r="N134" s="62">
        <f t="shared" si="9"/>
        <v>0</v>
      </c>
      <c r="O134" s="62">
        <f t="shared" si="9"/>
        <v>0</v>
      </c>
      <c r="P134" s="62">
        <f t="shared" si="9"/>
        <v>0</v>
      </c>
      <c r="Q134" s="62">
        <f t="shared" si="9"/>
        <v>0</v>
      </c>
      <c r="R134" s="62">
        <f t="shared" si="9"/>
        <v>0</v>
      </c>
      <c r="S134" s="62">
        <f t="shared" si="9"/>
        <v>0</v>
      </c>
    </row>
    <row r="135" spans="2:23" customFormat="1" ht="15" x14ac:dyDescent="0.25">
      <c r="B135" s="46" t="s">
        <v>92</v>
      </c>
      <c r="C135" s="2"/>
      <c r="D135" s="2"/>
      <c r="E135" s="46"/>
      <c r="F135" s="46" t="s">
        <v>80</v>
      </c>
      <c r="G135" s="2"/>
      <c r="H135" s="2"/>
      <c r="I135" s="2"/>
      <c r="J135" s="71"/>
      <c r="K135" s="46"/>
      <c r="L135" s="62">
        <f t="shared" ref="L135:S135" si="10">SUM(L30,L65,L100)/3</f>
        <v>0</v>
      </c>
      <c r="M135" s="62">
        <f t="shared" si="10"/>
        <v>0</v>
      </c>
      <c r="N135" s="62">
        <f t="shared" si="10"/>
        <v>0</v>
      </c>
      <c r="O135" s="62">
        <f t="shared" si="10"/>
        <v>0</v>
      </c>
      <c r="P135" s="62">
        <f t="shared" si="10"/>
        <v>0</v>
      </c>
      <c r="Q135" s="62">
        <f t="shared" si="10"/>
        <v>0</v>
      </c>
      <c r="R135" s="62">
        <f t="shared" si="10"/>
        <v>0</v>
      </c>
      <c r="S135" s="62">
        <f t="shared" si="10"/>
        <v>0</v>
      </c>
    </row>
    <row r="136" spans="2:23" customFormat="1" ht="15" x14ac:dyDescent="0.25">
      <c r="B136" s="46"/>
      <c r="C136" s="2"/>
      <c r="D136" s="2"/>
      <c r="E136" s="46"/>
      <c r="F136" s="46"/>
      <c r="G136" s="2"/>
      <c r="H136" s="2"/>
      <c r="I136" s="2"/>
      <c r="J136" s="71"/>
      <c r="K136" s="64"/>
      <c r="L136" s="65"/>
      <c r="M136" s="65"/>
      <c r="N136" s="65"/>
      <c r="O136" s="65"/>
      <c r="P136" s="65"/>
      <c r="Q136" s="65"/>
      <c r="R136" s="65"/>
      <c r="S136" s="65"/>
      <c r="T136" s="66"/>
      <c r="U136" s="66"/>
      <c r="V136" s="66"/>
      <c r="W136" s="66"/>
    </row>
    <row r="137" spans="2:23" customFormat="1" ht="15" x14ac:dyDescent="0.25">
      <c r="B137" s="45" t="s">
        <v>93</v>
      </c>
      <c r="C137" s="2"/>
      <c r="D137" s="2"/>
      <c r="E137" s="46"/>
      <c r="F137" s="46"/>
      <c r="G137" s="2"/>
      <c r="H137" s="2"/>
      <c r="I137" s="2"/>
      <c r="J137" s="71"/>
      <c r="K137" s="64"/>
      <c r="L137" s="65"/>
      <c r="M137" s="65"/>
      <c r="N137" s="65"/>
      <c r="O137" s="65"/>
      <c r="P137" s="65"/>
      <c r="Q137" s="65"/>
      <c r="R137" s="65"/>
      <c r="S137" s="65"/>
      <c r="T137" s="66"/>
      <c r="U137" s="66"/>
      <c r="V137" s="66"/>
      <c r="W137" s="66"/>
    </row>
    <row r="138" spans="2:23" customFormat="1" ht="15" x14ac:dyDescent="0.25">
      <c r="B138" s="46"/>
      <c r="C138" s="2"/>
      <c r="D138" s="2"/>
      <c r="E138" s="46"/>
      <c r="F138" s="46"/>
      <c r="G138" s="2"/>
      <c r="H138" s="2"/>
      <c r="I138" s="2"/>
      <c r="J138" s="71"/>
      <c r="K138" s="64"/>
      <c r="L138" s="65"/>
      <c r="M138" s="65"/>
      <c r="N138" s="65"/>
      <c r="O138" s="65"/>
      <c r="P138" s="65"/>
      <c r="Q138" s="65"/>
      <c r="R138" s="65"/>
      <c r="S138" s="65"/>
      <c r="T138" s="66"/>
      <c r="U138" s="66"/>
      <c r="V138" s="66"/>
      <c r="W138" s="66"/>
    </row>
    <row r="139" spans="2:23" customFormat="1" ht="15" x14ac:dyDescent="0.25">
      <c r="B139" s="45" t="s">
        <v>94</v>
      </c>
      <c r="C139" s="2"/>
      <c r="D139" s="2"/>
      <c r="E139" s="46"/>
      <c r="F139" s="46"/>
      <c r="G139" s="2"/>
      <c r="H139" s="2"/>
      <c r="I139" s="2"/>
      <c r="J139" s="72"/>
      <c r="K139" s="64"/>
      <c r="L139" s="65"/>
      <c r="M139" s="65"/>
      <c r="N139" s="65"/>
      <c r="O139" s="65"/>
      <c r="P139" s="65"/>
      <c r="Q139" s="65"/>
      <c r="R139" s="65"/>
      <c r="S139" s="65"/>
      <c r="T139" s="66"/>
      <c r="U139" s="66"/>
      <c r="V139" s="66"/>
      <c r="W139" s="66"/>
    </row>
    <row r="140" spans="2:23" customFormat="1" ht="15" x14ac:dyDescent="0.25">
      <c r="B140" s="46" t="s">
        <v>95</v>
      </c>
      <c r="C140" s="2"/>
      <c r="D140" s="2"/>
      <c r="E140" s="46"/>
      <c r="F140" s="46" t="s">
        <v>80</v>
      </c>
      <c r="G140" s="2"/>
      <c r="H140" s="2"/>
      <c r="I140" s="2"/>
      <c r="J140" s="71"/>
      <c r="K140" s="46"/>
      <c r="L140" s="62">
        <f t="shared" ref="L140:S140" si="11">SUM(L35,L70,L105)/3</f>
        <v>1</v>
      </c>
      <c r="M140" s="62">
        <f t="shared" si="11"/>
        <v>0</v>
      </c>
      <c r="N140" s="62">
        <f t="shared" si="11"/>
        <v>0</v>
      </c>
      <c r="O140" s="62">
        <f t="shared" si="11"/>
        <v>0</v>
      </c>
      <c r="P140" s="62">
        <f t="shared" si="11"/>
        <v>0.47333333333333333</v>
      </c>
      <c r="Q140" s="62">
        <f t="shared" si="11"/>
        <v>0</v>
      </c>
      <c r="R140" s="62">
        <f t="shared" si="11"/>
        <v>0</v>
      </c>
      <c r="S140" s="62">
        <f t="shared" si="11"/>
        <v>0</v>
      </c>
    </row>
    <row r="141" spans="2:23" customFormat="1" ht="15" x14ac:dyDescent="0.25">
      <c r="B141" s="46" t="s">
        <v>96</v>
      </c>
      <c r="C141" s="2"/>
      <c r="D141" s="2"/>
      <c r="E141" s="46"/>
      <c r="F141" s="46" t="s">
        <v>80</v>
      </c>
      <c r="G141" s="2"/>
      <c r="H141" s="2"/>
      <c r="I141" s="2"/>
      <c r="J141" s="71"/>
      <c r="K141" s="46"/>
      <c r="L141" s="62">
        <f t="shared" ref="L141:S141" si="12">SUM(L36,L71,L106)/3</f>
        <v>0</v>
      </c>
      <c r="M141" s="62">
        <f t="shared" si="12"/>
        <v>0</v>
      </c>
      <c r="N141" s="62">
        <f t="shared" si="12"/>
        <v>0</v>
      </c>
      <c r="O141" s="62">
        <f t="shared" si="12"/>
        <v>0</v>
      </c>
      <c r="P141" s="62">
        <f t="shared" si="12"/>
        <v>0</v>
      </c>
      <c r="Q141" s="62">
        <f t="shared" si="12"/>
        <v>0</v>
      </c>
      <c r="R141" s="62">
        <f t="shared" si="12"/>
        <v>0</v>
      </c>
      <c r="S141" s="62">
        <f t="shared" si="12"/>
        <v>0</v>
      </c>
    </row>
    <row r="142" spans="2:23" customFormat="1" ht="15" x14ac:dyDescent="0.25">
      <c r="C142" s="2"/>
      <c r="D142" s="2"/>
      <c r="E142" s="46"/>
      <c r="F142" s="46"/>
      <c r="G142" s="2"/>
      <c r="H142" s="2"/>
      <c r="I142" s="2"/>
      <c r="J142" s="71"/>
      <c r="K142" s="64"/>
      <c r="L142" s="65"/>
      <c r="M142" s="65"/>
      <c r="N142" s="65"/>
      <c r="O142" s="65"/>
      <c r="P142" s="65"/>
      <c r="Q142" s="65"/>
      <c r="R142" s="65"/>
      <c r="S142" s="65"/>
      <c r="T142" s="66"/>
      <c r="U142" s="66"/>
    </row>
    <row r="143" spans="2:23" customFormat="1" ht="15" x14ac:dyDescent="0.25">
      <c r="B143" s="46" t="s">
        <v>97</v>
      </c>
      <c r="C143" s="2"/>
      <c r="D143" s="2"/>
      <c r="E143" s="46"/>
      <c r="F143" s="46" t="s">
        <v>80</v>
      </c>
      <c r="G143" s="2"/>
      <c r="H143" s="2"/>
      <c r="I143" s="2"/>
      <c r="J143" s="71"/>
      <c r="K143" s="46"/>
      <c r="L143" s="62">
        <f t="shared" ref="L143:S143" si="13">SUM(L38,L73,L108)/3</f>
        <v>0</v>
      </c>
      <c r="M143" s="62">
        <f t="shared" si="13"/>
        <v>0</v>
      </c>
      <c r="N143" s="62">
        <f t="shared" si="13"/>
        <v>11.967943271851601</v>
      </c>
      <c r="O143" s="62">
        <f t="shared" si="13"/>
        <v>6.583333333333333</v>
      </c>
      <c r="P143" s="62">
        <f t="shared" si="13"/>
        <v>0</v>
      </c>
      <c r="Q143" s="62">
        <f t="shared" si="13"/>
        <v>3</v>
      </c>
      <c r="R143" s="62">
        <f t="shared" si="13"/>
        <v>0</v>
      </c>
      <c r="S143" s="62">
        <f t="shared" si="13"/>
        <v>0</v>
      </c>
    </row>
    <row r="144" spans="2:23" customFormat="1" ht="15" x14ac:dyDescent="0.25">
      <c r="B144" s="46"/>
      <c r="C144" s="2"/>
      <c r="D144" s="2"/>
      <c r="E144" s="46"/>
      <c r="F144" s="46"/>
      <c r="G144" s="2"/>
      <c r="H144" s="2"/>
      <c r="I144" s="2"/>
      <c r="J144" s="71"/>
      <c r="K144" s="64"/>
      <c r="L144" s="65"/>
      <c r="M144" s="65"/>
      <c r="N144" s="65"/>
      <c r="O144" s="65"/>
      <c r="P144" s="65"/>
      <c r="Q144" s="65"/>
      <c r="R144" s="65"/>
      <c r="S144" s="65"/>
      <c r="T144" s="66"/>
      <c r="U144" s="66"/>
    </row>
    <row r="145" spans="1:22" customFormat="1" ht="15" x14ac:dyDescent="0.25">
      <c r="B145" s="45" t="s">
        <v>98</v>
      </c>
      <c r="C145" s="2"/>
      <c r="D145" s="2"/>
      <c r="E145" s="46"/>
      <c r="F145" s="46"/>
      <c r="G145" s="2"/>
      <c r="H145" s="2"/>
      <c r="I145" s="2"/>
      <c r="J145" s="71"/>
      <c r="K145" s="64"/>
      <c r="L145" s="65"/>
      <c r="M145" s="65"/>
      <c r="N145" s="65"/>
      <c r="O145" s="65"/>
      <c r="P145" s="65"/>
      <c r="Q145" s="65"/>
      <c r="R145" s="65"/>
      <c r="S145" s="65"/>
      <c r="T145" s="66"/>
      <c r="U145" s="66"/>
    </row>
    <row r="146" spans="1:22" customFormat="1" ht="15" x14ac:dyDescent="0.25">
      <c r="B146" s="46"/>
      <c r="C146" s="2"/>
      <c r="D146" s="2"/>
      <c r="E146" s="46"/>
      <c r="F146" s="46"/>
      <c r="G146" s="2"/>
      <c r="H146" s="2"/>
      <c r="I146" s="2"/>
      <c r="J146" s="71"/>
      <c r="K146" s="64"/>
      <c r="L146" s="65"/>
      <c r="M146" s="65"/>
      <c r="N146" s="65"/>
      <c r="O146" s="65"/>
      <c r="P146" s="65"/>
      <c r="Q146" s="65"/>
      <c r="R146" s="65"/>
      <c r="S146" s="65"/>
      <c r="T146" s="66"/>
      <c r="U146" s="66"/>
    </row>
    <row r="147" spans="1:22" customFormat="1" ht="15" x14ac:dyDescent="0.25">
      <c r="B147" s="45" t="s">
        <v>94</v>
      </c>
      <c r="C147" s="2"/>
      <c r="D147" s="2"/>
      <c r="E147" s="46"/>
      <c r="F147" s="46"/>
      <c r="G147" s="2"/>
      <c r="H147" s="2"/>
      <c r="I147" s="2"/>
      <c r="J147" s="71"/>
      <c r="K147" s="64"/>
      <c r="L147" s="65"/>
      <c r="M147" s="65"/>
      <c r="N147" s="65"/>
      <c r="O147" s="65"/>
      <c r="P147" s="65"/>
      <c r="Q147" s="65"/>
      <c r="R147" s="65"/>
      <c r="S147" s="65"/>
      <c r="T147" s="66"/>
      <c r="U147" s="66"/>
    </row>
    <row r="148" spans="1:22" customFormat="1" ht="15" x14ac:dyDescent="0.25">
      <c r="B148" s="46" t="s">
        <v>95</v>
      </c>
      <c r="C148" s="2"/>
      <c r="D148" s="2"/>
      <c r="E148" s="46"/>
      <c r="F148" s="46" t="s">
        <v>80</v>
      </c>
      <c r="G148" s="2"/>
      <c r="H148" s="2"/>
      <c r="I148" s="2"/>
      <c r="J148" s="71"/>
      <c r="K148" s="46"/>
      <c r="L148" s="62">
        <f t="shared" ref="L148:S148" si="14">SUM(L43,L78,L113)/3</f>
        <v>0</v>
      </c>
      <c r="M148" s="62">
        <f t="shared" si="14"/>
        <v>0</v>
      </c>
      <c r="N148" s="62">
        <f t="shared" si="14"/>
        <v>0</v>
      </c>
      <c r="O148" s="62">
        <f t="shared" si="14"/>
        <v>0</v>
      </c>
      <c r="P148" s="62">
        <f t="shared" si="14"/>
        <v>714.33333333333337</v>
      </c>
      <c r="Q148" s="62">
        <f t="shared" si="14"/>
        <v>0</v>
      </c>
      <c r="R148" s="62">
        <f t="shared" si="14"/>
        <v>0</v>
      </c>
      <c r="S148" s="62">
        <f t="shared" si="14"/>
        <v>0</v>
      </c>
    </row>
    <row r="149" spans="1:22" customFormat="1" ht="15" x14ac:dyDescent="0.25">
      <c r="B149" s="46" t="s">
        <v>96</v>
      </c>
      <c r="C149" s="2"/>
      <c r="D149" s="2"/>
      <c r="E149" s="46"/>
      <c r="F149" s="46" t="s">
        <v>80</v>
      </c>
      <c r="G149" s="2"/>
      <c r="H149" s="2"/>
      <c r="I149" s="2"/>
      <c r="J149" s="71"/>
      <c r="K149" s="46"/>
      <c r="L149" s="62">
        <f t="shared" ref="L149:S149" si="15">SUM(L44,L79,L114)/3</f>
        <v>0</v>
      </c>
      <c r="M149" s="62">
        <f t="shared" si="15"/>
        <v>0</v>
      </c>
      <c r="N149" s="62">
        <f t="shared" si="15"/>
        <v>0</v>
      </c>
      <c r="O149" s="62">
        <f t="shared" si="15"/>
        <v>0</v>
      </c>
      <c r="P149" s="62">
        <f t="shared" si="15"/>
        <v>0</v>
      </c>
      <c r="Q149" s="62">
        <f t="shared" si="15"/>
        <v>0</v>
      </c>
      <c r="R149" s="62">
        <f t="shared" si="15"/>
        <v>0</v>
      </c>
      <c r="S149" s="62">
        <f t="shared" si="15"/>
        <v>0</v>
      </c>
    </row>
    <row r="150" spans="1:22" customFormat="1" ht="15" x14ac:dyDescent="0.25">
      <c r="B150" s="46"/>
      <c r="C150" s="2"/>
      <c r="D150" s="2"/>
      <c r="E150" s="46"/>
      <c r="F150" s="46"/>
      <c r="G150" s="2"/>
      <c r="H150" s="2"/>
      <c r="I150" s="2"/>
      <c r="J150" s="71"/>
      <c r="K150" s="64"/>
      <c r="L150" s="65"/>
      <c r="M150" s="65"/>
      <c r="N150" s="65"/>
      <c r="O150" s="65"/>
      <c r="P150" s="65"/>
      <c r="Q150" s="65"/>
      <c r="R150" s="65"/>
      <c r="S150" s="65"/>
      <c r="T150" s="66"/>
      <c r="U150" s="66"/>
    </row>
    <row r="151" spans="1:22" customFormat="1" ht="15" x14ac:dyDescent="0.25">
      <c r="B151" s="46" t="s">
        <v>99</v>
      </c>
      <c r="C151" s="2"/>
      <c r="D151" s="2"/>
      <c r="E151" s="46"/>
      <c r="F151" s="46" t="s">
        <v>80</v>
      </c>
      <c r="G151" s="2"/>
      <c r="H151" s="2"/>
      <c r="I151" s="2"/>
      <c r="J151" s="71"/>
      <c r="K151" s="46"/>
      <c r="L151" s="62">
        <f t="shared" ref="L151:S151" si="16">SUM(L46,L81,L116)/3</f>
        <v>0</v>
      </c>
      <c r="M151" s="62">
        <f t="shared" si="16"/>
        <v>0</v>
      </c>
      <c r="N151" s="62">
        <f t="shared" si="16"/>
        <v>10672.483623519271</v>
      </c>
      <c r="O151" s="62">
        <f t="shared" si="16"/>
        <v>2648.3333333333335</v>
      </c>
      <c r="P151" s="62">
        <f t="shared" si="16"/>
        <v>0</v>
      </c>
      <c r="Q151" s="62">
        <f t="shared" si="16"/>
        <v>523.99964898424821</v>
      </c>
      <c r="R151" s="62">
        <f t="shared" si="16"/>
        <v>0</v>
      </c>
      <c r="S151" s="62">
        <f t="shared" si="16"/>
        <v>0</v>
      </c>
    </row>
    <row r="152" spans="1:22" customFormat="1" ht="15" x14ac:dyDescent="0.25">
      <c r="C152" s="2"/>
      <c r="D152" s="2"/>
      <c r="J152" s="72"/>
    </row>
    <row r="153" spans="1:22" s="8" customFormat="1" x14ac:dyDescent="0.25">
      <c r="B153" s="8" t="s">
        <v>197</v>
      </c>
    </row>
    <row r="154" spans="1:22" customFormat="1" ht="15" x14ac:dyDescent="0.25">
      <c r="A154" s="46"/>
      <c r="B154" s="46"/>
      <c r="C154" s="46"/>
      <c r="D154" s="46"/>
      <c r="E154" s="46"/>
      <c r="F154" s="49"/>
      <c r="G154" s="46"/>
      <c r="H154" s="48"/>
      <c r="I154" s="48"/>
      <c r="J154" s="48"/>
      <c r="K154" s="48"/>
      <c r="L154" s="48"/>
      <c r="M154" s="48"/>
      <c r="N154" s="48"/>
    </row>
    <row r="155" spans="1:22" customFormat="1" ht="15" x14ac:dyDescent="0.25">
      <c r="B155" s="45" t="s">
        <v>101</v>
      </c>
      <c r="C155" s="46"/>
      <c r="D155" s="46"/>
      <c r="E155" s="46"/>
      <c r="F155" s="49"/>
      <c r="G155" s="46"/>
      <c r="H155" s="48"/>
      <c r="I155" s="48"/>
      <c r="J155" s="48"/>
      <c r="K155" s="48"/>
      <c r="L155" s="48"/>
      <c r="M155" s="48"/>
      <c r="N155" s="48"/>
    </row>
    <row r="156" spans="1:22" customFormat="1" ht="15" x14ac:dyDescent="0.25">
      <c r="B156" s="46"/>
      <c r="C156" s="46"/>
      <c r="D156" s="46"/>
      <c r="E156" s="46"/>
      <c r="F156" s="49"/>
      <c r="G156" s="46"/>
      <c r="H156" s="48"/>
      <c r="I156" s="48"/>
      <c r="J156" s="48"/>
      <c r="K156" s="48"/>
      <c r="L156" s="48"/>
      <c r="M156" s="48"/>
      <c r="N156" s="48"/>
      <c r="V156" s="2"/>
    </row>
    <row r="157" spans="1:22" customFormat="1" ht="15" x14ac:dyDescent="0.25">
      <c r="B157" s="45" t="s">
        <v>102</v>
      </c>
      <c r="C157" s="46"/>
      <c r="D157" s="46"/>
      <c r="E157" s="46"/>
      <c r="F157" s="49"/>
      <c r="G157" s="46"/>
      <c r="H157" s="48"/>
      <c r="I157" s="48"/>
      <c r="J157" s="48"/>
      <c r="K157" s="48"/>
      <c r="L157" s="48"/>
      <c r="M157" s="48"/>
      <c r="N157" s="48"/>
      <c r="V157" s="2"/>
    </row>
    <row r="158" spans="1:22" customFormat="1" ht="15" x14ac:dyDescent="0.25">
      <c r="B158" s="46" t="s">
        <v>103</v>
      </c>
      <c r="C158" s="46"/>
      <c r="D158" s="2"/>
      <c r="E158" s="46"/>
      <c r="F158" s="46" t="s">
        <v>216</v>
      </c>
      <c r="G158" s="46"/>
      <c r="H158" s="2"/>
      <c r="I158" s="2"/>
      <c r="J158" s="2"/>
      <c r="K158" s="2"/>
      <c r="L158" s="56"/>
      <c r="M158" s="56"/>
      <c r="N158" s="56"/>
      <c r="O158" s="56"/>
      <c r="P158" s="56"/>
      <c r="Q158" s="57">
        <v>18</v>
      </c>
      <c r="R158" s="56"/>
      <c r="S158" s="56"/>
      <c r="V158" s="2" t="s">
        <v>228</v>
      </c>
    </row>
    <row r="159" spans="1:22" customFormat="1" ht="15" x14ac:dyDescent="0.25">
      <c r="B159" s="46" t="s">
        <v>104</v>
      </c>
      <c r="C159" s="46"/>
      <c r="D159" s="2"/>
      <c r="E159" s="46"/>
      <c r="F159" s="46" t="s">
        <v>216</v>
      </c>
      <c r="G159" s="46"/>
      <c r="H159" s="2"/>
      <c r="I159" s="2"/>
      <c r="J159" s="2"/>
      <c r="K159" s="2"/>
      <c r="L159" s="56"/>
      <c r="M159" s="56"/>
      <c r="N159" s="56"/>
      <c r="O159" s="56"/>
      <c r="P159" s="56"/>
      <c r="Q159" s="57">
        <v>28.06</v>
      </c>
      <c r="R159" s="56"/>
      <c r="S159" s="56"/>
      <c r="V159" s="2" t="s">
        <v>228</v>
      </c>
    </row>
    <row r="160" spans="1:22" customFormat="1" ht="15" x14ac:dyDescent="0.25">
      <c r="B160" s="46"/>
      <c r="C160" s="46"/>
      <c r="D160" s="2"/>
      <c r="E160" s="46"/>
      <c r="F160" s="46"/>
      <c r="G160" s="46"/>
      <c r="H160" s="2"/>
      <c r="I160" s="2"/>
      <c r="J160" s="2"/>
      <c r="K160" s="2"/>
      <c r="L160" s="50"/>
      <c r="M160" s="50"/>
      <c r="N160" s="50"/>
      <c r="O160" s="50"/>
      <c r="P160" s="50"/>
      <c r="Q160" s="50"/>
      <c r="R160" s="50"/>
      <c r="S160" s="50"/>
      <c r="V160" s="2"/>
    </row>
    <row r="161" spans="2:27" customFormat="1" ht="15" x14ac:dyDescent="0.25">
      <c r="B161" s="45" t="s">
        <v>105</v>
      </c>
      <c r="C161" s="46"/>
      <c r="D161" s="2"/>
      <c r="E161" s="46"/>
      <c r="F161" s="46"/>
      <c r="G161" s="46"/>
      <c r="H161" s="2"/>
      <c r="I161" s="2"/>
      <c r="J161" s="2"/>
      <c r="K161" s="2"/>
      <c r="L161" s="50"/>
      <c r="M161" s="50"/>
      <c r="N161" s="50"/>
      <c r="O161" s="50"/>
      <c r="P161" s="50"/>
      <c r="Q161" s="50"/>
      <c r="R161" s="50"/>
      <c r="S161" s="50"/>
      <c r="V161" s="2"/>
    </row>
    <row r="162" spans="2:27" customFormat="1" ht="15" x14ac:dyDescent="0.25">
      <c r="B162" s="46" t="s">
        <v>103</v>
      </c>
      <c r="C162" s="46"/>
      <c r="D162" s="2"/>
      <c r="E162" s="46"/>
      <c r="F162" s="46" t="s">
        <v>216</v>
      </c>
      <c r="G162" s="46"/>
      <c r="H162" s="2"/>
      <c r="I162" s="2"/>
      <c r="J162" s="2"/>
      <c r="K162" s="2"/>
      <c r="L162" s="56"/>
      <c r="M162" s="56"/>
      <c r="N162" s="56"/>
      <c r="O162" s="57">
        <v>18</v>
      </c>
      <c r="P162" s="56"/>
      <c r="Q162" s="56"/>
      <c r="R162" s="56"/>
      <c r="S162" s="56"/>
      <c r="V162" s="2" t="s">
        <v>228</v>
      </c>
    </row>
    <row r="163" spans="2:27" customFormat="1" ht="15" x14ac:dyDescent="0.25">
      <c r="B163" s="46" t="s">
        <v>104</v>
      </c>
      <c r="C163" s="46"/>
      <c r="D163" s="2"/>
      <c r="E163" s="46"/>
      <c r="F163" s="46" t="s">
        <v>216</v>
      </c>
      <c r="G163" s="46"/>
      <c r="H163" s="2"/>
      <c r="I163" s="2"/>
      <c r="J163" s="2"/>
      <c r="K163" s="2"/>
      <c r="L163" s="56"/>
      <c r="M163" s="56"/>
      <c r="N163" s="56"/>
      <c r="O163" s="57">
        <v>30.12</v>
      </c>
      <c r="P163" s="56"/>
      <c r="Q163" s="56"/>
      <c r="R163" s="56"/>
      <c r="S163" s="56"/>
      <c r="V163" s="2" t="s">
        <v>228</v>
      </c>
    </row>
    <row r="164" spans="2:27" customFormat="1" ht="15" x14ac:dyDescent="0.25">
      <c r="B164" s="46"/>
      <c r="C164" s="46"/>
      <c r="D164" s="2"/>
      <c r="E164" s="46"/>
      <c r="F164" s="46"/>
      <c r="G164" s="46"/>
      <c r="H164" s="2"/>
      <c r="I164" s="2"/>
      <c r="J164" s="2"/>
      <c r="K164" s="2"/>
      <c r="L164" s="50"/>
      <c r="M164" s="50"/>
      <c r="N164" s="50"/>
      <c r="O164" s="50"/>
      <c r="P164" s="50"/>
      <c r="Q164" s="50"/>
      <c r="R164" s="50"/>
      <c r="S164" s="50"/>
      <c r="V164" s="2"/>
    </row>
    <row r="165" spans="2:27" customFormat="1" ht="15" x14ac:dyDescent="0.25">
      <c r="B165" s="45" t="s">
        <v>106</v>
      </c>
      <c r="C165" s="46"/>
      <c r="D165" s="2"/>
      <c r="E165" s="46"/>
      <c r="F165" s="46"/>
      <c r="G165" s="49"/>
      <c r="H165" s="2"/>
      <c r="I165" s="2"/>
      <c r="J165" s="2"/>
      <c r="K165" s="2"/>
      <c r="L165" s="58"/>
      <c r="M165" s="58"/>
      <c r="N165" s="58"/>
      <c r="O165" s="58"/>
      <c r="P165" s="58"/>
      <c r="Q165" s="58"/>
      <c r="R165" s="50"/>
      <c r="S165" s="50"/>
      <c r="V165" s="2"/>
    </row>
    <row r="166" spans="2:27" customFormat="1" ht="15" x14ac:dyDescent="0.25">
      <c r="B166" s="46" t="s">
        <v>103</v>
      </c>
      <c r="C166" s="46"/>
      <c r="D166" s="2"/>
      <c r="E166" s="46"/>
      <c r="F166" s="46" t="s">
        <v>216</v>
      </c>
      <c r="G166" s="46"/>
      <c r="H166" s="2"/>
      <c r="I166" s="2"/>
      <c r="J166" s="2"/>
      <c r="K166" s="2"/>
      <c r="L166" s="57">
        <v>500</v>
      </c>
      <c r="M166" s="56"/>
      <c r="N166" s="57">
        <v>968.07</v>
      </c>
      <c r="O166" s="57">
        <v>867.48</v>
      </c>
      <c r="P166" s="57">
        <v>576</v>
      </c>
      <c r="Q166" s="57">
        <v>778.31</v>
      </c>
      <c r="R166" s="56"/>
      <c r="S166" s="56"/>
      <c r="V166" s="2" t="s">
        <v>228</v>
      </c>
    </row>
    <row r="167" spans="2:27" customFormat="1" ht="15" x14ac:dyDescent="0.25">
      <c r="B167" s="46" t="s">
        <v>95</v>
      </c>
      <c r="C167" s="46"/>
      <c r="D167" s="2"/>
      <c r="E167" s="46"/>
      <c r="F167" s="46" t="s">
        <v>216</v>
      </c>
      <c r="G167" s="46"/>
      <c r="H167" s="2"/>
      <c r="I167" s="2"/>
      <c r="J167" s="2"/>
      <c r="K167" s="2"/>
      <c r="L167" s="56"/>
      <c r="M167" s="56"/>
      <c r="N167" s="56"/>
      <c r="O167" s="56"/>
      <c r="P167" s="57">
        <v>21.15</v>
      </c>
      <c r="Q167" s="56"/>
      <c r="R167" s="56"/>
      <c r="S167" s="56"/>
      <c r="V167" s="2" t="s">
        <v>228</v>
      </c>
    </row>
    <row r="168" spans="2:27" customFormat="1" ht="15" x14ac:dyDescent="0.25">
      <c r="B168" s="46" t="s">
        <v>96</v>
      </c>
      <c r="C168" s="46"/>
      <c r="D168" s="2"/>
      <c r="E168" s="46"/>
      <c r="F168" s="46" t="s">
        <v>216</v>
      </c>
      <c r="G168" s="46"/>
      <c r="H168" s="2"/>
      <c r="I168" s="2"/>
      <c r="J168" s="2"/>
      <c r="K168" s="2"/>
      <c r="L168" s="56"/>
      <c r="M168" s="56"/>
      <c r="N168" s="56"/>
      <c r="O168" s="56"/>
      <c r="P168" s="56"/>
      <c r="Q168" s="56"/>
      <c r="R168" s="56"/>
      <c r="S168" s="56"/>
      <c r="V168" s="2" t="s">
        <v>228</v>
      </c>
    </row>
    <row r="169" spans="2:27" customFormat="1" ht="15" x14ac:dyDescent="0.25">
      <c r="B169" s="46" t="s">
        <v>107</v>
      </c>
      <c r="C169" s="46"/>
      <c r="D169" s="2"/>
      <c r="E169" s="46"/>
      <c r="F169" s="46" t="s">
        <v>216</v>
      </c>
      <c r="G169" s="46"/>
      <c r="H169" s="2"/>
      <c r="I169" s="2"/>
      <c r="J169" s="2"/>
      <c r="K169" s="2"/>
      <c r="L169" s="56"/>
      <c r="M169" s="56"/>
      <c r="N169" s="57">
        <v>22.2593</v>
      </c>
      <c r="O169" s="57">
        <v>20.52</v>
      </c>
      <c r="P169" s="56"/>
      <c r="Q169" s="57">
        <v>24.281099999999999</v>
      </c>
      <c r="R169" s="56"/>
      <c r="S169" s="56"/>
      <c r="V169" s="2" t="s">
        <v>228</v>
      </c>
    </row>
    <row r="170" spans="2:27" customFormat="1" ht="15" x14ac:dyDescent="0.25">
      <c r="D170" s="2"/>
      <c r="H170" s="2"/>
      <c r="I170" s="2"/>
      <c r="J170" s="2"/>
      <c r="K170" s="2"/>
      <c r="L170" s="59"/>
      <c r="M170" s="59"/>
      <c r="N170" s="59"/>
      <c r="O170" s="59"/>
      <c r="P170" s="59"/>
      <c r="Q170" s="59"/>
      <c r="R170" s="59"/>
      <c r="S170" s="59"/>
      <c r="V170" s="2"/>
    </row>
    <row r="171" spans="2:27" customFormat="1" ht="15" x14ac:dyDescent="0.25">
      <c r="B171" s="45" t="s">
        <v>108</v>
      </c>
      <c r="D171" s="2"/>
      <c r="H171" s="2"/>
      <c r="I171" s="2"/>
      <c r="J171" s="2"/>
      <c r="K171" s="2"/>
      <c r="L171" s="59"/>
      <c r="M171" s="59"/>
      <c r="N171" s="59"/>
      <c r="O171" s="59"/>
      <c r="P171" s="59"/>
      <c r="Q171" s="59"/>
      <c r="R171" s="59"/>
      <c r="S171" s="59"/>
    </row>
    <row r="172" spans="2:27" customFormat="1" ht="15" x14ac:dyDescent="0.25">
      <c r="B172" s="2"/>
      <c r="D172" s="2"/>
      <c r="H172" s="2"/>
      <c r="I172" s="2"/>
      <c r="J172" s="2"/>
      <c r="K172" s="2"/>
      <c r="L172" s="59"/>
      <c r="M172" s="59"/>
      <c r="N172" s="59"/>
      <c r="O172" s="59"/>
      <c r="P172" s="59"/>
      <c r="Q172" s="59"/>
      <c r="R172" s="59"/>
      <c r="S172" s="59"/>
    </row>
    <row r="173" spans="2:27" customFormat="1" ht="15" x14ac:dyDescent="0.25">
      <c r="B173" s="2" t="s">
        <v>86</v>
      </c>
      <c r="D173" s="2"/>
      <c r="F173" s="46" t="s">
        <v>276</v>
      </c>
      <c r="H173" s="2"/>
      <c r="I173" s="2"/>
      <c r="J173" s="2"/>
      <c r="K173" s="2"/>
      <c r="L173" s="61"/>
      <c r="M173" s="61"/>
      <c r="N173" s="61"/>
      <c r="O173" s="61"/>
      <c r="P173" s="61"/>
      <c r="Q173" s="57">
        <v>25</v>
      </c>
      <c r="R173" s="61"/>
      <c r="S173" s="61"/>
      <c r="V173" s="2" t="s">
        <v>274</v>
      </c>
      <c r="AA173" s="44"/>
    </row>
    <row r="174" spans="2:27" customFormat="1" ht="15" x14ac:dyDescent="0.25">
      <c r="B174" s="2" t="s">
        <v>89</v>
      </c>
      <c r="D174" s="2"/>
      <c r="F174" s="46" t="s">
        <v>276</v>
      </c>
      <c r="H174" s="2"/>
      <c r="I174" s="2"/>
      <c r="J174" s="2"/>
      <c r="K174" s="2"/>
      <c r="L174" s="61"/>
      <c r="M174" s="61"/>
      <c r="N174" s="61"/>
      <c r="O174" s="57">
        <v>65</v>
      </c>
      <c r="P174" s="61"/>
      <c r="Q174" s="61"/>
      <c r="R174" s="61"/>
      <c r="S174" s="61"/>
      <c r="V174" s="2" t="s">
        <v>275</v>
      </c>
      <c r="AA174" s="44"/>
    </row>
    <row r="175" spans="2:27" customFormat="1" ht="15" x14ac:dyDescent="0.25"/>
    <row r="176" spans="2:27" customFormat="1" 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AB9D1-B815-4B0E-93E7-4496A7FE99F6}">
  <ds:schemaRefs>
    <ds:schemaRef ds:uri="http://schemas.openxmlformats.org/package/2006/metadata/core-properties"/>
    <ds:schemaRef ds:uri="http://purl.org/dc/elements/1.1/"/>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B6E9CFA7-5775-4916-82A7-611A42C48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Titelblad</vt:lpstr>
      <vt:lpstr>Toelichting</vt:lpstr>
      <vt:lpstr>Bronnen en toepassingen</vt:lpstr>
      <vt:lpstr>TI-berekening 2019</vt:lpstr>
      <vt:lpstr>Input --&gt;</vt:lpstr>
      <vt:lpstr>Input x-factor, begininkomsten</vt:lpstr>
      <vt:lpstr>Input parameters</vt:lpstr>
      <vt:lpstr>Input lokale heffingen 2017</vt:lpstr>
      <vt:lpstr>Input invoeding groen gas 2018</vt:lpstr>
      <vt:lpstr>Input richtbedragen</vt:lpstr>
      <vt:lpstr>Berekeningen --&gt;</vt:lpstr>
      <vt:lpstr>Parameters</vt:lpstr>
      <vt:lpstr>Lokale heffingen 2017</vt:lpstr>
      <vt:lpstr>Invoeding groen gas 2018</vt:lpstr>
      <vt:lpstr>Overdracht Weert</vt:lpstr>
      <vt:lpstr>Richtbedragen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2018-11-21T17:08:32Z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