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tabRatio="886"/>
  </bookViews>
  <sheets>
    <sheet name="Titelblad" sheetId="9" r:id="rId1"/>
    <sheet name="Toelichting" sheetId="10" r:id="rId2"/>
    <sheet name="Bronnen en toepassingen" sheetId="11" r:id="rId3"/>
    <sheet name="Resultaat - Tarieven 2021" sheetId="21" r:id="rId4"/>
    <sheet name="Dictum &amp; Bijlagen Elektriciteit" sheetId="36" r:id="rId5"/>
    <sheet name="Dictum &amp; Bijlagen Drinkwater" sheetId="37" r:id="rId6"/>
    <sheet name="Input --&gt;" sheetId="13" r:id="rId7"/>
    <sheet name="Parameters" sheetId="18" r:id="rId8"/>
    <sheet name="Gegevens kosten 2019" sheetId="24" r:id="rId9"/>
    <sheet name="Gegevens volumes 2019" sheetId="25" r:id="rId10"/>
    <sheet name="Gegevens raming 2021" sheetId="30" r:id="rId11"/>
    <sheet name="Correcties (incl. berekening)" sheetId="26" r:id="rId12"/>
    <sheet name="Berekeningen --&gt;" sheetId="15" r:id="rId13"/>
    <sheet name="Berekening kostenbasis 2021" sheetId="22" r:id="rId14"/>
    <sheet name="Variabel tarief elektriciteit" sheetId="33" r:id="rId15"/>
    <sheet name="Vaste tarieven elektriciteit" sheetId="34" r:id="rId16"/>
    <sheet name="Variabel tarief drinkwater" sheetId="32" r:id="rId17"/>
    <sheet name="Vaste tarieven drinkwater" sheetId="35" r:id="rId18"/>
  </sheets>
  <calcPr calcId="145621"/>
</workbook>
</file>

<file path=xl/calcChain.xml><?xml version="1.0" encoding="utf-8"?>
<calcChain xmlns="http://schemas.openxmlformats.org/spreadsheetml/2006/main">
  <c r="J48" i="37" l="1"/>
  <c r="H48" i="37"/>
  <c r="F48" i="37"/>
  <c r="I57" i="36"/>
  <c r="G21" i="36"/>
  <c r="G22" i="36"/>
  <c r="G23" i="36"/>
  <c r="G24" i="36"/>
  <c r="G25" i="36"/>
  <c r="G26" i="36"/>
  <c r="G27" i="36"/>
  <c r="G28" i="36"/>
  <c r="G29" i="36"/>
  <c r="G30" i="36"/>
  <c r="G31" i="36"/>
  <c r="C34" i="34" l="1"/>
  <c r="C35" i="34"/>
  <c r="C36" i="34"/>
  <c r="N33" i="22" l="1"/>
  <c r="N100" i="30"/>
  <c r="H59" i="22"/>
  <c r="N48" i="22"/>
  <c r="N49" i="22"/>
  <c r="N50" i="22"/>
  <c r="N47" i="22"/>
  <c r="N40" i="22"/>
  <c r="N41" i="22"/>
  <c r="N42" i="22"/>
  <c r="N43" i="22"/>
  <c r="N39" i="22"/>
  <c r="N52" i="22" l="1"/>
  <c r="N53" i="22" s="1"/>
  <c r="N54" i="22" s="1"/>
  <c r="N44" i="22"/>
  <c r="N49" i="30"/>
  <c r="N101" i="30" s="1"/>
  <c r="H14" i="32" l="1"/>
  <c r="N85" i="22"/>
  <c r="N24" i="22"/>
  <c r="J21" i="26" l="1"/>
  <c r="M42" i="25" l="1"/>
  <c r="P30" i="24" l="1"/>
  <c r="H50" i="37" l="1"/>
  <c r="J49" i="37"/>
  <c r="H49" i="37"/>
  <c r="F49" i="37"/>
  <c r="J47" i="37"/>
  <c r="H47" i="37"/>
  <c r="F47" i="37"/>
  <c r="J44" i="37"/>
  <c r="H44" i="37"/>
  <c r="F44" i="37"/>
  <c r="J43" i="37"/>
  <c r="H43" i="37"/>
  <c r="F43" i="37"/>
  <c r="J42" i="37"/>
  <c r="H42" i="37"/>
  <c r="F42" i="37"/>
  <c r="F38" i="37"/>
  <c r="F37" i="37"/>
  <c r="F36" i="37"/>
  <c r="I61" i="36" l="1"/>
  <c r="G60" i="36"/>
  <c r="I59" i="36"/>
  <c r="I58" i="36"/>
  <c r="G58" i="36"/>
  <c r="I56" i="36"/>
  <c r="I55" i="36"/>
  <c r="G55" i="36"/>
  <c r="G52" i="36"/>
  <c r="I52" i="36"/>
  <c r="I51" i="36"/>
  <c r="G51" i="36"/>
  <c r="I50" i="36"/>
  <c r="G50" i="36"/>
  <c r="G46" i="36"/>
  <c r="G45" i="36"/>
  <c r="G44" i="36"/>
  <c r="J21" i="24" l="1"/>
  <c r="J18" i="24"/>
  <c r="J17" i="24"/>
  <c r="C92" i="30" l="1"/>
  <c r="C91" i="30"/>
  <c r="C90" i="30"/>
  <c r="C89" i="30"/>
  <c r="C88" i="30"/>
  <c r="C50" i="25"/>
  <c r="H54" i="35" l="1"/>
  <c r="H50" i="35"/>
  <c r="H51" i="35" s="1"/>
  <c r="C27" i="35"/>
  <c r="C28" i="35"/>
  <c r="C29" i="35"/>
  <c r="C30" i="35"/>
  <c r="C26" i="35"/>
  <c r="H12" i="35"/>
  <c r="H64" i="21" l="1"/>
  <c r="H27" i="37"/>
  <c r="H55" i="35"/>
  <c r="F65" i="37"/>
  <c r="H55" i="34"/>
  <c r="H51" i="34"/>
  <c r="H52" i="34" s="1"/>
  <c r="H41" i="21" s="1"/>
  <c r="G35" i="36" s="1"/>
  <c r="H12" i="34"/>
  <c r="C27" i="34"/>
  <c r="C28" i="34"/>
  <c r="C29" i="34"/>
  <c r="C30" i="34"/>
  <c r="C31" i="34"/>
  <c r="C32" i="34"/>
  <c r="C33" i="34"/>
  <c r="C37" i="34"/>
  <c r="C26" i="34"/>
  <c r="H65" i="21" l="1"/>
  <c r="H28" i="37"/>
  <c r="H56" i="34"/>
  <c r="H42" i="21" s="1"/>
  <c r="G36" i="36" s="1"/>
  <c r="H33" i="33"/>
  <c r="L29" i="22" l="1"/>
  <c r="J64" i="26"/>
  <c r="N41" i="26" l="1"/>
  <c r="N40" i="26"/>
  <c r="N42" i="26" s="1"/>
  <c r="F51" i="37" s="1"/>
  <c r="J27" i="26" l="1"/>
  <c r="J26" i="26"/>
  <c r="J23" i="26"/>
  <c r="J22" i="26"/>
  <c r="J18" i="26"/>
  <c r="J17" i="26"/>
  <c r="H22" i="33" l="1"/>
  <c r="H21" i="33"/>
  <c r="H22" i="32" l="1"/>
  <c r="F66" i="37" s="1"/>
  <c r="H48" i="26"/>
  <c r="H47" i="26"/>
  <c r="N60" i="22"/>
  <c r="M62" i="26" l="1"/>
  <c r="O58" i="26"/>
  <c r="N56" i="26"/>
  <c r="J56" i="26" s="1"/>
  <c r="M58" i="26"/>
  <c r="P57" i="26"/>
  <c r="N61" i="26"/>
  <c r="J61" i="26" s="1"/>
  <c r="M63" i="26"/>
  <c r="M57" i="26"/>
  <c r="O57" i="26"/>
  <c r="O68" i="26" s="1"/>
  <c r="J62" i="26"/>
  <c r="N51" i="26"/>
  <c r="M53" i="26"/>
  <c r="P52" i="26"/>
  <c r="O53" i="26"/>
  <c r="M52" i="26"/>
  <c r="H30" i="32" l="1"/>
  <c r="H31" i="32" s="1"/>
  <c r="H55" i="37"/>
  <c r="J63" i="26"/>
  <c r="M69" i="26"/>
  <c r="J58" i="26"/>
  <c r="P68" i="26"/>
  <c r="M70" i="26"/>
  <c r="J53" i="26"/>
  <c r="J52" i="26"/>
  <c r="M68" i="26"/>
  <c r="N67" i="26"/>
  <c r="F54" i="37" s="1"/>
  <c r="J51" i="26"/>
  <c r="O70" i="26"/>
  <c r="J57" i="26"/>
  <c r="H32" i="33" l="1"/>
  <c r="I65" i="36"/>
  <c r="H18" i="34"/>
  <c r="I66" i="36"/>
  <c r="H31" i="33"/>
  <c r="I64" i="36"/>
  <c r="H37" i="35"/>
  <c r="J55" i="37"/>
  <c r="H18" i="35"/>
  <c r="H56" i="37"/>
  <c r="J67" i="26"/>
  <c r="H18" i="32"/>
  <c r="J70" i="26"/>
  <c r="J68" i="26"/>
  <c r="J69" i="26"/>
  <c r="M29" i="22"/>
  <c r="N29" i="22"/>
  <c r="N68" i="22" s="1"/>
  <c r="N76" i="22" s="1"/>
  <c r="O29" i="22"/>
  <c r="M27" i="22"/>
  <c r="N27" i="22"/>
  <c r="O27" i="22"/>
  <c r="P27" i="22"/>
  <c r="M28" i="22"/>
  <c r="N28" i="22"/>
  <c r="O28" i="22"/>
  <c r="P28" i="22"/>
  <c r="L27" i="22"/>
  <c r="L28" i="22"/>
  <c r="M24" i="22"/>
  <c r="O24" i="22"/>
  <c r="P24" i="22"/>
  <c r="L24" i="22"/>
  <c r="M22" i="22"/>
  <c r="N22" i="22"/>
  <c r="O22" i="22"/>
  <c r="P22" i="22"/>
  <c r="M23" i="22"/>
  <c r="N23" i="22"/>
  <c r="O23" i="22"/>
  <c r="P23" i="22"/>
  <c r="L23" i="22"/>
  <c r="L22" i="22"/>
  <c r="O67" i="22" l="1"/>
  <c r="P67" i="22"/>
  <c r="P75" i="22" s="1"/>
  <c r="L68" i="22"/>
  <c r="L76" i="22" s="1"/>
  <c r="N67" i="22"/>
  <c r="P66" i="22"/>
  <c r="O66" i="22"/>
  <c r="L66" i="22"/>
  <c r="N66" i="22"/>
  <c r="O68" i="22"/>
  <c r="O76" i="22" s="1"/>
  <c r="L67" i="22"/>
  <c r="M67" i="22"/>
  <c r="M66" i="22"/>
  <c r="M68" i="22"/>
  <c r="M76" i="22" s="1"/>
  <c r="M100" i="30"/>
  <c r="L18" i="30"/>
  <c r="P57" i="30"/>
  <c r="M58" i="30"/>
  <c r="H43" i="34" s="1"/>
  <c r="I78" i="36" s="1"/>
  <c r="O56" i="30"/>
  <c r="H33" i="32" s="1"/>
  <c r="H69" i="37" s="1"/>
  <c r="M56" i="30"/>
  <c r="H38" i="33" s="1"/>
  <c r="I77" i="36" s="1"/>
  <c r="M85" i="22" l="1"/>
  <c r="H21" i="34"/>
  <c r="I76" i="36" s="1"/>
  <c r="L33" i="22"/>
  <c r="H16" i="33"/>
  <c r="N75" i="22"/>
  <c r="P74" i="22"/>
  <c r="M74" i="22"/>
  <c r="O74" i="22"/>
  <c r="N74" i="22"/>
  <c r="L74" i="22"/>
  <c r="M75" i="22"/>
  <c r="L75" i="22"/>
  <c r="O75" i="22"/>
  <c r="L100" i="30"/>
  <c r="L101" i="30"/>
  <c r="P29" i="22"/>
  <c r="P68" i="22" s="1"/>
  <c r="P76" i="22" s="1"/>
  <c r="G74" i="36" l="1"/>
  <c r="H25" i="33"/>
  <c r="L85" i="22"/>
  <c r="N65" i="25"/>
  <c r="L65" i="25"/>
  <c r="O100" i="30"/>
  <c r="O93" i="30"/>
  <c r="P100" i="30"/>
  <c r="P85" i="22" l="1"/>
  <c r="H40" i="35"/>
  <c r="J68" i="37" s="1"/>
  <c r="G75" i="36"/>
  <c r="H35" i="33"/>
  <c r="H36" i="33"/>
  <c r="O85" i="22"/>
  <c r="H21" i="35"/>
  <c r="H67" i="37" s="1"/>
  <c r="N66" i="25"/>
  <c r="L66" i="25"/>
  <c r="O65" i="25"/>
  <c r="O33" i="22" s="1"/>
  <c r="M65" i="25"/>
  <c r="M33" i="22" s="1"/>
  <c r="H19" i="22"/>
  <c r="H18" i="22"/>
  <c r="H17" i="22"/>
  <c r="N55" i="22" s="1"/>
  <c r="P70" i="22" l="1"/>
  <c r="N70" i="22"/>
  <c r="N71" i="22" s="1"/>
  <c r="M70" i="22"/>
  <c r="M71" i="22" s="1"/>
  <c r="M86" i="22" s="1"/>
  <c r="I70" i="36" s="1"/>
  <c r="O70" i="22"/>
  <c r="O71" i="22" s="1"/>
  <c r="O86" i="22" s="1"/>
  <c r="H60" i="37" s="1"/>
  <c r="L70" i="22"/>
  <c r="L78" i="22"/>
  <c r="O78" i="22"/>
  <c r="P78" i="22"/>
  <c r="M78" i="22"/>
  <c r="J24" i="22"/>
  <c r="J22" i="22"/>
  <c r="J23" i="22"/>
  <c r="O87" i="22" l="1"/>
  <c r="H59" i="37" s="1"/>
  <c r="M87" i="22"/>
  <c r="I69" i="36" s="1"/>
  <c r="N86" i="22"/>
  <c r="F60" i="37" s="1"/>
  <c r="L71" i="22"/>
  <c r="L86" i="22" s="1"/>
  <c r="G70" i="36" s="1"/>
  <c r="J70" i="22"/>
  <c r="J67" i="22"/>
  <c r="J68" i="22"/>
  <c r="J76" i="22"/>
  <c r="J74" i="22"/>
  <c r="J75" i="22"/>
  <c r="J66" i="22"/>
  <c r="H17" i="35" l="1"/>
  <c r="H19" i="35" s="1"/>
  <c r="H17" i="34"/>
  <c r="H19" i="34" s="1"/>
  <c r="L87" i="22"/>
  <c r="G69" i="36" s="1"/>
  <c r="P65" i="25"/>
  <c r="P33" i="22" s="1"/>
  <c r="P71" i="22" s="1"/>
  <c r="H22" i="34" l="1"/>
  <c r="I71" i="36"/>
  <c r="H22" i="35"/>
  <c r="H27" i="35" s="1"/>
  <c r="H61" i="37"/>
  <c r="H14" i="33"/>
  <c r="P86" i="22"/>
  <c r="J60" i="37" s="1"/>
  <c r="O54" i="25"/>
  <c r="H28" i="34" l="1"/>
  <c r="H33" i="34"/>
  <c r="H33" i="21" s="1"/>
  <c r="H34" i="34"/>
  <c r="H34" i="21" s="1"/>
  <c r="H35" i="34"/>
  <c r="H35" i="21" s="1"/>
  <c r="H36" i="34"/>
  <c r="H36" i="21" s="1"/>
  <c r="H27" i="34"/>
  <c r="H45" i="34" s="1"/>
  <c r="H30" i="34"/>
  <c r="H30" i="21" s="1"/>
  <c r="H26" i="34"/>
  <c r="H26" i="21" s="1"/>
  <c r="G20" i="36" s="1"/>
  <c r="H37" i="34"/>
  <c r="H37" i="21" s="1"/>
  <c r="H31" i="34"/>
  <c r="H31" i="21" s="1"/>
  <c r="H29" i="34"/>
  <c r="H29" i="21" s="1"/>
  <c r="H38" i="34"/>
  <c r="H38" i="21" s="1"/>
  <c r="G32" i="36" s="1"/>
  <c r="H32" i="34"/>
  <c r="H32" i="21" s="1"/>
  <c r="H58" i="21"/>
  <c r="H21" i="37"/>
  <c r="H26" i="35"/>
  <c r="H30" i="35"/>
  <c r="H28" i="35"/>
  <c r="H29" i="35"/>
  <c r="H17" i="33"/>
  <c r="H18" i="33" s="1"/>
  <c r="H24" i="33" s="1"/>
  <c r="G71" i="36"/>
  <c r="H28" i="21"/>
  <c r="N61" i="22"/>
  <c r="P87" i="22"/>
  <c r="J86" i="22"/>
  <c r="H27" i="21" l="1"/>
  <c r="N78" i="22"/>
  <c r="J78" i="22" s="1"/>
  <c r="H40" i="33"/>
  <c r="H41" i="33" s="1"/>
  <c r="H21" i="21" s="1"/>
  <c r="H18" i="21"/>
  <c r="H17" i="21"/>
  <c r="G9" i="36" s="1"/>
  <c r="H61" i="21"/>
  <c r="H24" i="37"/>
  <c r="H36" i="35"/>
  <c r="H38" i="35" s="1"/>
  <c r="J59" i="37"/>
  <c r="H57" i="21"/>
  <c r="H20" i="37"/>
  <c r="H60" i="21"/>
  <c r="H23" i="37"/>
  <c r="H59" i="21"/>
  <c r="H22" i="37"/>
  <c r="N87" i="22" l="1"/>
  <c r="H44" i="34"/>
  <c r="H46" i="34" s="1"/>
  <c r="H21" i="32"/>
  <c r="H42" i="35"/>
  <c r="J61" i="37"/>
  <c r="H17" i="32"/>
  <c r="H19" i="32" s="1"/>
  <c r="F61" i="37" s="1"/>
  <c r="F59" i="37"/>
  <c r="G15" i="36"/>
  <c r="H23" i="32"/>
  <c r="H22" i="21"/>
  <c r="G16" i="36" s="1"/>
  <c r="J87" i="22"/>
  <c r="B30" i="10"/>
  <c r="H25" i="32" l="1"/>
  <c r="H26" i="32" s="1"/>
  <c r="F9" i="37" s="1"/>
  <c r="F62" i="37"/>
  <c r="B18" i="10"/>
  <c r="B25" i="10" s="1"/>
  <c r="H34" i="32" l="1"/>
  <c r="H35" i="32" s="1"/>
  <c r="H15" i="37" s="1"/>
  <c r="H43" i="35"/>
  <c r="H44" i="35" s="1"/>
  <c r="H45" i="35" s="1"/>
  <c r="H53" i="21" s="1"/>
  <c r="H49" i="21"/>
  <c r="B19" i="10"/>
  <c r="H52" i="21" l="1"/>
  <c r="H16" i="37"/>
  <c r="B20" i="10"/>
  <c r="B24" i="10" s="1"/>
</calcChain>
</file>

<file path=xl/comments1.xml><?xml version="1.0" encoding="utf-8"?>
<comments xmlns="http://schemas.openxmlformats.org/spreadsheetml/2006/main">
  <authors>
    <author>Auteur</author>
  </authors>
  <commentList>
    <comment ref="B24"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authors>
    <author>Auteur</author>
  </authors>
  <commentList>
    <comment ref="L30" authorId="0">
      <text>
        <r>
          <rPr>
            <sz val="8"/>
            <color indexed="81"/>
            <rFont val="Tahoma"/>
            <family val="2"/>
          </rPr>
          <t>Oorspronkelijk is voor productie elektriciteit een percentage variabele kosten van 4,6% (over 2019) vastgesteld. Echter, gegeven dat de productie met Aggreko's wegvalt, en uitsluitend de productie van het zonnepark overblijft, ligt een percentage van 0% meer voor de hand: de variabele kosten die waren toegrekend aan productie elektriciteit zagen grotendeels op onderhoud en inkoop materialen/smeerolie die verband hielden met het productieniveau van de Aggreko's. ACM verwacht geen variabele kosten bij de productie met het zonnepark.</t>
        </r>
      </text>
    </comment>
    <comment ref="P30" authorId="0">
      <text>
        <r>
          <rPr>
            <sz val="8"/>
            <color indexed="81"/>
            <rFont val="Tahoma"/>
            <family val="2"/>
          </rPr>
          <t>Percentaqe niet afzonderlijk bepaald voor drinkwater per truck. Aanname: gelijkgesteld aan drinkwater via het netwerk</t>
        </r>
      </text>
    </comment>
  </commentList>
</comments>
</file>

<file path=xl/comments3.xml><?xml version="1.0" encoding="utf-8"?>
<comments xmlns="http://schemas.openxmlformats.org/spreadsheetml/2006/main">
  <authors>
    <author>Auteur</author>
  </authors>
  <commentList>
    <comment ref="C26" authorId="0">
      <text>
        <r>
          <rPr>
            <sz val="8"/>
            <color indexed="81"/>
            <rFont val="Tahoma"/>
            <family val="2"/>
          </rPr>
          <t xml:space="preserve">Voor de categorieën 3*25 en 3*35 wordt een rekencapaciteit van 4,4 gehanteerd (in plaats van de hogere technische capaciteit)
</t>
        </r>
      </text>
    </comment>
    <comment ref="M42" authorId="0">
      <text>
        <r>
          <rPr>
            <sz val="8"/>
            <color indexed="81"/>
            <rFont val="Tahoma"/>
            <family val="2"/>
          </rPr>
          <t>Op basis van vastgesteld gemiddeld verwacht verbruik van 2500 kWh per aansluiting.</t>
        </r>
      </text>
    </comment>
    <comment ref="C50" authorId="0">
      <text>
        <r>
          <rPr>
            <sz val="8"/>
            <color indexed="81"/>
            <rFont val="Tahoma"/>
            <family val="2"/>
          </rPr>
          <t xml:space="preserve">Hier werd eerder een afgeronde rekencapaciteit gebruikt, o.b.v. 2,3 (2,3 / 4 = 0,575), dat is minder precies dan de berekening o.b.v. 3/4 ^2
</t>
        </r>
      </text>
    </comment>
  </commentList>
</comments>
</file>

<file path=xl/comments4.xml><?xml version="1.0" encoding="utf-8"?>
<comments xmlns="http://schemas.openxmlformats.org/spreadsheetml/2006/main">
  <authors>
    <author>Auteur</author>
  </authors>
  <commentList>
    <comment ref="M82" authorId="0">
      <text>
        <r>
          <rPr>
            <sz val="8"/>
            <color indexed="81"/>
            <rFont val="Tahoma"/>
            <family val="2"/>
          </rPr>
          <t>Ten opzicht van het tarievenvoorstel is dit totaal grootverbruik volume  gecorrigeerd voor de  380Volt aansluitingen, die hierboven nu afzonderlijk zijn opgenomen.
Van het volume opgegeven in het tarievenvoorstel wordt afgetrokken: 2 * 52,5kVA en 4 * 65,7kVA</t>
        </r>
      </text>
    </comment>
  </commentList>
</comments>
</file>

<file path=xl/comments5.xml><?xml version="1.0" encoding="utf-8"?>
<comments xmlns="http://schemas.openxmlformats.org/spreadsheetml/2006/main">
  <authors>
    <author>Auteur</author>
  </authors>
  <commentList>
    <comment ref="L51" authorId="0">
      <text>
        <r>
          <rPr>
            <sz val="8"/>
            <color indexed="81"/>
            <rFont val="Tahoma"/>
            <family val="2"/>
          </rPr>
          <t xml:space="preserve">Correctiebedragen die zien op productie elektriciteit gaan mee in totale correctie op variabel gebruikstarief elektriciteit
</t>
        </r>
      </text>
    </comment>
    <comment ref="M52" authorId="0">
      <text>
        <r>
          <rPr>
            <sz val="8"/>
            <color indexed="81"/>
            <rFont val="Tahoma"/>
            <family val="2"/>
          </rPr>
          <t xml:space="preserve">Correctiebedragen die zien op productie elektriciteit gaan mee in totale correctie op variabel gebruikstarief elektriciteit
</t>
        </r>
      </text>
    </comment>
    <comment ref="L56" authorId="0">
      <text>
        <r>
          <rPr>
            <sz val="8"/>
            <color indexed="81"/>
            <rFont val="Tahoma"/>
            <family val="2"/>
          </rPr>
          <t xml:space="preserve">Correctiebedragen die zien op productie elektriciteit gaan mee in totale correctie op variabel gebruikstarief elektriciteit
</t>
        </r>
      </text>
    </comment>
    <comment ref="M57" authorId="0">
      <text>
        <r>
          <rPr>
            <sz val="8"/>
            <color indexed="81"/>
            <rFont val="Tahoma"/>
            <family val="2"/>
          </rPr>
          <t xml:space="preserve">Correctiebedragen die zien op productie elektriciteit gaan mee in totale correctie op variabel gebruikstarief elektriciteit
</t>
        </r>
      </text>
    </comment>
    <comment ref="L61" authorId="0">
      <text>
        <r>
          <rPr>
            <sz val="8"/>
            <color indexed="81"/>
            <rFont val="Tahoma"/>
            <family val="2"/>
          </rPr>
          <t xml:space="preserve">Correctiebedragen die zien op productie elektriciteit gaan mee in totale correctie op variabel gebruikstarief elektriciteit
</t>
        </r>
      </text>
    </comment>
    <comment ref="M62" authorId="0">
      <text>
        <r>
          <rPr>
            <sz val="8"/>
            <color indexed="81"/>
            <rFont val="Tahoma"/>
            <family val="2"/>
          </rPr>
          <t xml:space="preserve">Correctiebedragen die zien op productie elektriciteit gaan mee in totale correctie op variabel gebruikstarief elektriciteit
</t>
        </r>
      </text>
    </comment>
  </commentList>
</comments>
</file>

<file path=xl/comments6.xml><?xml version="1.0" encoding="utf-8"?>
<comments xmlns="http://schemas.openxmlformats.org/spreadsheetml/2006/main">
  <authors>
    <author>Auteur</author>
  </authors>
  <commentList>
    <comment ref="N24" authorId="0">
      <text>
        <r>
          <rPr>
            <sz val="8"/>
            <color indexed="81"/>
            <rFont val="Tahoma"/>
            <family val="2"/>
          </rPr>
          <t>Kosten drinkwaterproductie met installatie van GE buiten beschouwing gelaten</t>
        </r>
      </text>
    </comment>
    <comment ref="L33" authorId="0">
      <text>
        <r>
          <rPr>
            <sz val="8"/>
            <color indexed="81"/>
            <rFont val="Tahoma"/>
            <family val="2"/>
          </rPr>
          <t>Dit betreft het alleen het volume dat geproduceerd wordt met het zonnepark. Aangezien de kosten 2019 al zijn aangepast voor de situatie na wegvallen productie met Aggreko's, wordt het volume hier ook op aangepast.</t>
        </r>
      </text>
    </comment>
    <comment ref="N33" authorId="0">
      <text>
        <r>
          <rPr>
            <sz val="8"/>
            <color indexed="81"/>
            <rFont val="Tahoma"/>
            <family val="2"/>
          </rPr>
          <t xml:space="preserve">Vanwege de uitbreiding van de eigen drinkwaterfaciliteit heeft het voor de bepaling van de variabele kosten per eenheid output geen zin meer om onderscheid te maken tussen de productie via GE en de eigen productie vanWEB.  De ACM overweegt het volgende:
-  Het percentage variabele kosten (32,6%) is vastgesteld op basis van een analyse op alléén de kosten van de bestaande drinkwaterfaciliteit van WEB. Dit is nog steeds correct, aangezien in de overige kosten geen tot nauwelijks variabele kosten zitten.
-  Voor de berekening van de kostenbasis voor 2021 berekenen we de aangepaste schatting voor de variabele kosten, op basis van het verschil in totaal geraamde volume voor 2021, t.o.v. het totaal gerealiseerde volume voor 2019.
-  Deze werkwijze voorkomt problemen bij het vaststellen van het volumeniveau over 2021, omdat daarin naar verwachting geen logisch onderscheid meer bestaat tussen de eigen productie van WEB met de bestaande faciliteit en met de nieuwe faciliteit. </t>
        </r>
      </text>
    </comment>
    <comment ref="N56" authorId="0">
      <text>
        <r>
          <rPr>
            <b/>
            <sz val="8"/>
            <color indexed="81"/>
            <rFont val="Tahoma"/>
            <family val="2"/>
          </rPr>
          <t>Cel is harde waarde geworden, i.v.m. schonen voor vertrouwelijke gegevens</t>
        </r>
      </text>
    </comment>
    <comment ref="H59" authorId="0">
      <text>
        <r>
          <rPr>
            <sz val="8"/>
            <color indexed="81"/>
            <rFont val="Tahoma"/>
            <family val="2"/>
          </rPr>
          <t>Vanwege subsidie op 0 gesteld</t>
        </r>
      </text>
    </comment>
    <comment ref="N78" authorId="0">
      <text>
        <r>
          <rPr>
            <sz val="8"/>
            <color indexed="81"/>
            <rFont val="Tahoma"/>
            <family val="2"/>
          </rPr>
          <t>Inclusief productie drinkwater via GE. Kosten nieuwe drinkwaterfaciliteit (kapitaalkosten en OPEX)  en kosten elektriciteitsaansluiting (dit betreft allemaal vaste kosten)</t>
        </r>
      </text>
    </comment>
  </commentList>
</comments>
</file>

<file path=xl/sharedStrings.xml><?xml version="1.0" encoding="utf-8"?>
<sst xmlns="http://schemas.openxmlformats.org/spreadsheetml/2006/main" count="1294" uniqueCount="566">
  <si>
    <t>Titelblad</t>
  </si>
  <si>
    <t>Over dit bestand</t>
  </si>
  <si>
    <t>Zaaknummer</t>
  </si>
  <si>
    <t>Titel</t>
  </si>
  <si>
    <t>Hoort bij besluit(en):</t>
  </si>
  <si>
    <t>Kenmerk besluit(en)</t>
  </si>
  <si>
    <t>Samenhang met andere rekenbestanden</t>
  </si>
  <si>
    <t>Overig opmerkingen</t>
  </si>
  <si>
    <t>Over de status van dit bestand</t>
  </si>
  <si>
    <t>Definitief? (j/n)</t>
  </si>
  <si>
    <t>Juridisch integraal onderdeel van bovenstaande besluit(en) (j/n)?</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</si>
  <si>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</si>
  <si>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</si>
  <si>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</si>
  <si>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</si>
  <si>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</si>
  <si>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</si>
  <si>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</si>
  <si>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</si>
  <si>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</si>
  <si>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</si>
  <si>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</si>
  <si>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</si>
  <si>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</si>
  <si>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</si>
  <si>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</si>
  <si>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</si>
  <si>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</si>
  <si>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</si>
  <si>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</si>
  <si>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</si>
  <si>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</si>
  <si>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</si>
  <si>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</si>
  <si>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</si>
  <si>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</si>
  <si>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</si>
  <si>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</si>
  <si>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</si>
  <si>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</si>
  <si>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</si>
  <si>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</si>
  <si>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</si>
  <si>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</si>
  <si>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</si>
  <si>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</si>
  <si>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Toelichting bij dit bestand</t>
  </si>
  <si>
    <t>Nr.</t>
  </si>
  <si>
    <t xml:space="preserve">Verkorte naam </t>
  </si>
  <si>
    <t>Naam bestand extern</t>
  </si>
  <si>
    <t>Beschrijving resultaat</t>
  </si>
  <si>
    <t>Grijze cijfers geven de uitkomt van een check berekening; dit is geen resultaat waarmee verder wordt gerekend</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</si>
  <si>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</si>
  <si>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</si>
  <si>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</si>
  <si>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</si>
  <si>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</si>
  <si>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</si>
  <si>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</si>
  <si>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</si>
  <si>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</si>
  <si>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</si>
  <si>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</si>
  <si>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</si>
  <si>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</si>
  <si>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</si>
  <si>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</si>
  <si>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</si>
  <si>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Overige gegevens en parameters</t>
  </si>
  <si>
    <t>Enkele parameters en gegevens die de ACM nodig heeft in de berekeningen in dit bestand.</t>
  </si>
  <si>
    <t xml:space="preserve">CPI </t>
  </si>
  <si>
    <t>%</t>
  </si>
  <si>
    <t>FIN</t>
  </si>
  <si>
    <t>Geschatte inflatie 2020</t>
  </si>
  <si>
    <t>Elektriciteit-productie</t>
  </si>
  <si>
    <t>Elektriciteit-distributie</t>
  </si>
  <si>
    <t>Water-productie</t>
  </si>
  <si>
    <t>Water-distributie</t>
  </si>
  <si>
    <t>Water per truck</t>
  </si>
  <si>
    <t>Kapitaalkosten</t>
  </si>
  <si>
    <t>Operationele kosten</t>
  </si>
  <si>
    <t>Productie Elektriciteit</t>
  </si>
  <si>
    <t>Productie WEB</t>
  </si>
  <si>
    <t>kWh</t>
  </si>
  <si>
    <t>Productie Drinkwater</t>
  </si>
  <si>
    <t>m3</t>
  </si>
  <si>
    <t>Rendement productie WEB drinkwater</t>
  </si>
  <si>
    <t>kWh/m3</t>
  </si>
  <si>
    <t xml:space="preserve">Totaal kVA voor elektriciteitsaansluiting voor de productie van drinkwater </t>
  </si>
  <si>
    <t>KVA</t>
  </si>
  <si>
    <t>Productie GE</t>
  </si>
  <si>
    <t>Distributiegegevens (divers)</t>
  </si>
  <si>
    <t>Pagabon rekenwaarde voor gemiddeld verbruik</t>
  </si>
  <si>
    <t>kWh / maand</t>
  </si>
  <si>
    <t xml:space="preserve">Tariefcategorieën en aansluitingen </t>
  </si>
  <si>
    <t>Rekencapaciteit (gewicht o.b.v. kVA)</t>
  </si>
  <si>
    <t>1*25</t>
  </si>
  <si>
    <t>#</t>
  </si>
  <si>
    <t>3*25</t>
  </si>
  <si>
    <t>3*35</t>
  </si>
  <si>
    <t>3*50</t>
  </si>
  <si>
    <t>3*63</t>
  </si>
  <si>
    <t>3*80</t>
  </si>
  <si>
    <t>3*100</t>
  </si>
  <si>
    <t>3*125</t>
  </si>
  <si>
    <t>3*160</t>
  </si>
  <si>
    <t>3*200</t>
  </si>
  <si>
    <t>grootverbruikers (deze groep van afnemers betaalt per kVA per maand)</t>
  </si>
  <si>
    <t>1/2 ''</t>
  </si>
  <si>
    <t>3/4 ''</t>
  </si>
  <si>
    <t>1''</t>
  </si>
  <si>
    <t>2''</t>
  </si>
  <si>
    <t>4''</t>
  </si>
  <si>
    <t>Verwachte deel verkoopvolume in eerste helft van 2020</t>
  </si>
  <si>
    <t>Aansluitcategorie</t>
  </si>
  <si>
    <t>Rekencapaciteit (inches^2)</t>
  </si>
  <si>
    <t>Volume Pagabon (gewicht 4,4 kVA)</t>
  </si>
  <si>
    <t>Excl. Pagabon</t>
  </si>
  <si>
    <t>USD, pp 2020</t>
  </si>
  <si>
    <t>Beschrijving berekening kostenbasis</t>
  </si>
  <si>
    <t>Eenheid waarin volume is uitgedrukt</t>
  </si>
  <si>
    <t>(zie kolom)</t>
  </si>
  <si>
    <t>kVA</t>
  </si>
  <si>
    <t>inch^2</t>
  </si>
  <si>
    <t>Totale productie WEB</t>
  </si>
  <si>
    <t>Productie WEB met Aggreko's</t>
  </si>
  <si>
    <t>Productie WEB met PV</t>
  </si>
  <si>
    <t>Volumegegevens Pagabon (elektriciteit)</t>
  </si>
  <si>
    <t>Gerealiseerd volume WEB</t>
  </si>
  <si>
    <t>Totaal gerealiseerd volume (productie)</t>
  </si>
  <si>
    <t>WACC voor WEB</t>
  </si>
  <si>
    <t>Percentage variabele operationele kosten van totale netto OPEX</t>
  </si>
  <si>
    <t>Inclusief Pagabon</t>
  </si>
  <si>
    <t>Bedragen inclusief effecten van wegvallen productie met Aggreko's</t>
  </si>
  <si>
    <t>KVA zwaarte van drinkwaterproductie</t>
  </si>
  <si>
    <t>Toevoegen aan kosten drinkwaterproductie (12 maanden)</t>
  </si>
  <si>
    <t>USD, pp 2019</t>
  </si>
  <si>
    <t>Tarief per kVA voor elektriciteitsaansluiting</t>
  </si>
  <si>
    <t>Betreft vaste kosten</t>
  </si>
  <si>
    <t>Toevoeging kosten elektriciteitsaansluiting voor waterproductie</t>
  </si>
  <si>
    <t>Correctiebedrag te verrekenen in productieprijs (alleen DW)</t>
  </si>
  <si>
    <t>Correctiebedrag te verrekenen in variabel gebruikstarief</t>
  </si>
  <si>
    <t>Correctiebedrag te verrekenen in vast gebruikstarief</t>
  </si>
  <si>
    <t>M3</t>
  </si>
  <si>
    <t>Benodigde hoeveelheid elektriciteit voor productie drinkwater</t>
  </si>
  <si>
    <t>kWh/M3</t>
  </si>
  <si>
    <t>Rendement productie WEB</t>
  </si>
  <si>
    <t>kWh / m3</t>
  </si>
  <si>
    <t>Netverliespercentage</t>
  </si>
  <si>
    <t>Berekening productieprijs en variabel gebruikstarief drinkwater</t>
  </si>
  <si>
    <t>Bedrag productie drinkwater is inclusief kosten productie via GE</t>
  </si>
  <si>
    <t>Berekening productieprijs en variabel gebruikstarief elektriciteit</t>
  </si>
  <si>
    <t>Productieprijs voor productie WEB</t>
  </si>
  <si>
    <t>Totale productie via GE</t>
  </si>
  <si>
    <t>Bedragen volumecorrectie per activiteit</t>
  </si>
  <si>
    <t>Bedragen profit sharing per activiteit</t>
  </si>
  <si>
    <t>Bedragen brandstofcorrectie elektriciteit</t>
  </si>
  <si>
    <t>Ophalen gegevens uit rekenmodel profit sharing en brandstofmodel</t>
  </si>
  <si>
    <t>Nacalculatie elektriciteitskosten voor drinkwaterproductie</t>
  </si>
  <si>
    <t>Benodigde gegevens voor berekening</t>
  </si>
  <si>
    <t>Berekening nacalculatiebedrag</t>
  </si>
  <si>
    <t>Correctiebedrag te verrekenen in productieprijs</t>
  </si>
  <si>
    <t>Correctiebedragen die zien op productie elektriciteit gaan mee in totale correctie op variabel gebruikstarief elektriciteit</t>
  </si>
  <si>
    <r>
      <rPr>
        <i/>
        <u/>
        <sz val="10"/>
        <rFont val="Arial"/>
        <family val="2"/>
      </rPr>
      <t>Waarvan</t>
    </r>
    <r>
      <rPr>
        <sz val="10"/>
        <rFont val="Arial"/>
        <family val="2"/>
      </rPr>
      <t xml:space="preserve"> volume Pagabon (gewicht 4,4 kVA)</t>
    </r>
  </si>
  <si>
    <t>Berekening vaste gebruikstarieven elektriciteit</t>
  </si>
  <si>
    <t>Ook worden het pagabon tarief en de aansluittarieven bepaald op dit tabblad.</t>
  </si>
  <si>
    <t>Berekening tarief per kVA</t>
  </si>
  <si>
    <t>Tarief per maand per aansluitcategorie</t>
  </si>
  <si>
    <t>Pagabontarief elektriciteit</t>
  </si>
  <si>
    <t>Pagabon-rekenwaarde (gem. verbruik per maand)</t>
  </si>
  <si>
    <t>Variabel distributietarief</t>
  </si>
  <si>
    <t>Vast gebruikstarief voor standaard pagabon aansluiting (o.b.v. 4,4 kVA rekenwaarde)</t>
  </si>
  <si>
    <t>Aansluittarieven elektriciteit</t>
  </si>
  <si>
    <t>Heraansluittarief</t>
  </si>
  <si>
    <t>Wordt niet geindexeerd, omdat het een forfaitair vastgesteld tarief betreft</t>
  </si>
  <si>
    <t>Berekening aansluittarief (standaardaansluiting)</t>
  </si>
  <si>
    <t>Aansluittarieven</t>
  </si>
  <si>
    <t>Heraansluittarief 2020</t>
  </si>
  <si>
    <t>Aansluittarief elektriciteit 2020 (standaardaansluiting)</t>
  </si>
  <si>
    <t>Variabel gebruikstarief voor drinkwater</t>
  </si>
  <si>
    <t>Productieprijs drinkwater</t>
  </si>
  <si>
    <t>Berekening vaste gebruikstarieven drinkwater</t>
  </si>
  <si>
    <t>Ook worden het tarief voor bezorging van drinkwater per truck berekend en worden de aansluittarieven bepaald op dit tabblad.</t>
  </si>
  <si>
    <t>Correctiebedrag per m3</t>
  </si>
  <si>
    <t>Totale kosten verbruik elektriciteit voor productie drinkwater</t>
  </si>
  <si>
    <t>Tarief voor truck delivery</t>
  </si>
  <si>
    <t>Kosten voor distributie water via truck</t>
  </si>
  <si>
    <t>Tarief voor levering drinkwater per truck</t>
  </si>
  <si>
    <t>Correctiebedrag te verrekenen in truck delivery tarief</t>
  </si>
  <si>
    <t>Productieprijs drinkwater WEB 2020</t>
  </si>
  <si>
    <t>Aansluittarief drinkwater 2020 (standaardaansluiting)</t>
  </si>
  <si>
    <t>Productieprijzen</t>
  </si>
  <si>
    <t>maandelijkse aanpassing</t>
  </si>
  <si>
    <t>Variabele distributietarieven</t>
  </si>
  <si>
    <t>Vaste distributietarieven elektriciteit</t>
  </si>
  <si>
    <t>Rekencapaciteit</t>
  </si>
  <si>
    <t xml:space="preserve">grootverbruikers </t>
  </si>
  <si>
    <t>Aansluittarief (standaardaansluiting)</t>
  </si>
  <si>
    <t>Tarief voor meerlengte valt onder maatwerk</t>
  </si>
  <si>
    <t>Productieprijs</t>
  </si>
  <si>
    <t>Vaste distributietarieven drinkwater</t>
  </si>
  <si>
    <t>Periode van toepassing</t>
  </si>
  <si>
    <t>Omdat het tarief voor WEB niet langer een brandstofcomponent bevat, is dit tarief geldig voor 12 maanden</t>
  </si>
  <si>
    <t>De CPI ontwikkeling tussen Q3 jaar T en Q3 jaar T-1 wordt gebruikt als de geschatte inflatie voor jaar T+1. De geschatte inflatie wordt afgerond op één decimaal.</t>
  </si>
  <si>
    <t>De percentages voor variabele kapitaalkosten zijn gebaseerd op het tarievenvoorstel van WEB. WEB heeft in haar voorstel de percentages opgenomen die de ACM eerder heeft voorgesteld op basis van een indicatieve analyse van de activa van WEB.</t>
  </si>
  <si>
    <t>Geschat productievolume CGB (totaal)</t>
  </si>
  <si>
    <t>Productie CBG</t>
  </si>
  <si>
    <t>Tot slot worden de correctiebedragen opgeteld op basis van hun bestemming: verrekening in de productieprijs, het variabele gebruikstarief of het vaste gebruikstarief.</t>
  </si>
  <si>
    <t>Voor de berekening van kapitaalkosten geldt dat geen inflatie wordt toegepast voor correctie van het prijspeil, omdat door toepassing van een nominale WACC al een vergoeding voor inflatie ontstaat.</t>
  </si>
  <si>
    <t>Op dit tabblad worden de productieprijs en het variabele gebruikstarief berekend door de inkomsten te delen door de volumes, en daarbij de correcties en het netverlies te betrekken.</t>
  </si>
  <si>
    <t>Variabel gebruikstarief voor elektriciteit</t>
  </si>
  <si>
    <t>Productieprijs elektriciteit</t>
  </si>
  <si>
    <t>Op dit tabblad worden de productieprijs en het variabele gebruikstarief berekend door de inkomsten te delen door de volumes, en daarbij de correcties en het lekverlies te betrekken.</t>
  </si>
  <si>
    <t>Aansluittarieven drinkwater</t>
  </si>
  <si>
    <t>Berekening tarief per inch aansluitcapaciteit</t>
  </si>
  <si>
    <t>Productieprijs voor productie WEB (onafgerond)</t>
  </si>
  <si>
    <t>Productieprijs voor productie WEB zoals vastgesteld (afgerond)</t>
  </si>
  <si>
    <t>Productieprijs voor productie drinkwater WEB zoals vastgesteld (afgerond)</t>
  </si>
  <si>
    <t>Productieprijs voor productie drinkwater WEB (onafgerond)</t>
  </si>
  <si>
    <t>(afgerond tarief)</t>
  </si>
  <si>
    <t>(afgerond op 4 decimalen)</t>
  </si>
  <si>
    <t>(afgerond op 3 decimalen)</t>
  </si>
  <si>
    <t>Tarief voor levering drinkwater per truck (afgerond op 3 decimalen)</t>
  </si>
  <si>
    <t>Productieprijs WEB excl. brandstofkosten</t>
  </si>
  <si>
    <t>Variabele gebruikstarieven</t>
  </si>
  <si>
    <t>Variabel gebruikstarief</t>
  </si>
  <si>
    <t>Vaste gebruikstarieven elektriciteit</t>
  </si>
  <si>
    <t xml:space="preserve">Eenheid </t>
  </si>
  <si>
    <t>Parameters</t>
  </si>
  <si>
    <t>Elektriciteit productie</t>
  </si>
  <si>
    <t>Elektriciteit distributie</t>
  </si>
  <si>
    <t>Opmerking: pp staat voor prijspeil</t>
  </si>
  <si>
    <t>Vaste gebruikstarieven drinkwater</t>
  </si>
  <si>
    <t>Percentage voor profit sharing</t>
  </si>
  <si>
    <t>Tarief</t>
  </si>
  <si>
    <t>*</t>
  </si>
  <si>
    <t>Correctiebedragen per tarief</t>
  </si>
  <si>
    <t>Opmerkingen:</t>
  </si>
  <si>
    <t>pp staat voor prijspeil</t>
  </si>
  <si>
    <t xml:space="preserve">   waarvan bedrag aan variabele kosten</t>
  </si>
  <si>
    <t>Totale geraamde netwerkcapaciteit (in aansluitwaarde)</t>
  </si>
  <si>
    <t>Rekenwaarde Pagabonverbruik</t>
  </si>
  <si>
    <t>Drinkwater  productie</t>
  </si>
  <si>
    <t>Drinkwater distributie</t>
  </si>
  <si>
    <t>Drinkwater via wegtransport</t>
  </si>
  <si>
    <t xml:space="preserve">   aanvullend: geraamde elektriciteitskosten voor drinkwaterproductie</t>
  </si>
  <si>
    <t>Geschat rendement productie WEB</t>
  </si>
  <si>
    <t>Schatting distributievolume drinkwater via netwerk (aansluitcapaciteit)</t>
  </si>
  <si>
    <t>Schatting distributievolume drinkwater via wegtransport</t>
  </si>
  <si>
    <t>Besluit</t>
  </si>
  <si>
    <t>Kenmerk besluit</t>
  </si>
  <si>
    <t>Productieprijs elektriciteit WEB 2020</t>
  </si>
  <si>
    <t>Gebruikstarieven elektriciteit WEB 2020</t>
  </si>
  <si>
    <t>Gebruikstarieven drinkwater WEB 2020</t>
  </si>
  <si>
    <t>Deze productieprijs (die overigens niet formeel wordt vastgesteld) volgt uit gewogen gemiddelde weging van productieprijs WEB en maandelijks bijgestelde productieprijs van CGB</t>
  </si>
  <si>
    <t>Totaal aantal aansluitingen</t>
  </si>
  <si>
    <t>Per tabblad is ook nog een toelichting opgenomen over de belangrijkste rekenstappen of bijzonderheden.</t>
  </si>
  <si>
    <t>Op het tabblad 'Resultaat' worden alle tarieven weergegeven, op de tabbladen 'Dictum&amp;Bijlage 1 (E/DW)' staat tevens een samenvatting van de belangrijkste gegevens die volgen uit de berekening</t>
  </si>
  <si>
    <t>Berekening tarieven voor WEB 2021</t>
  </si>
  <si>
    <t>Beschikkingen productieprijzen en distributietarieven elektriciteit en drinkwater voor WEB 2021</t>
  </si>
  <si>
    <t>Overzicht besluiten en kenmerken tarievenbesluiten WEB 2021</t>
  </si>
  <si>
    <t xml:space="preserve">NB: ten behoeve van de profit sharing over het jaar 2021 zijn ook de gegevens over geraamde volumes en aandelen variabele kosten van belang. </t>
  </si>
  <si>
    <t>Overzicht tarieven elektriciteit 2021</t>
  </si>
  <si>
    <t>Gewogen gemiddelde productieprijs voor januari 2021</t>
  </si>
  <si>
    <t>USD, pp 2021 / kWh</t>
  </si>
  <si>
    <t>heel 2021</t>
  </si>
  <si>
    <t>jan t/m jun 2021</t>
  </si>
  <si>
    <t>USD, pp 2021 / maand</t>
  </si>
  <si>
    <t>USD, pp 2021 / kVA / maand</t>
  </si>
  <si>
    <t>USD, pp 2021</t>
  </si>
  <si>
    <t>Overzicht tarieven drinkwater 2021</t>
  </si>
  <si>
    <t>USD, pp 2021 / m3</t>
  </si>
  <si>
    <t xml:space="preserve">Op dit tabblad staat alle relevante informatie voor in de bijlage bij het tarievenbesluit voor 2021. </t>
  </si>
  <si>
    <t>Vastgestelde distributietarieven WEB 2021</t>
  </si>
  <si>
    <t xml:space="preserve">Belangrijkste gegevens tarievenbesluit WEB 2021 - elektriciteit </t>
  </si>
  <si>
    <t>WACC 2021</t>
  </si>
  <si>
    <t>Geschatte inflatie 2021</t>
  </si>
  <si>
    <t xml:space="preserve">
Belangrijkste kostengegeven over 2019</t>
  </si>
  <si>
    <t>Netto operationele kosten t.b.v. kostenbasis o.b.v. realisaties 2019</t>
  </si>
  <si>
    <t>Waarde Regulatorische Activa Basis (ultimo 2019)</t>
  </si>
  <si>
    <t>Afschrijvingen over 2019</t>
  </si>
  <si>
    <t>Correcties over 2019</t>
  </si>
  <si>
    <t>Correctie volume-effect over 2019</t>
  </si>
  <si>
    <t>Correctie inkoopmix-effect over 2019</t>
  </si>
  <si>
    <t>Profit sharing over 2019 (excl. netverliezen)</t>
  </si>
  <si>
    <t>Profit sharing over netverliezen 2019</t>
  </si>
  <si>
    <t>Correctie voor brandstofprijs verschillen in 2019</t>
  </si>
  <si>
    <t>Correctie voor verschil in doorrekening van brandstofcomponent mei - okt 2020</t>
  </si>
  <si>
    <t>Correctiebedrag te verrekenen in variabel gebruikstarief (heel 2021) **</t>
  </si>
  <si>
    <t>Correctiebedrag te verrekenen in variabel gebruikstarief (eerste helft 2021)</t>
  </si>
  <si>
    <t>Inkomsteniveau in 2021</t>
  </si>
  <si>
    <t>Totaalbedrag kostenbasis 2021 o.b.v. geraamd volume in 2021</t>
  </si>
  <si>
    <t>Inkomstenbedrag in 2021 na toepassing correcties</t>
  </si>
  <si>
    <t>Overige parameters (verwachtingen 2021 elektriciteit)</t>
  </si>
  <si>
    <t>Geraamde productie WEB in 2021 met zonnepark</t>
  </si>
  <si>
    <t>Totale geraamde productie Bonaire in 2021 (WEB + CGB)</t>
  </si>
  <si>
    <t>Netverliespercentage (geraamd voor 2021)</t>
  </si>
  <si>
    <t>* Betreft gegevens 2019, aangepast naar de situatie waarbij WEB uitsluitend nog elektriciteit produceert met het zonnepark</t>
  </si>
  <si>
    <t>Vastgestelde distributietarieven voor WEB 2021</t>
  </si>
  <si>
    <t>Belangrijkste gegevens tarievenbesluit WEB 2021 - drinkwater</t>
  </si>
  <si>
    <t>Profit sharing over lekverliezen 2019</t>
  </si>
  <si>
    <t>Schatting productievolume (totaal) voor 2021</t>
  </si>
  <si>
    <t>Lekverliespercentage (geraamd voor 2021)</t>
  </si>
  <si>
    <t>Gegevens kosten 2019</t>
  </si>
  <si>
    <t>Op dit blad haalt de ACM de gegevens op vanuit de RAB-berekening voor (ultimo) 2019 en de OPEX-berekening over 2019.</t>
  </si>
  <si>
    <t>De percentages voor variabele OPEX zijn gebaseerd op een berekening in het OPEX model over 2019, maar hier afgerond opgenomen. Overigens wordt bij productie elektriciteit dit percentage op 0% gesteld, i.v.m. wegvallen van de productie met Aggreko's.</t>
  </si>
  <si>
    <t>Kostengegevens 2019 t.b.v. kostenbasis voor tarieven 2021</t>
  </si>
  <si>
    <t>Totale waarde RAB ultimo 2019</t>
  </si>
  <si>
    <t>Totale Afschrijvingen in 2019</t>
  </si>
  <si>
    <t>Totale netto-OPEX 2019 (na effect uitfaseren Aggreko's)</t>
  </si>
  <si>
    <t>Percentages variabele kosten in reguliere kosten 2019</t>
  </si>
  <si>
    <t>Productie en Volume 2019</t>
  </si>
  <si>
    <t>Productie: realisaties 2019</t>
  </si>
  <si>
    <t>Totale productievolume CGB 2019</t>
  </si>
  <si>
    <t>Distributie: realisaties 2019</t>
  </si>
  <si>
    <t>Gerealiseerde volumes elektriciteit over 2019</t>
  </si>
  <si>
    <t>Netverliespercentage realisatie 2019</t>
  </si>
  <si>
    <t>Gerealiseerde volumes drinkwater over 2019</t>
  </si>
  <si>
    <t>Gerealiseerd volume distributie drinkwater via  truck 2019</t>
  </si>
  <si>
    <t>Lekverliespercentage realisatie 2019</t>
  </si>
  <si>
    <t>Totale volumes 2019</t>
  </si>
  <si>
    <t>Totale gerealiseerde volumes 2019</t>
  </si>
  <si>
    <t>Productie en Volume: ramingen 2021</t>
  </si>
  <si>
    <t>Op dit tabblad geeft de ACM de productie- en volumegegevens weer zoals ACM die inschat voor 2021. Dit is van belang om de volumecorrectie over 2021 (verrekening van dekking vaste kosten) te beperken.</t>
  </si>
  <si>
    <t>Productie: ramingen 2021</t>
  </si>
  <si>
    <t>Totaal geschat productievolume WEB 2021 (alleen PV)</t>
  </si>
  <si>
    <t>Productieprijs CGB 2021 (incl brandstofcomponent voor de maand januari)</t>
  </si>
  <si>
    <t>Verwachte deel verkoopvolume in eerste helft van 2021</t>
  </si>
  <si>
    <t>Netverliespercentage geschat voor 2021 (o.b.v. realisaties 2019)</t>
  </si>
  <si>
    <t>Geschat volume distributie drinkwater truck delivery 2021</t>
  </si>
  <si>
    <t>Pagabon rekenwaarde voor gemiddeld verbruik 2021</t>
  </si>
  <si>
    <t>Standaard aansluittarief 2020</t>
  </si>
  <si>
    <t>Raming volumes elektriciteit voor 2021</t>
  </si>
  <si>
    <t>Tussenberekening geschatte volumes 2021</t>
  </si>
  <si>
    <t>Gegevens en berekeningen correcties en profit sharing over 2019</t>
  </si>
  <si>
    <t>Op deze sheet worden de uitkomsten gepresenteerd van de berekening van de volumecorrecties, inkoopmix effect (elektriciteit) en de profit sharing over 2019.</t>
  </si>
  <si>
    <t>Daarnaast wordt voor drinkwater de correctie berekend die van toepassing is op de inkoopprijs voor elektriciteit voor de tweede helft van 2020.</t>
  </si>
  <si>
    <t>Volumecorrectie op te nemen in tarieven 2021</t>
  </si>
  <si>
    <t>Correctie voor hogere inkoopkosten door veranderde inkoop-mix in 2019</t>
  </si>
  <si>
    <t>Bedrag profit sharing 2019 over alle gerealiseerde kosten (excl. net-/lekverliezen)</t>
  </si>
  <si>
    <t>Bedrag profit sharing 2019 over netverliezen / lekverliezen</t>
  </si>
  <si>
    <t>Totale verwachte productie drinkwater 2020</t>
  </si>
  <si>
    <t>Variabele gebruikstarief elektriciteit per 1 januari 2020</t>
  </si>
  <si>
    <t>Variabele gebruikstarief elektriciteit per 1 juli 2020</t>
  </si>
  <si>
    <t>Verschil tussen variabele gebruikstarief zoals ingeschat en aanpassing 1 juli 2020</t>
  </si>
  <si>
    <t>Benodigde hoeveelheid elektriciteit voor productie in tweede helft 2020</t>
  </si>
  <si>
    <t>USD, pp 2020 /kWh</t>
  </si>
  <si>
    <t>Berekening totaalbedragen correcties voor 2021</t>
  </si>
  <si>
    <t>Bedragen volumecorrectie in prijspeil 2021</t>
  </si>
  <si>
    <t>Bedragen profit sharing in prijspeil 2021</t>
  </si>
  <si>
    <t>Bedragen brandstofcorrectie (ook kWh-prijs DW) in prijspeil 2021</t>
  </si>
  <si>
    <t>Correctiebedrag te verrekenen in variabel gebruikstarief (heel 2021)</t>
  </si>
  <si>
    <t>Totale correctiebedragen in prijspeil 2021</t>
  </si>
  <si>
    <t>Berekening inkomsten 2021 op basis van kostenbasis 2019</t>
  </si>
  <si>
    <t>Voordat de totale kosten worden vertaald in een kostenbasis voor 2021, wordt deze nog gesplitst in een vast deel en een variabel deel.</t>
  </si>
  <si>
    <t>Voor de vaststelling van de geschatte kosten voor 2021 worden ook de verwachte kosten van omvangrijke gebeurtenissen meegeteld</t>
  </si>
  <si>
    <t>Kostengegevens 2019 (incl. effect wegvallen productie Aggreko's)</t>
  </si>
  <si>
    <t>Totale netto-OPEX 2019 (na effect uitfaseren Aggreko's), tb.v. kostenbasis 2021</t>
  </si>
  <si>
    <t>Percentage variabele kapitaalkosten: RAB ultimo 2019</t>
  </si>
  <si>
    <t>Percentage variabele kapitaalkosten: Afschrijvingen 2019</t>
  </si>
  <si>
    <t>Gerealiseerde volumes 2019</t>
  </si>
  <si>
    <t>Gerealiseerd volume door WEB 2019</t>
  </si>
  <si>
    <t>Aanvullende kosten voor drinkwaterproductie in 2021</t>
  </si>
  <si>
    <t>USD, pp 2021/kVA/mnd</t>
  </si>
  <si>
    <t>Berekening kostenbasis 2021</t>
  </si>
  <si>
    <t>Berekening variabele kosten in kostenbasis 2019 t.b.v. situatie 2021</t>
  </si>
  <si>
    <t>Totale netto-OPEX t.b.v. kostenbasis voor tarieven 2021</t>
  </si>
  <si>
    <t>Totale variabele kosten t.b.v. kostenbasis 2021, in prijspeil 2021</t>
  </si>
  <si>
    <t>Totale variabele kosten t.b.v. kostenbasis 2021 per eenheid output</t>
  </si>
  <si>
    <t>Berekening vaste kosten in kostenbasis 2019 t.b.v. situatie 2021</t>
  </si>
  <si>
    <t>Totale vaste kosten t.b.v. kostenbasis 2021, in prijspeil 2021</t>
  </si>
  <si>
    <t>USD, pp 2021 / #</t>
  </si>
  <si>
    <t>Berekening kostenbasis 2021 op basis van geraamde volumes</t>
  </si>
  <si>
    <t>Geraamde volumes 2021</t>
  </si>
  <si>
    <t>Totale variabele kosten bij geraamde volume 2021</t>
  </si>
  <si>
    <t>Berekening productieprijs WEB (voor heel 2021)</t>
  </si>
  <si>
    <t>Geraamd productievolume WEB 2021 (uitsluitend solar)</t>
  </si>
  <si>
    <t>Berekening gewogen gemiddelde productieprijs voor januari 2021</t>
  </si>
  <si>
    <t>Geraamd productievolume CGB 2021</t>
  </si>
  <si>
    <t>Vastgestelde productieprijs voor CGB voor januari 2021</t>
  </si>
  <si>
    <t>Totaal geraamd productievolume elektriciteit in 2021</t>
  </si>
  <si>
    <t>Te verrekenen correcties in het variabele gebruikstarief voor 2021</t>
  </si>
  <si>
    <t>Correctiebedrag voor variabel gebruikstarief 2021 per kWh (heel 2021)</t>
  </si>
  <si>
    <t>Correctiebedrag voor variabel gebruikstarief 2021 per kWh (eerste helft 2021)</t>
  </si>
  <si>
    <t>Variabel gebruikstarief WEB voor januari - juni 2021</t>
  </si>
  <si>
    <t>Variabel gebruikstarief WEB voor januari - juni 2021 afgerond op 4 decimalen</t>
  </si>
  <si>
    <t>Correctiebedrag van toepassing op eerste helft 2021</t>
  </si>
  <si>
    <t>Op dit tabblad worden de vaste gebruikstarieven voor 2021 berekend door de inkomsten te delen door de verwachte volumes, en daarbij de correcties te betrekken.</t>
  </si>
  <si>
    <t>Berekening vaste gebruikstarieven Elektriciteit 2021</t>
  </si>
  <si>
    <t>Inkomstenbedrag voor 2021, o.b.v. verwacht volume voor 2021</t>
  </si>
  <si>
    <t>Verwacht volume voor 2021</t>
  </si>
  <si>
    <t>Inkomstenbedrag 2021 per kVA per maand</t>
  </si>
  <si>
    <t>USD, pp 2021 / kVA / mnd</t>
  </si>
  <si>
    <t>USD, pp 2021 / mnd</t>
  </si>
  <si>
    <t>Pagabontarief 2021</t>
  </si>
  <si>
    <t>Heraansluittarief 2021</t>
  </si>
  <si>
    <t>Aansluittarief elektriciteit 2021 (standaardaansluiting)</t>
  </si>
  <si>
    <t>Geraamde volumes voor 2021</t>
  </si>
  <si>
    <t>Totaal geraamde volume voor 2021</t>
  </si>
  <si>
    <t>Te verrekenen correcties in productieprijs drinkwater WEB 2021</t>
  </si>
  <si>
    <t>Totaalbedrag inkomsten productie WEB in 2021</t>
  </si>
  <si>
    <t>Variabel gebruikstarief elektriciteit 2021</t>
  </si>
  <si>
    <t>Variabele gebruikstarief drinkwater WEB 2021</t>
  </si>
  <si>
    <t>Variabele gebruikstarief drinkwater WEB 2021 (afgerond)</t>
  </si>
  <si>
    <t>Berekening vaste gebruikstarieven drinkwater 2021</t>
  </si>
  <si>
    <t>Inkomstenbedrag voor 2021, o.b.v. verwacht volume voor 2021:</t>
  </si>
  <si>
    <t>USD, pp 2021 / inch^2 / mnd</t>
  </si>
  <si>
    <t>Totale volume distributie via truck (geraamd voor 2021)</t>
  </si>
  <si>
    <t>Productieprijs drinkwater WEB 2021</t>
  </si>
  <si>
    <t>Aansluittarief drinkwater 2021 (standaardaansluiting)</t>
  </si>
  <si>
    <t>In dit rekenbestand worden de tarieven van WEB voor 2021 berekend.</t>
  </si>
  <si>
    <t>Dit bestand vormt Bijlage 3 (bij distributietarievenbeschikkingen) of Bijlage 2 (bij productieprijsbeschikkingen) en is daarmee integraal onderdeel van die tarievenbesluiten voor WEB voor 2021.</t>
  </si>
  <si>
    <t>Voor afschrijvingsbedrag voor elektriciteitsproductie geldt dat deze exclusief de desinvestering van het TWR-gebouw is.</t>
  </si>
  <si>
    <t>Voor elektriciteit inclusief effect van wegvallen Aggreko's, voor drinkwater inclusief kosten productie GE.</t>
  </si>
  <si>
    <t>beantwoording vraag 2 - bestand OPEX V2, tabblad 510325</t>
  </si>
  <si>
    <t>Eerder werden verwacht volume en eenheid (1 kVA) andersom opgegeven, deze indeling lijkt bij nader inzien logischer</t>
  </si>
  <si>
    <t>Bestand 'Vraag 14a - aantallen distributie E 2019'</t>
  </si>
  <si>
    <t>Totaal aantal aangeslotenen</t>
  </si>
  <si>
    <t>Correctie op inkomsten 2019 i.v.m. variabele OPEX en geschatte volumegroei</t>
  </si>
  <si>
    <t>Dit wordt meegenomen als onderdeel van de profit sharing correctie</t>
  </si>
  <si>
    <t>https://www.acm.nl/sites/default/files/documents/2019-09/besluit-wacc-caribisch-nederland-2020-2025.pdf</t>
  </si>
  <si>
    <t>zie URL</t>
  </si>
  <si>
    <t>ACM/18/034526, ACM/UIT/519576</t>
  </si>
  <si>
    <t>Besluit WACC voor 2020-2022</t>
  </si>
  <si>
    <t>OPEX berekening WEB over 2019</t>
  </si>
  <si>
    <t>RAB berekening WEB ultimo 2019</t>
  </si>
  <si>
    <t>CBS inflatie Caribisch Nederland</t>
  </si>
  <si>
    <t>https://opendata.cbs.nl/#/CBS/nl/dataset/84046NED/table</t>
  </si>
  <si>
    <t>Vanaf de ontwikkeling tussen Q3 2018 en Q3 2019 maken we gebruik van de 2017 = 100 reeks. Hiervoor werd gebruik gemaakt van de reeks 2010 = 100.</t>
  </si>
  <si>
    <t>CBS Inflatie Caribisch Nederland, (2017 = 100)</t>
  </si>
  <si>
    <t>Tarievenvoorstel WEB voor 2021</t>
  </si>
  <si>
    <r>
      <t xml:space="preserve">   </t>
    </r>
    <r>
      <rPr>
        <i/>
        <sz val="10"/>
        <rFont val="Arial"/>
        <family val="2"/>
      </rPr>
      <t>waarvan</t>
    </r>
    <r>
      <rPr>
        <sz val="10"/>
        <rFont val="Arial"/>
        <family val="2"/>
      </rPr>
      <t xml:space="preserve"> kosten voor inkoop drinkwater bij GE</t>
    </r>
  </si>
  <si>
    <t>vraag 12 - productie WEB elektriciteit V2</t>
  </si>
  <si>
    <t>vraag 13 - productie DW</t>
  </si>
  <si>
    <t>Vraag 14a - aantallen distributie E 2019</t>
  </si>
  <si>
    <t>Vraag 16a - NRE 2019</t>
  </si>
  <si>
    <t>beantwoording vraag 15b (per e-mail)</t>
  </si>
  <si>
    <t>Vraag 16b - NRW 2019</t>
  </si>
  <si>
    <t>gegevens productie elektriciteit 1e informatieverzoek</t>
  </si>
  <si>
    <t>gegevens productie drinkwater 1e informatieverzoek</t>
  </si>
  <si>
    <t>Vraag 15a - aantallen distributie DW 2019</t>
  </si>
  <si>
    <t>gegevens distributie drinkwater 1e informatieverzoek</t>
  </si>
  <si>
    <t>gegevens distributie elektriciteit 1e informatieverzoek</t>
  </si>
  <si>
    <t>Netverliezen elektriciteit 2019</t>
  </si>
  <si>
    <t>Lekverliezen drinkwater 2019</t>
  </si>
  <si>
    <t>Opgave door WEB op basis van verhouding in 2019</t>
  </si>
  <si>
    <t>Beschikking distributietarieven elektriciteit en drinkwater 2020</t>
  </si>
  <si>
    <t>Beschikking distributietarieven elektriciteit 2020</t>
  </si>
  <si>
    <t>Beschikking distributietarieven drinkwater 2020</t>
  </si>
  <si>
    <t>https://www.acm.nl/sites/default/files/documents/2020-01/beschikking-distributietarieven-elektriciteit-2020-bonaire-web.pdf</t>
  </si>
  <si>
    <t>ACM/19/035835, ACM/UIT/525035</t>
  </si>
  <si>
    <t>ACM/19/035835, ACM/UIT/525048</t>
  </si>
  <si>
    <t>https://www.acm.nl/sites/default/files/documents/2020-01/beschikking-distributietarieven-drinkwater-2020-bonaire-web.pdf</t>
  </si>
  <si>
    <t>Berekening tarieven WEB 2020</t>
  </si>
  <si>
    <t>https://www.acm.nl/nl/publicaties/beschikking-distributietarieven-elektriciteit-2020-bonaire-web-caribisch-nederland</t>
  </si>
  <si>
    <t>Rekenmodel WEB 2020</t>
  </si>
  <si>
    <t>ACM/19/035835, ACM/UIT/525035 (Bijlage)</t>
  </si>
  <si>
    <t>Berekening tarieven WEB 2020, blad 'variabel tarief drinkwater', regel 16</t>
  </si>
  <si>
    <t>Berekening tarieven WEB 2020, blad 'variabel tarief drinkwater', regel 23</t>
  </si>
  <si>
    <t>Berekening tarieven WEB 2020, blad 'variabel tarief drinkwater', regel 24</t>
  </si>
  <si>
    <t>https://www.acm.nl/sites/default/files/documents/2020-06/cn-web-variabel-gebruikstarief-per-1-juli-2020.pdf</t>
  </si>
  <si>
    <t>Beschikking gebruikstarief elektriciteit per 1 juli 2020</t>
  </si>
  <si>
    <t>ACM/20/038684 / ACM/UIT/536682</t>
  </si>
  <si>
    <t>Tarievenvoorstel WEB voor 2021 - 30 sept 2020</t>
  </si>
  <si>
    <t xml:space="preserve">Op dit tabblad geeft de ACM productie- en volumegegevens weer over het jaar 2019. </t>
  </si>
  <si>
    <t>Totale geschatte kosten 2021 o.b.v. geraamde volumes 2021</t>
  </si>
  <si>
    <t>Correctiebedrag van toepassing op heel 2021, let op: ook toe te passen op tarief per 1 juli 2021</t>
  </si>
  <si>
    <t>Deze groep van afnemers betaalt per kVA per maand</t>
  </si>
  <si>
    <t>Grootverbruikers</t>
  </si>
  <si>
    <t>Op de productieprijs van WEB zijn geen correcties van toepassing (zie tabblad 'Correcties (incl. berekening)')</t>
  </si>
  <si>
    <t>Lekverliespercentage</t>
  </si>
  <si>
    <t>Totale geschatte kosten voor productie WEB in 2021</t>
  </si>
  <si>
    <t>Inkomstenbedrag 2021 per inch^2 per maand</t>
  </si>
  <si>
    <t>Inkomstenbedrag voor truck delivery</t>
  </si>
  <si>
    <t>Totale geschatte kosten 2021 voor distributie via truck</t>
  </si>
  <si>
    <t>Inkomstenbedrag voor truck delivery 2021</t>
  </si>
  <si>
    <t>Input bepaling variabele kosten</t>
  </si>
  <si>
    <t>Tarievenvoorstel WEB, eerste informatieverzoek vraag 11</t>
  </si>
  <si>
    <t>Totale forfaitaire afname bij GE onder contract, januari - juni 2021</t>
  </si>
  <si>
    <t>Additionele afname bij GE tegen meerprijs, januari - juni 2021</t>
  </si>
  <si>
    <t>Meerprijs boven contract per M3 afname bij GE</t>
  </si>
  <si>
    <t>Demobilization fee GE in 2021</t>
  </si>
  <si>
    <t>Inkoop_2021_GE_new_plant</t>
  </si>
  <si>
    <t>Document ontvangen als onderdeel beantwoording van derde informatieverzoek</t>
  </si>
  <si>
    <t>Inkoop en productie DW 2021</t>
  </si>
  <si>
    <t>Geschat productievolume bestaande faciliteit, januari - december 2021</t>
  </si>
  <si>
    <t>Geschat productievolume nieuwe faciliteit, juli - december 2021</t>
  </si>
  <si>
    <t>Investering nieuwe drinkwaterfaciliteit</t>
  </si>
  <si>
    <t>Investeringsdatum nieuwe drinkwaterfaciliteit</t>
  </si>
  <si>
    <t>Afschrijvingstermijn nieuwe drinkwaterfaciliteit</t>
  </si>
  <si>
    <t>jaar</t>
  </si>
  <si>
    <t>Kosten nieuwe faciliteit WEB (gaat mee als omvangrijke gebeurtenis)</t>
  </si>
  <si>
    <t>datum</t>
  </si>
  <si>
    <t>Inkoop en productie DW 2021, beantwoording derde informatieverzoek</t>
  </si>
  <si>
    <t>Additionele formatie (totaalbedrag voor 2021)</t>
  </si>
  <si>
    <t>Productie Drinkwater - elektriciteitsgebruik</t>
  </si>
  <si>
    <t>Totale productiehoeveelheid 2021</t>
  </si>
  <si>
    <t>Totale inkoopkosten o.b.v.forfaitaire minimumafname</t>
  </si>
  <si>
    <t>Inkoop en productie DW 2021, berekening ACM</t>
  </si>
  <si>
    <t>Vastgesteld o.b.v. afname van 765.000 M3 tegen tarief van 1,76 USD/M3</t>
  </si>
  <si>
    <t>Correctiebedragen die zien op productie elektriciteit gaan mee in totale correctie op het variabele gebruikstarief elektriciteit. Correctiebedragen voor profit sharing over net- en lekverliezen gaan mee in het variabele gebruikstarief.</t>
  </si>
  <si>
    <t>Correctie voor brandstofprijs verschillen in 2019 (WEB producent)</t>
  </si>
  <si>
    <r>
      <t xml:space="preserve">NB: dit bedrag moet </t>
    </r>
    <r>
      <rPr>
        <u/>
        <sz val="10"/>
        <rFont val="Arial"/>
        <family val="2"/>
      </rPr>
      <t>opnieuw</t>
    </r>
    <r>
      <rPr>
        <sz val="10"/>
        <rFont val="Arial"/>
        <family val="2"/>
      </rPr>
      <t xml:space="preserve"> worden betrokken bij vaststelling van het gewijzigde variabele gebruikstarief elektriciteit per 1 juli 2021</t>
    </r>
  </si>
  <si>
    <t>Positief bedrag = WEB heeft minder vergoed gekregen dan er kosten waren. Bedrag optellen bij inkomsten 2021</t>
  </si>
  <si>
    <t>Percentages afgerond op één decimaal; NB: voor drinkwater van toepassing op kosten exclusief kosten productie GE</t>
  </si>
  <si>
    <t>Berekening kosten productie drinkwater via GE (jan - jun 2021)</t>
  </si>
  <si>
    <t>Berekening totale kosten voor productie via GE</t>
  </si>
  <si>
    <t>Hoewel deels uitgedrukt in tarief per m3 worden al deze kosten als vast beschouwd</t>
  </si>
  <si>
    <t>Berekening kosten nieuwe productiefaciliteit drinkwater WEB (jul - dec 2021)</t>
  </si>
  <si>
    <t>Afschrijving op de nieuwe drinkwaterfaciliteit in 2021</t>
  </si>
  <si>
    <t>Boekwaarde investeringen ultimo 2021</t>
  </si>
  <si>
    <t>Gemiddelde boekwaarde (primo en ultimo) gedurende 2021</t>
  </si>
  <si>
    <t>Vermogenskostens o.b.v. WACC voor deze investering in 2021</t>
  </si>
  <si>
    <t>Totale kosten nieuwe drinkwaterfaciliteit (incl. additionele formatie)</t>
  </si>
  <si>
    <t>Tarief per kVA, bij huidige volledige subsidiëring door ministerie EZK</t>
  </si>
  <si>
    <t>Er is voldoende zekerheid ober volledige subsidiëring vaste gebruikstarief, wat ook voor WEB geldt</t>
  </si>
  <si>
    <t>Vanwege subsidiëring maakt WEB geen kosten voor de elektriciteitsaansluiting voor drinkwaterproductie</t>
  </si>
  <si>
    <t>Voor productie drinkwater incl. de geraamde kosten van de nieuwe drinkwaterfaciliteit (gaat mee als 'omvangrijke gebeurtenis')</t>
  </si>
  <si>
    <t>Deze kosten nog excl. de additionele kosten voor de nieuwe drinkwaterfaciliteit</t>
  </si>
  <si>
    <t>Betreft kosten voor de periode juli - december 2021; betreft volledig vaste kosten</t>
  </si>
  <si>
    <t>Bedrag inclusief alle kosten voor productie via GE, WEB's nieuwe drinkwaterfaciliteit en inclusief kosten voor elektriciteitsaansluiting, excl. kosten verbruik kWh's</t>
  </si>
  <si>
    <t>Let op: niet het variabele gebruikstarief</t>
  </si>
  <si>
    <t>Totaaloverzicht van alle tarieven voor 2021 die in dit bestand berekend worden.</t>
  </si>
  <si>
    <t>Grootverbruikers betalen dit tarief per kVA per maand</t>
  </si>
  <si>
    <t>gegevens distributie DW per truck</t>
  </si>
  <si>
    <t>Op regel 31 en verder zijn de kosten van de nieuwe drinkwaterfaciliteit opgenomen. Deze faciliteit wordt naar verwachting op 1 juli 2021 actief en ACM neemt dit mee als 'omvangrijke gebeurtenis' in de raming van de productie en kosten voor drinkwater.</t>
  </si>
  <si>
    <t>Productieprijsbeschikking CGB voor 2021</t>
  </si>
  <si>
    <t>ACM/20/040019</t>
  </si>
  <si>
    <t>Wordt gepubliceerd op acm.nl, tweede helft december 2020</t>
  </si>
  <si>
    <t>3*80 (380Volt)</t>
  </si>
  <si>
    <t>3*100 (380Volt)</t>
  </si>
  <si>
    <t>E-mail WEB 30-11</t>
  </si>
  <si>
    <t>Email WEB 30-11</t>
  </si>
  <si>
    <t>Betreft 380Volt aansluitingen</t>
  </si>
  <si>
    <t>Totale geschatte volumes 2021</t>
  </si>
  <si>
    <t>Geschat volume WEB</t>
  </si>
  <si>
    <t>Totaal geschat volume Bonaire (productie)</t>
  </si>
  <si>
    <t>De kostenbasis wordt gebaseerd op de kapitaalkosten en OPEX over 2019</t>
  </si>
  <si>
    <t>Voor drinkwater wordt hier gebruik gemaakt van het totale productieniveau drinkwater voor 2021 (incl. productie GE)</t>
  </si>
  <si>
    <t>Beschrijving berekening</t>
  </si>
  <si>
    <t>Gegevens CBS laatst bekeken 30 november 2020</t>
  </si>
  <si>
    <t>Deze gegevens zijn eveneens resultaat van de tarievenberekening voor 2021, en zijn opgenomen op de blauwe tabbladen 'Dictum &amp; Bijlagen Elektriciteit / Drinkwater'</t>
  </si>
  <si>
    <t>Correcties</t>
  </si>
  <si>
    <t>Tarieven voor in het dictum van het besluit over productieprijs</t>
  </si>
  <si>
    <t>Dictum en Bijlagen Besluit: tarieven en belangrijkste gegevens Elektriciteit</t>
  </si>
  <si>
    <t>Dictum en Bijlagen Besluit: tarieven en belangrijkste gegevens Drinkwater</t>
  </si>
  <si>
    <t>** In verband met het sterk afgenomen productieniveau van WEB zijn alle correcties over productie verwerkt in het variabel gebruikstarief</t>
  </si>
  <si>
    <t>ACM/20/040018</t>
  </si>
  <si>
    <t>OPEX-berekening, RAB-berekening, berekening correcties (o.a. brandstof) en profit sharing berekening vormen input voor dit bestand</t>
  </si>
  <si>
    <t>zie onder</t>
  </si>
  <si>
    <t>ACM/UIT/544867</t>
  </si>
  <si>
    <t>ACM/UIT/544868</t>
  </si>
  <si>
    <t>ACM/UIT/544904</t>
  </si>
  <si>
    <t>ACM/UIT/544905</t>
  </si>
  <si>
    <t>Ja</t>
  </si>
  <si>
    <t>[gegevens geschoond i.v.m.bedrijfsvertrouwelijkheid]</t>
  </si>
  <si>
    <t>[formules niet van toepassing i.v.m. vertrouwelijkheid gegevens]</t>
  </si>
  <si>
    <t>Berekening is geschoond voor vertrouwelijke gegevens (o.b.v. reactie WEB per 14 dec 2020); vertrouwelijkheid van toepassing op enkele gegevens op tabblad 'Gegevens raming 2021'.</t>
  </si>
  <si>
    <t>OPEX-berekening</t>
  </si>
  <si>
    <t>RAB-berekening</t>
  </si>
  <si>
    <t>Bestanden toegestuurd aan ACM</t>
  </si>
  <si>
    <t>Mail van WEB aan ACM</t>
  </si>
  <si>
    <t>E-mail van WEB aan ACM</t>
  </si>
  <si>
    <t>Berekening profit sharing over 2019</t>
  </si>
  <si>
    <t>Profit sharing berekening over 2019</t>
  </si>
  <si>
    <t>Brandstofmodel WEB voor tarieven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</si>
</sst>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_ ;_ * \-#,##0.000_ ;_ * &quot;-&quot;??_ ;_ @_ "/>
    <numFmt numFmtId="166" formatCode="_ * #,##0.0_ ;_ * \-#,##0.0_ ;_ * &quot;-&quot;??_ ;_ @_ "/>
    <numFmt numFmtId="167" formatCode="_ * #,##0.00_ ;_ * \-#,##0.00_ ;_ * &quot;-&quot;_ ;_ @_ "/>
    <numFmt numFmtId="168" formatCode="_ * #,##0.0000_ ;_ * \-#,##0.0000_ ;_ * &quot;-&quot;_ ;_ @_ "/>
    <numFmt numFmtId="169" formatCode="_ * #,##0.0000_ ;_ * \-#,##0.0000_ ;_ * &quot;-&quot;??_ ;_ @_ "/>
    <numFmt numFmtId="170" formatCode="_ * #,##0.000_ ;_ * \-#,##0.000_ ;_ * &quot;-&quot;_ ;_ @_ "/>
    <numFmt numFmtId="171" formatCode="0.0%"/>
    <numFmt numFmtId="172" formatCode="_ * #,##0.0_ ;_ * \-#,##0.0_ ;_ * &quot;-&quot;_ ;_ @_ "/>
    <numFmt numFmtId="173" formatCode="_ * #,##0.000_ ;_ * \-#,##0.000_ ;_ * &quot;-&quot;???_ ;_ @_ "/>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i/>
      <u/>
      <sz val="10"/>
      <name val="Arial"/>
      <family val="2"/>
    </font>
    <font>
      <u/>
      <sz val="10"/>
      <name val="Arial"/>
      <family val="2"/>
    </font>
    <font>
      <b/>
      <sz val="8"/>
      <color indexed="81"/>
      <name val="Tahoma"/>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7">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41" fontId="5" fillId="46" borderId="0">
      <alignment vertical="top"/>
    </xf>
    <xf numFmtId="10" fontId="5" fillId="0" borderId="0" applyFont="0" applyFill="0" applyBorder="0" applyAlignment="0" applyProtection="0">
      <alignment vertical="top"/>
    </xf>
    <xf numFmtId="49" fontId="6" fillId="20" borderId="1">
      <alignment vertical="top"/>
    </xf>
  </cellStyleXfs>
  <cellXfs count="207">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9" fontId="5" fillId="0" borderId="0" xfId="4" applyNumberFormat="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1" fontId="5" fillId="46" borderId="0" xfId="64">
      <alignment vertical="top"/>
    </xf>
    <xf numFmtId="41" fontId="5" fillId="14" borderId="0" xfId="13">
      <alignment vertical="top"/>
    </xf>
    <xf numFmtId="41" fontId="5" fillId="12" borderId="0" xfId="9">
      <alignment vertical="top"/>
    </xf>
    <xf numFmtId="10" fontId="5" fillId="47" borderId="0" xfId="65" applyFill="1">
      <alignment vertical="top"/>
    </xf>
    <xf numFmtId="0" fontId="5" fillId="0" borderId="0" xfId="4" applyBorder="1" applyAlignment="1">
      <alignment vertical="top"/>
    </xf>
    <xf numFmtId="49" fontId="6" fillId="20" borderId="1" xfId="6" applyAlignment="1">
      <alignment vertical="top" wrapText="1"/>
    </xf>
    <xf numFmtId="164" fontId="5" fillId="12" borderId="0" xfId="9" applyNumberFormat="1">
      <alignment vertical="top"/>
    </xf>
    <xf numFmtId="49" fontId="6" fillId="0" borderId="0" xfId="7" applyFont="1">
      <alignment vertical="top"/>
    </xf>
    <xf numFmtId="0" fontId="1" fillId="0" borderId="0" xfId="0" applyFont="1">
      <alignment vertical="top"/>
    </xf>
    <xf numFmtId="49" fontId="6" fillId="20" borderId="1" xfId="6" applyFont="1">
      <alignment vertical="top"/>
    </xf>
    <xf numFmtId="49" fontId="6" fillId="20" borderId="1" xfId="6" applyFont="1" applyAlignment="1">
      <alignment vertical="top" wrapText="1"/>
    </xf>
    <xf numFmtId="0" fontId="1" fillId="0" borderId="0" xfId="0" applyFont="1" applyAlignment="1">
      <alignment vertical="center"/>
    </xf>
    <xf numFmtId="49" fontId="10" fillId="0" borderId="0" xfId="15" applyFont="1">
      <alignment vertical="top"/>
    </xf>
    <xf numFmtId="0" fontId="1" fillId="0" borderId="0" xfId="0" applyFont="1" applyAlignment="1"/>
    <xf numFmtId="164" fontId="5" fillId="47" borderId="0" xfId="11" applyNumberFormat="1" applyFont="1">
      <alignment vertical="top"/>
    </xf>
    <xf numFmtId="49" fontId="11" fillId="0" borderId="0" xfId="14" applyFont="1">
      <alignment vertical="top"/>
    </xf>
    <xf numFmtId="164" fontId="5" fillId="12" borderId="0" xfId="9" applyNumberFormat="1" applyFont="1">
      <alignment vertical="top"/>
    </xf>
    <xf numFmtId="165" fontId="5" fillId="0" borderId="0" xfId="12" applyNumberFormat="1" applyFont="1" applyFill="1">
      <alignment vertical="top"/>
    </xf>
    <xf numFmtId="0" fontId="0" fillId="0" borderId="0" xfId="0" applyFont="1" applyAlignment="1"/>
    <xf numFmtId="0" fontId="28" fillId="0" borderId="0" xfId="0" applyFont="1">
      <alignment vertical="top"/>
    </xf>
    <xf numFmtId="164" fontId="5" fillId="0" borderId="0" xfId="11" applyNumberFormat="1" applyFont="1" applyFill="1">
      <alignment vertical="top"/>
    </xf>
    <xf numFmtId="10" fontId="5" fillId="0" borderId="0" xfId="65" applyNumberFormat="1" applyFont="1" applyFill="1" applyAlignment="1">
      <alignment vertical="top"/>
    </xf>
    <xf numFmtId="0" fontId="5" fillId="0" borderId="0" xfId="4" applyFont="1" applyFill="1">
      <alignment vertical="top"/>
    </xf>
    <xf numFmtId="41" fontId="5" fillId="10" borderId="0" xfId="10" applyFont="1">
      <alignment vertical="top"/>
    </xf>
    <xf numFmtId="166" fontId="5" fillId="47" borderId="0" xfId="11" applyNumberFormat="1" applyFont="1">
      <alignment vertical="top"/>
    </xf>
    <xf numFmtId="164" fontId="5" fillId="47" borderId="0" xfId="11" applyNumberFormat="1">
      <alignment vertical="top"/>
    </xf>
    <xf numFmtId="0" fontId="0" fillId="0" borderId="0" xfId="0">
      <alignment vertical="top"/>
    </xf>
    <xf numFmtId="167" fontId="5" fillId="47" borderId="0" xfId="11" applyNumberFormat="1">
      <alignment vertical="top"/>
    </xf>
    <xf numFmtId="49" fontId="10" fillId="0" borderId="0" xfId="7" applyFont="1">
      <alignment vertical="top"/>
    </xf>
    <xf numFmtId="49" fontId="10" fillId="0" borderId="0" xfId="7" applyFont="1" applyAlignment="1">
      <alignment vertical="top" wrapText="1"/>
    </xf>
    <xf numFmtId="164" fontId="5" fillId="45" borderId="0" xfId="62" applyNumberFormat="1">
      <alignment vertical="top"/>
    </xf>
    <xf numFmtId="10" fontId="5" fillId="14" borderId="0" xfId="65" applyFill="1">
      <alignment vertical="top"/>
    </xf>
    <xf numFmtId="0" fontId="5" fillId="0" borderId="0" xfId="4" applyAlignment="1">
      <alignment horizontal="center" vertical="top"/>
    </xf>
    <xf numFmtId="49" fontId="5" fillId="0" borderId="0" xfId="15" applyFont="1">
      <alignment vertical="top"/>
    </xf>
    <xf numFmtId="0" fontId="0" fillId="0" borderId="0" xfId="0" applyFont="1">
      <alignment vertical="top"/>
    </xf>
    <xf numFmtId="9" fontId="5" fillId="47" borderId="0" xfId="65" applyNumberFormat="1" applyFill="1">
      <alignment vertical="top"/>
    </xf>
    <xf numFmtId="164" fontId="5" fillId="45" borderId="0" xfId="63" applyNumberFormat="1" applyFill="1">
      <alignment vertical="top"/>
    </xf>
    <xf numFmtId="169" fontId="5" fillId="47" borderId="0" xfId="63" applyNumberFormat="1" applyFill="1">
      <alignment vertical="top"/>
    </xf>
    <xf numFmtId="170" fontId="5" fillId="47" borderId="0" xfId="11" applyNumberFormat="1">
      <alignment vertical="top"/>
    </xf>
    <xf numFmtId="168" fontId="5" fillId="47" borderId="0" xfId="11" applyNumberFormat="1">
      <alignment vertical="top"/>
    </xf>
    <xf numFmtId="9" fontId="5" fillId="14" borderId="0" xfId="13" applyNumberFormat="1">
      <alignment vertical="top"/>
    </xf>
    <xf numFmtId="43" fontId="5" fillId="12" borderId="0" xfId="63">
      <alignment vertical="top"/>
    </xf>
    <xf numFmtId="164" fontId="5" fillId="14" borderId="0" xfId="63" applyNumberFormat="1" applyFont="1" applyFill="1" applyAlignment="1">
      <alignment vertical="top"/>
    </xf>
    <xf numFmtId="164" fontId="5" fillId="14" borderId="0" xfId="13" applyNumberFormat="1">
      <alignment vertical="top"/>
    </xf>
    <xf numFmtId="169" fontId="5" fillId="14" borderId="0" xfId="13" applyNumberFormat="1">
      <alignment vertical="top"/>
    </xf>
    <xf numFmtId="10" fontId="5" fillId="14" borderId="0" xfId="13" applyNumberFormat="1">
      <alignment vertical="top"/>
    </xf>
    <xf numFmtId="169" fontId="5" fillId="12" borderId="0" xfId="9" applyNumberFormat="1">
      <alignment vertical="top"/>
    </xf>
    <xf numFmtId="169" fontId="5" fillId="13" borderId="0" xfId="8" applyNumberFormat="1">
      <alignment vertical="top"/>
    </xf>
    <xf numFmtId="171" fontId="5" fillId="14" borderId="0" xfId="13" applyNumberFormat="1">
      <alignment vertical="top"/>
    </xf>
    <xf numFmtId="165" fontId="5" fillId="13" borderId="0" xfId="8" applyNumberFormat="1">
      <alignment vertical="top"/>
    </xf>
    <xf numFmtId="169" fontId="5" fillId="13" borderId="0" xfId="63" applyNumberFormat="1" applyFill="1">
      <alignment vertical="top"/>
    </xf>
    <xf numFmtId="169" fontId="5" fillId="14" borderId="0" xfId="63" applyNumberFormat="1" applyFill="1">
      <alignment vertical="top"/>
    </xf>
    <xf numFmtId="41" fontId="5" fillId="0" borderId="0" xfId="4" applyNumberFormat="1" applyFont="1">
      <alignment vertical="top"/>
    </xf>
    <xf numFmtId="0" fontId="5" fillId="45" borderId="0" xfId="62" applyNumberFormat="1">
      <alignment vertical="top"/>
    </xf>
    <xf numFmtId="169" fontId="5" fillId="12" borderId="0" xfId="63" applyNumberFormat="1">
      <alignment vertical="top"/>
    </xf>
    <xf numFmtId="43" fontId="5" fillId="0" borderId="0" xfId="4" applyNumberFormat="1">
      <alignment vertical="top"/>
    </xf>
    <xf numFmtId="165" fontId="5" fillId="0" borderId="0" xfId="4" applyNumberFormat="1">
      <alignment vertical="top"/>
    </xf>
    <xf numFmtId="169" fontId="5" fillId="0" borderId="0" xfId="4" applyNumberFormat="1">
      <alignment vertical="top"/>
    </xf>
    <xf numFmtId="43" fontId="5" fillId="13" borderId="0" xfId="63" applyFill="1">
      <alignment vertical="top"/>
    </xf>
    <xf numFmtId="172" fontId="5" fillId="14" borderId="0" xfId="13" applyNumberFormat="1">
      <alignment vertical="top"/>
    </xf>
    <xf numFmtId="0" fontId="0" fillId="0" borderId="0" xfId="0" applyBorder="1" applyAlignment="1"/>
    <xf numFmtId="43" fontId="5" fillId="14" borderId="0" xfId="63" applyFill="1">
      <alignment vertical="top"/>
    </xf>
    <xf numFmtId="0" fontId="0" fillId="0" borderId="0" xfId="0" applyFont="1" applyFill="1" applyBorder="1" applyAlignment="1"/>
    <xf numFmtId="0" fontId="0" fillId="0" borderId="0" xfId="0">
      <alignment vertical="top"/>
    </xf>
    <xf numFmtId="43" fontId="5" fillId="10" borderId="0" xfId="63" applyFill="1">
      <alignment vertical="top"/>
    </xf>
    <xf numFmtId="164" fontId="5" fillId="12" borderId="0" xfId="63" applyNumberFormat="1">
      <alignment vertical="top"/>
    </xf>
    <xf numFmtId="173" fontId="5" fillId="0" borderId="0" xfId="4" applyNumberFormat="1">
      <alignment vertical="top"/>
    </xf>
    <xf numFmtId="43" fontId="5" fillId="12" borderId="0" xfId="9" applyNumberFormat="1">
      <alignment vertical="top"/>
    </xf>
    <xf numFmtId="166" fontId="5" fillId="0" borderId="0" xfId="63" applyNumberFormat="1" applyFill="1">
      <alignment vertical="top"/>
    </xf>
    <xf numFmtId="43" fontId="5" fillId="13" borderId="0" xfId="8" applyNumberFormat="1">
      <alignment vertical="top"/>
    </xf>
    <xf numFmtId="49" fontId="15" fillId="0" borderId="0" xfId="14" applyFont="1">
      <alignment vertical="top"/>
    </xf>
    <xf numFmtId="43" fontId="5" fillId="0" borderId="0" xfId="4" applyNumberFormat="1" applyFont="1">
      <alignment vertical="top"/>
    </xf>
    <xf numFmtId="43" fontId="5" fillId="0" borderId="0" xfId="63" applyFill="1">
      <alignment vertical="top"/>
    </xf>
    <xf numFmtId="43" fontId="6" fillId="20" borderId="1" xfId="63" applyFont="1" applyFill="1" applyBorder="1">
      <alignment vertical="top"/>
    </xf>
    <xf numFmtId="165" fontId="5" fillId="0" borderId="0" xfId="63" applyNumberFormat="1" applyFill="1">
      <alignment vertical="top"/>
    </xf>
    <xf numFmtId="169" fontId="5" fillId="0" borderId="0" xfId="63" applyNumberFormat="1" applyFill="1">
      <alignment vertical="top"/>
    </xf>
    <xf numFmtId="164" fontId="5" fillId="0" borderId="0" xfId="63" applyNumberFormat="1" applyFill="1">
      <alignment vertical="top"/>
    </xf>
    <xf numFmtId="165" fontId="5" fillId="13" borderId="0" xfId="63" applyNumberFormat="1" applyFill="1">
      <alignment vertical="top"/>
    </xf>
    <xf numFmtId="165" fontId="5" fillId="12" borderId="0" xfId="63" applyNumberFormat="1">
      <alignment vertical="top"/>
    </xf>
    <xf numFmtId="168" fontId="5" fillId="12" borderId="0" xfId="9" applyNumberFormat="1">
      <alignment vertical="top"/>
    </xf>
    <xf numFmtId="0" fontId="0" fillId="0" borderId="12" xfId="0" applyBorder="1">
      <alignment vertical="top"/>
    </xf>
    <xf numFmtId="0" fontId="0" fillId="0" borderId="13" xfId="0" applyBorder="1">
      <alignment vertical="top"/>
    </xf>
    <xf numFmtId="0" fontId="0" fillId="0" borderId="14" xfId="0" applyBorder="1">
      <alignment vertical="top"/>
    </xf>
    <xf numFmtId="49" fontId="6" fillId="20" borderId="15" xfId="6" applyBorder="1">
      <alignment vertical="top"/>
    </xf>
    <xf numFmtId="49" fontId="6" fillId="20" borderId="1" xfId="6" applyBorder="1">
      <alignment vertical="top"/>
    </xf>
    <xf numFmtId="49" fontId="6" fillId="20" borderId="16" xfId="6" applyBorder="1">
      <alignment vertical="top"/>
    </xf>
    <xf numFmtId="0" fontId="0" fillId="0" borderId="17" xfId="0" applyBorder="1">
      <alignment vertical="top"/>
    </xf>
    <xf numFmtId="0" fontId="0" fillId="0" borderId="0" xfId="0" applyBorder="1">
      <alignment vertical="top"/>
    </xf>
    <xf numFmtId="0" fontId="0" fillId="0" borderId="18" xfId="0" applyBorder="1">
      <alignment vertical="top"/>
    </xf>
    <xf numFmtId="0" fontId="5" fillId="0" borderId="0" xfId="4" applyBorder="1">
      <alignment vertical="top"/>
    </xf>
    <xf numFmtId="0" fontId="5" fillId="0" borderId="18" xfId="4" applyBorder="1">
      <alignment vertical="top"/>
    </xf>
    <xf numFmtId="0" fontId="6" fillId="0" borderId="0" xfId="4" applyFont="1" applyBorder="1">
      <alignment vertical="top"/>
    </xf>
    <xf numFmtId="166" fontId="5" fillId="0" borderId="0" xfId="63" applyNumberFormat="1" applyFill="1" applyBorder="1">
      <alignment vertical="top"/>
    </xf>
    <xf numFmtId="2" fontId="5" fillId="0" borderId="0" xfId="4" applyNumberFormat="1" applyBorder="1">
      <alignment vertical="top"/>
    </xf>
    <xf numFmtId="2" fontId="5" fillId="0" borderId="18" xfId="4" applyNumberFormat="1" applyBorder="1">
      <alignment vertical="top"/>
    </xf>
    <xf numFmtId="0" fontId="5" fillId="0" borderId="20" xfId="4" applyBorder="1">
      <alignment vertical="top"/>
    </xf>
    <xf numFmtId="0" fontId="5" fillId="0" borderId="21" xfId="4" applyBorder="1">
      <alignment vertical="top"/>
    </xf>
    <xf numFmtId="10" fontId="0" fillId="15" borderId="0" xfId="0" applyNumberFormat="1" applyFill="1" applyBorder="1">
      <alignment vertical="top"/>
    </xf>
    <xf numFmtId="0" fontId="28" fillId="0" borderId="0" xfId="0" applyFont="1" applyBorder="1" applyAlignment="1">
      <alignment horizontal="center" vertical="center" wrapText="1"/>
    </xf>
    <xf numFmtId="164" fontId="5" fillId="15" borderId="0" xfId="63" applyNumberFormat="1" applyFill="1" applyBorder="1">
      <alignment vertical="top"/>
    </xf>
    <xf numFmtId="165" fontId="5" fillId="15" borderId="0" xfId="63" applyNumberFormat="1" applyFill="1" applyBorder="1">
      <alignment vertical="top"/>
    </xf>
    <xf numFmtId="10" fontId="5" fillId="15" borderId="0" xfId="0" applyNumberFormat="1" applyFont="1" applyFill="1" applyBorder="1" applyAlignment="1">
      <alignment vertical="top"/>
    </xf>
    <xf numFmtId="0" fontId="0" fillId="0" borderId="19" xfId="0" applyBorder="1">
      <alignment vertical="top"/>
    </xf>
    <xf numFmtId="0" fontId="0" fillId="0" borderId="20" xfId="0" applyBorder="1">
      <alignment vertical="top"/>
    </xf>
    <xf numFmtId="0" fontId="0" fillId="0" borderId="21" xfId="0" applyBorder="1">
      <alignment vertical="top"/>
    </xf>
    <xf numFmtId="43" fontId="5" fillId="15" borderId="0" xfId="63" applyNumberFormat="1" applyFill="1" applyBorder="1">
      <alignment vertical="top"/>
    </xf>
    <xf numFmtId="2" fontId="0" fillId="0" borderId="13" xfId="0" applyNumberFormat="1" applyBorder="1">
      <alignment vertical="top"/>
    </xf>
    <xf numFmtId="2" fontId="0" fillId="0" borderId="14" xfId="0" applyNumberFormat="1" applyBorder="1">
      <alignment vertical="top"/>
    </xf>
    <xf numFmtId="2" fontId="6" fillId="20" borderId="1" xfId="6" applyNumberFormat="1" applyBorder="1">
      <alignment vertical="top"/>
    </xf>
    <xf numFmtId="2" fontId="6" fillId="20" borderId="16" xfId="6" applyNumberFormat="1" applyBorder="1">
      <alignment vertical="top"/>
    </xf>
    <xf numFmtId="2" fontId="0" fillId="0" borderId="0" xfId="0" applyNumberFormat="1" applyBorder="1">
      <alignment vertical="top"/>
    </xf>
    <xf numFmtId="2" fontId="0" fillId="0" borderId="18" xfId="0" applyNumberFormat="1" applyBorder="1">
      <alignment vertical="top"/>
    </xf>
    <xf numFmtId="2" fontId="5" fillId="0" borderId="20" xfId="4" applyNumberFormat="1" applyBorder="1">
      <alignment vertical="top"/>
    </xf>
    <xf numFmtId="2" fontId="5" fillId="0" borderId="21" xfId="4" applyNumberFormat="1" applyBorder="1">
      <alignment vertical="top"/>
    </xf>
    <xf numFmtId="0" fontId="5" fillId="0" borderId="0" xfId="4" applyFill="1" applyBorder="1">
      <alignment vertical="top"/>
    </xf>
    <xf numFmtId="0" fontId="0" fillId="0" borderId="0" xfId="0">
      <alignment vertical="top"/>
    </xf>
    <xf numFmtId="43" fontId="5" fillId="15" borderId="0" xfId="0" applyNumberFormat="1" applyFont="1" applyFill="1" applyBorder="1" applyAlignment="1">
      <alignment vertical="top"/>
    </xf>
    <xf numFmtId="166" fontId="5" fillId="0" borderId="0" xfId="63" applyNumberFormat="1" applyFill="1" applyBorder="1" applyAlignment="1">
      <alignment vertical="top"/>
    </xf>
    <xf numFmtId="43" fontId="0" fillId="15" borderId="0" xfId="63" applyFont="1" applyFill="1" applyBorder="1">
      <alignment vertical="top"/>
    </xf>
    <xf numFmtId="43" fontId="5" fillId="0" borderId="0" xfId="63" applyFill="1" applyBorder="1">
      <alignment vertical="top"/>
    </xf>
    <xf numFmtId="169" fontId="0" fillId="15" borderId="0" xfId="63" applyNumberFormat="1" applyFont="1" applyFill="1">
      <alignment vertical="top"/>
    </xf>
    <xf numFmtId="169" fontId="0" fillId="0" borderId="0" xfId="63" applyNumberFormat="1" applyFont="1" applyFill="1">
      <alignment vertical="top"/>
    </xf>
    <xf numFmtId="169" fontId="0" fillId="0" borderId="13" xfId="63" applyNumberFormat="1" applyFont="1" applyFill="1" applyBorder="1">
      <alignment vertical="top"/>
    </xf>
    <xf numFmtId="169" fontId="6" fillId="20" borderId="1" xfId="63" applyNumberFormat="1" applyFont="1" applyFill="1" applyBorder="1">
      <alignment vertical="top"/>
    </xf>
    <xf numFmtId="169" fontId="0" fillId="0" borderId="0" xfId="63" applyNumberFormat="1" applyFont="1" applyFill="1" applyBorder="1">
      <alignment vertical="top"/>
    </xf>
    <xf numFmtId="169" fontId="5" fillId="0" borderId="0" xfId="63" applyNumberFormat="1" applyFill="1" applyBorder="1">
      <alignment vertical="top"/>
    </xf>
    <xf numFmtId="169" fontId="0" fillId="15" borderId="0" xfId="63" applyNumberFormat="1" applyFont="1" applyFill="1" applyBorder="1">
      <alignment vertical="top"/>
    </xf>
    <xf numFmtId="0" fontId="5" fillId="0" borderId="0" xfId="4" applyFont="1" applyBorder="1">
      <alignment vertical="top"/>
    </xf>
    <xf numFmtId="0" fontId="10" fillId="0" borderId="0" xfId="4" applyFont="1" applyBorder="1">
      <alignment vertical="top"/>
    </xf>
    <xf numFmtId="0" fontId="10" fillId="0" borderId="20" xfId="4" applyFont="1" applyBorder="1">
      <alignment vertical="top"/>
    </xf>
    <xf numFmtId="0" fontId="28" fillId="0" borderId="0" xfId="0" applyFont="1" applyBorder="1">
      <alignment vertical="top"/>
    </xf>
    <xf numFmtId="0" fontId="5" fillId="0" borderId="0" xfId="4" applyFont="1" applyBorder="1" applyAlignment="1">
      <alignment horizontal="right" vertical="top"/>
    </xf>
    <xf numFmtId="0" fontId="28" fillId="0" borderId="0" xfId="0" applyFont="1" applyBorder="1" applyAlignment="1">
      <alignment vertical="top" wrapText="1"/>
    </xf>
    <xf numFmtId="0" fontId="6" fillId="0" borderId="0" xfId="4" applyFont="1" applyFill="1">
      <alignment vertical="top"/>
    </xf>
    <xf numFmtId="164" fontId="0" fillId="0" borderId="0" xfId="0" applyNumberFormat="1" applyBorder="1">
      <alignment vertical="top"/>
    </xf>
    <xf numFmtId="49" fontId="22" fillId="0" borderId="2" xfId="61" applyBorder="1" applyAlignment="1">
      <alignment vertical="top"/>
    </xf>
    <xf numFmtId="49" fontId="32" fillId="0" borderId="2" xfId="61" applyFont="1" applyBorder="1" applyAlignment="1">
      <alignment vertical="top"/>
    </xf>
    <xf numFmtId="0" fontId="6" fillId="0" borderId="2" xfId="4" applyFont="1" applyBorder="1">
      <alignment vertical="top"/>
    </xf>
    <xf numFmtId="0" fontId="5" fillId="0" borderId="2" xfId="4" applyBorder="1" applyAlignment="1">
      <alignment vertical="top" wrapText="1"/>
    </xf>
    <xf numFmtId="49" fontId="22" fillId="0" borderId="2" xfId="61" applyBorder="1" applyAlignment="1">
      <alignment vertical="top" wrapText="1"/>
    </xf>
    <xf numFmtId="0" fontId="5" fillId="0" borderId="2" xfId="4" applyBorder="1" applyAlignment="1">
      <alignment vertical="top"/>
    </xf>
    <xf numFmtId="0" fontId="0" fillId="0" borderId="2" xfId="0" applyBorder="1">
      <alignment vertical="top"/>
    </xf>
    <xf numFmtId="171" fontId="5" fillId="10" borderId="0" xfId="10" applyNumberFormat="1">
      <alignment vertical="top"/>
    </xf>
    <xf numFmtId="171" fontId="5" fillId="47" borderId="0" xfId="65" applyNumberFormat="1" applyFill="1">
      <alignment vertical="top"/>
    </xf>
    <xf numFmtId="10" fontId="5" fillId="47" borderId="0" xfId="11" applyNumberFormat="1">
      <alignment vertical="top"/>
    </xf>
    <xf numFmtId="0" fontId="0" fillId="0" borderId="0" xfId="0">
      <alignment vertical="top"/>
    </xf>
    <xf numFmtId="0" fontId="5" fillId="0" borderId="0" xfId="4" applyFont="1">
      <alignment vertical="top"/>
    </xf>
    <xf numFmtId="0" fontId="5" fillId="0" borderId="0" xfId="4">
      <alignment vertical="top"/>
    </xf>
    <xf numFmtId="0" fontId="5" fillId="0" borderId="0" xfId="4" applyFont="1">
      <alignment vertical="top"/>
    </xf>
    <xf numFmtId="41" fontId="5" fillId="47" borderId="0" xfId="11">
      <alignment vertical="top"/>
    </xf>
    <xf numFmtId="164" fontId="5" fillId="12" borderId="0" xfId="9" applyNumberFormat="1">
      <alignment vertical="top"/>
    </xf>
    <xf numFmtId="164" fontId="5" fillId="47" borderId="0" xfId="11" applyNumberFormat="1">
      <alignment vertical="top"/>
    </xf>
    <xf numFmtId="164" fontId="5" fillId="45" borderId="0" xfId="62" applyNumberFormat="1">
      <alignment vertical="top"/>
    </xf>
    <xf numFmtId="164" fontId="5" fillId="0" borderId="0" xfId="4" applyNumberFormat="1" applyFont="1">
      <alignment vertical="top"/>
    </xf>
    <xf numFmtId="43" fontId="5" fillId="47" borderId="0" xfId="63" applyFill="1">
      <alignment vertical="top"/>
    </xf>
    <xf numFmtId="49" fontId="5" fillId="0" borderId="0" xfId="14" applyFont="1">
      <alignment vertical="top"/>
    </xf>
    <xf numFmtId="171" fontId="5" fillId="10" borderId="0" xfId="65" applyNumberFormat="1" applyFill="1">
      <alignment vertical="top"/>
    </xf>
    <xf numFmtId="14" fontId="5" fillId="14" borderId="0" xfId="13" applyNumberFormat="1">
      <alignment vertical="top"/>
    </xf>
    <xf numFmtId="41" fontId="5" fillId="0" borderId="0" xfId="4" applyNumberFormat="1">
      <alignment vertical="top"/>
    </xf>
    <xf numFmtId="41" fontId="6" fillId="8" borderId="0" xfId="12" applyFont="1">
      <alignment vertical="top"/>
    </xf>
    <xf numFmtId="49" fontId="6" fillId="0" borderId="0" xfId="14" applyFont="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7">
    <cellStyle name="_kop1 Bladtitel" xfId="5"/>
    <cellStyle name="_kop2 Bloktitel" xfId="6"/>
    <cellStyle name="_kop2 Bloktitel 2" xfId="6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Dataverzoek" xfId="64"/>
    <cellStyle name="Cel Input" xfId="11"/>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5" builtinId="5"/>
    <cellStyle name="Standaard" xfId="0" builtinId="0" customBuiltin="1"/>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33CC"/>
      <color rgb="FFCCFFFF"/>
      <color rgb="FFFFFFCC"/>
      <color rgb="FFE1FFE1"/>
      <color rgb="FF99FF99"/>
      <color rgb="FFCCC8D9"/>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sites/default/files/documents/2020-01/beschikking-distributietarieven-drinkwater-2020-bonaire-web.pdf" TargetMode="External"/><Relationship Id="rId2" Type="http://schemas.openxmlformats.org/officeDocument/2006/relationships/hyperlink" Target="https://opendata.cbs.nl/" TargetMode="External"/><Relationship Id="rId1" Type="http://schemas.openxmlformats.org/officeDocument/2006/relationships/hyperlink" Target="https://www.acm.nl/sites/default/files/documents/2019-09/besluit-wacc-caribisch-nederland-2020-2025.pdf" TargetMode="External"/><Relationship Id="rId6" Type="http://schemas.openxmlformats.org/officeDocument/2006/relationships/printerSettings" Target="../printerSettings/printerSettings3.bin"/><Relationship Id="rId5" Type="http://schemas.openxmlformats.org/officeDocument/2006/relationships/hyperlink" Target="https://www.acm.nl/sites/default/files/documents/2020-06/cn-web-variabel-gebruikstarief-per-1-juli-2020.pdf" TargetMode="External"/><Relationship Id="rId4" Type="http://schemas.openxmlformats.org/officeDocument/2006/relationships/hyperlink" Target="https://www.acm.nl/nl/publicaties/beschikking-distributietarieven-elektriciteit-2020-bonaire-web-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44"/>
  <sheetViews>
    <sheetView showGridLines="0" tabSelected="1" zoomScale="85" zoomScaleNormal="85" workbookViewId="0">
      <pane ySplit="3" topLeftCell="A4" activePane="bottomLeft" state="frozen"/>
      <selection activeCell="O39" sqref="O39"/>
      <selection pane="bottomLeft" activeCell="B42" sqref="B42"/>
    </sheetView>
  </sheetViews>
  <sheetFormatPr defaultRowHeight="12.75" x14ac:dyDescent="0.2"/>
  <cols>
    <col min="1" max="1" width="4.7109375" style="2" customWidth="1"/>
    <col min="2" max="2" width="39.85546875" style="2" customWidth="1"/>
    <col min="3" max="3" width="79.5703125" style="2" customWidth="1"/>
    <col min="4" max="4" width="23.42578125" style="2" customWidth="1"/>
    <col min="5" max="16384" width="9.140625" style="2"/>
  </cols>
  <sheetData>
    <row r="2" spans="2:3" s="8" customFormat="1" ht="18" x14ac:dyDescent="0.2">
      <c r="B2" s="8" t="s">
        <v>0</v>
      </c>
    </row>
    <row r="6" spans="2:3" x14ac:dyDescent="0.2">
      <c r="B6" s="3"/>
    </row>
    <row r="13" spans="2:3" s="9" customFormat="1" x14ac:dyDescent="0.2">
      <c r="B13" s="9" t="s">
        <v>1</v>
      </c>
    </row>
    <row r="14" spans="2:3" s="10" customFormat="1" x14ac:dyDescent="0.2"/>
    <row r="15" spans="2:3" x14ac:dyDescent="0.2">
      <c r="B15" s="11" t="s">
        <v>2</v>
      </c>
      <c r="C15" s="7" t="s">
        <v>547</v>
      </c>
    </row>
    <row r="16" spans="2:3" x14ac:dyDescent="0.2">
      <c r="B16" s="11" t="s">
        <v>3</v>
      </c>
      <c r="C16" s="12" t="s">
        <v>258</v>
      </c>
    </row>
    <row r="17" spans="2:4" ht="25.5" x14ac:dyDescent="0.2">
      <c r="B17" s="11" t="s">
        <v>4</v>
      </c>
      <c r="C17" s="12" t="s">
        <v>259</v>
      </c>
    </row>
    <row r="18" spans="2:4" x14ac:dyDescent="0.2">
      <c r="B18" s="11" t="s">
        <v>5</v>
      </c>
      <c r="C18" s="12" t="s">
        <v>549</v>
      </c>
    </row>
    <row r="19" spans="2:4" ht="25.5" x14ac:dyDescent="0.2">
      <c r="B19" s="11" t="s">
        <v>6</v>
      </c>
      <c r="C19" s="12" t="s">
        <v>548</v>
      </c>
    </row>
    <row r="20" spans="2:4" x14ac:dyDescent="0.2">
      <c r="B20" s="11" t="s">
        <v>7</v>
      </c>
      <c r="C20" s="12"/>
    </row>
    <row r="22" spans="2:4" x14ac:dyDescent="0.2">
      <c r="B22" s="1" t="s">
        <v>260</v>
      </c>
    </row>
    <row r="24" spans="2:4" x14ac:dyDescent="0.2">
      <c r="B24" s="181" t="s">
        <v>249</v>
      </c>
      <c r="C24" s="181" t="s">
        <v>250</v>
      </c>
      <c r="D24" s="191"/>
    </row>
    <row r="25" spans="2:4" x14ac:dyDescent="0.2">
      <c r="B25" s="7" t="s">
        <v>251</v>
      </c>
      <c r="C25" s="29" t="s">
        <v>550</v>
      </c>
      <c r="D25" s="191"/>
    </row>
    <row r="26" spans="2:4" x14ac:dyDescent="0.2">
      <c r="B26" s="7" t="s">
        <v>189</v>
      </c>
      <c r="C26" s="29" t="s">
        <v>551</v>
      </c>
      <c r="D26" s="191"/>
    </row>
    <row r="27" spans="2:4" x14ac:dyDescent="0.2">
      <c r="B27" s="7" t="s">
        <v>252</v>
      </c>
      <c r="C27" s="29" t="s">
        <v>552</v>
      </c>
      <c r="D27" s="191"/>
    </row>
    <row r="28" spans="2:4" x14ac:dyDescent="0.2">
      <c r="B28" s="7" t="s">
        <v>253</v>
      </c>
      <c r="C28" s="29" t="s">
        <v>553</v>
      </c>
      <c r="D28" s="191"/>
    </row>
    <row r="29" spans="2:4" x14ac:dyDescent="0.2">
      <c r="C29" s="191"/>
      <c r="D29" s="191"/>
    </row>
    <row r="31" spans="2:4" s="9" customFormat="1" x14ac:dyDescent="0.2">
      <c r="B31" s="9" t="s">
        <v>8</v>
      </c>
    </row>
    <row r="33" spans="2:4" x14ac:dyDescent="0.2">
      <c r="B33" s="11" t="s">
        <v>9</v>
      </c>
      <c r="C33" s="12" t="s">
        <v>554</v>
      </c>
    </row>
    <row r="34" spans="2:4" x14ac:dyDescent="0.2">
      <c r="B34" s="43" t="s">
        <v>61</v>
      </c>
      <c r="C34" s="12" t="s">
        <v>554</v>
      </c>
    </row>
    <row r="35" spans="2:4" ht="25.5" x14ac:dyDescent="0.2">
      <c r="B35" s="11" t="s">
        <v>10</v>
      </c>
      <c r="C35" s="12" t="s">
        <v>554</v>
      </c>
    </row>
    <row r="36" spans="2:4" ht="38.25" x14ac:dyDescent="0.2">
      <c r="B36" s="34" t="s">
        <v>59</v>
      </c>
      <c r="C36" s="43" t="s">
        <v>557</v>
      </c>
    </row>
    <row r="37" spans="2:4" x14ac:dyDescent="0.2">
      <c r="B37" s="11" t="s">
        <v>7</v>
      </c>
      <c r="C37" s="182"/>
    </row>
    <row r="39" spans="2:4" x14ac:dyDescent="0.2">
      <c r="B39" s="205" t="s">
        <v>60</v>
      </c>
      <c r="C39" s="206"/>
      <c r="D39" s="6"/>
    </row>
    <row r="40" spans="2:4" x14ac:dyDescent="0.2">
      <c r="B40" s="30"/>
      <c r="C40" s="30"/>
      <c r="D40" s="6"/>
    </row>
    <row r="41" spans="2:4" x14ac:dyDescent="0.2">
      <c r="B41" s="23"/>
    </row>
    <row r="44" spans="2:4" x14ac:dyDescent="0.2">
      <c r="B44" s="2" t="s">
        <v>72</v>
      </c>
    </row>
  </sheetData>
  <mergeCells count="1">
    <mergeCell ref="B39:C39"/>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70"/>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61.5703125" style="2" customWidth="1"/>
    <col min="3" max="3" width="22"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4.85546875" style="2" customWidth="1"/>
    <col min="17" max="17" width="6.85546875" style="2" customWidth="1"/>
    <col min="18" max="18" width="37.42578125" style="2" customWidth="1"/>
    <col min="19" max="19" width="9.5703125" style="2" customWidth="1"/>
    <col min="20"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20" s="22" customFormat="1" ht="18" x14ac:dyDescent="0.2">
      <c r="B2" s="22" t="s">
        <v>311</v>
      </c>
    </row>
    <row r="4" spans="2:20" s="27" customFormat="1" x14ac:dyDescent="0.2">
      <c r="B4" s="51" t="s">
        <v>25</v>
      </c>
      <c r="C4" s="1"/>
      <c r="D4" s="1"/>
      <c r="L4" s="52"/>
    </row>
    <row r="5" spans="2:20" s="27" customFormat="1" x14ac:dyDescent="0.2">
      <c r="B5" s="27" t="s">
        <v>464</v>
      </c>
      <c r="H5" s="23"/>
    </row>
    <row r="6" spans="2:20" s="27" customFormat="1" x14ac:dyDescent="0.2">
      <c r="H6" s="23"/>
    </row>
    <row r="7" spans="2:20" s="27" customFormat="1" x14ac:dyDescent="0.2"/>
    <row r="8" spans="2:20" s="53" customFormat="1" ht="26.25" customHeight="1" x14ac:dyDescent="0.2">
      <c r="B8" s="53" t="s">
        <v>41</v>
      </c>
      <c r="F8" s="53" t="s">
        <v>23</v>
      </c>
      <c r="H8" s="53" t="s">
        <v>24</v>
      </c>
      <c r="J8" s="53" t="s">
        <v>45</v>
      </c>
      <c r="L8" s="54" t="s">
        <v>74</v>
      </c>
      <c r="M8" s="54" t="s">
        <v>75</v>
      </c>
      <c r="N8" s="54" t="s">
        <v>76</v>
      </c>
      <c r="O8" s="54" t="s">
        <v>77</v>
      </c>
      <c r="P8" s="54" t="s">
        <v>78</v>
      </c>
      <c r="R8" s="53" t="s">
        <v>42</v>
      </c>
      <c r="T8" s="53" t="s">
        <v>43</v>
      </c>
    </row>
    <row r="11" spans="2:20" s="53" customFormat="1" x14ac:dyDescent="0.2">
      <c r="B11" s="53" t="s">
        <v>312</v>
      </c>
    </row>
    <row r="12" spans="2:20" s="27" customFormat="1" x14ac:dyDescent="0.2"/>
    <row r="13" spans="2:20" s="27" customFormat="1" x14ac:dyDescent="0.2">
      <c r="B13" s="51" t="s">
        <v>81</v>
      </c>
      <c r="M13" s="55"/>
    </row>
    <row r="14" spans="2:20" s="27" customFormat="1" x14ac:dyDescent="0.2">
      <c r="B14" s="77" t="s">
        <v>125</v>
      </c>
      <c r="F14" s="57" t="s">
        <v>83</v>
      </c>
      <c r="L14" s="40">
        <v>3613493.4200000018</v>
      </c>
      <c r="M14" s="55"/>
      <c r="R14" s="192" t="s">
        <v>438</v>
      </c>
    </row>
    <row r="15" spans="2:20" s="27" customFormat="1" x14ac:dyDescent="0.2">
      <c r="B15" s="27" t="s">
        <v>126</v>
      </c>
      <c r="F15" s="57" t="s">
        <v>83</v>
      </c>
      <c r="L15" s="40">
        <v>338640</v>
      </c>
      <c r="R15" s="192" t="s">
        <v>438</v>
      </c>
      <c r="T15" s="59"/>
    </row>
    <row r="16" spans="2:20" s="27" customFormat="1" x14ac:dyDescent="0.2">
      <c r="B16" s="27" t="s">
        <v>313</v>
      </c>
      <c r="F16" s="57" t="s">
        <v>83</v>
      </c>
      <c r="L16" s="40">
        <v>116661134</v>
      </c>
      <c r="M16" s="52"/>
      <c r="R16" s="2" t="s">
        <v>414</v>
      </c>
    </row>
    <row r="17" spans="2:20" s="27" customFormat="1" x14ac:dyDescent="0.2">
      <c r="F17" s="57"/>
      <c r="L17" s="65"/>
      <c r="M17" s="52"/>
    </row>
    <row r="18" spans="2:20" s="27" customFormat="1" x14ac:dyDescent="0.2">
      <c r="B18" s="51" t="s">
        <v>84</v>
      </c>
      <c r="F18" s="57"/>
      <c r="M18" s="52"/>
    </row>
    <row r="19" spans="2:20" s="27" customFormat="1" x14ac:dyDescent="0.2">
      <c r="B19" s="27" t="s">
        <v>124</v>
      </c>
      <c r="F19" s="57" t="s">
        <v>85</v>
      </c>
      <c r="H19" s="64"/>
      <c r="L19" s="96"/>
      <c r="N19" s="40">
        <v>325737</v>
      </c>
      <c r="R19" s="192" t="s">
        <v>439</v>
      </c>
      <c r="T19" s="59"/>
    </row>
    <row r="20" spans="2:20" s="27" customFormat="1" x14ac:dyDescent="0.2">
      <c r="B20" s="78" t="s">
        <v>153</v>
      </c>
      <c r="F20" s="57" t="s">
        <v>85</v>
      </c>
      <c r="N20" s="40">
        <v>1619354.5</v>
      </c>
      <c r="R20" s="192" t="s">
        <v>439</v>
      </c>
    </row>
    <row r="22" spans="2:20" s="27" customFormat="1" x14ac:dyDescent="0.2"/>
    <row r="23" spans="2:20" s="53" customFormat="1" x14ac:dyDescent="0.2">
      <c r="B23" s="53" t="s">
        <v>314</v>
      </c>
    </row>
    <row r="24" spans="2:20" s="27" customFormat="1" x14ac:dyDescent="0.2"/>
    <row r="25" spans="2:20" s="27" customFormat="1" x14ac:dyDescent="0.2">
      <c r="B25" s="1" t="s">
        <v>315</v>
      </c>
    </row>
    <row r="26" spans="2:20" s="27" customFormat="1" ht="25.5" x14ac:dyDescent="0.2">
      <c r="B26" s="72" t="s">
        <v>114</v>
      </c>
      <c r="C26" s="73" t="s">
        <v>95</v>
      </c>
    </row>
    <row r="27" spans="2:20" s="27" customFormat="1" x14ac:dyDescent="0.2">
      <c r="B27" s="27" t="s">
        <v>96</v>
      </c>
      <c r="C27" s="68">
        <v>3.1</v>
      </c>
      <c r="F27" s="27" t="s">
        <v>97</v>
      </c>
      <c r="L27" s="57"/>
      <c r="M27" s="69">
        <v>883.90590052299842</v>
      </c>
      <c r="R27" s="27" t="s">
        <v>416</v>
      </c>
    </row>
    <row r="28" spans="2:20" s="27" customFormat="1" x14ac:dyDescent="0.2">
      <c r="B28" s="27" t="s">
        <v>98</v>
      </c>
      <c r="C28" s="68">
        <v>4.4000000000000004</v>
      </c>
      <c r="F28" s="27" t="s">
        <v>97</v>
      </c>
      <c r="L28" s="57"/>
      <c r="M28" s="69">
        <v>1281.3920781853692</v>
      </c>
      <c r="T28" s="27" t="s">
        <v>117</v>
      </c>
    </row>
    <row r="29" spans="2:20" s="27" customFormat="1" x14ac:dyDescent="0.2">
      <c r="B29" s="27" t="s">
        <v>99</v>
      </c>
      <c r="C29" s="68">
        <v>4.4000000000000004</v>
      </c>
      <c r="F29" s="27" t="s">
        <v>97</v>
      </c>
      <c r="L29" s="57"/>
      <c r="M29" s="69">
        <v>4730.2118560346353</v>
      </c>
      <c r="T29" s="27" t="s">
        <v>117</v>
      </c>
    </row>
    <row r="30" spans="2:20" s="27" customFormat="1" x14ac:dyDescent="0.2">
      <c r="B30" s="27" t="s">
        <v>100</v>
      </c>
      <c r="C30" s="68">
        <v>11.4</v>
      </c>
      <c r="F30" s="27" t="s">
        <v>97</v>
      </c>
      <c r="L30" s="57"/>
      <c r="M30" s="69">
        <v>811.67114922283747</v>
      </c>
    </row>
    <row r="31" spans="2:20" s="27" customFormat="1" x14ac:dyDescent="0.2">
      <c r="B31" s="27" t="s">
        <v>101</v>
      </c>
      <c r="C31" s="68">
        <v>19.2</v>
      </c>
      <c r="F31" s="27" t="s">
        <v>97</v>
      </c>
      <c r="L31" s="57"/>
      <c r="M31" s="69">
        <v>373.42743975978874</v>
      </c>
    </row>
    <row r="32" spans="2:20" s="27" customFormat="1" x14ac:dyDescent="0.2">
      <c r="B32" s="27" t="s">
        <v>102</v>
      </c>
      <c r="C32" s="68">
        <v>30.4</v>
      </c>
      <c r="F32" s="27" t="s">
        <v>97</v>
      </c>
      <c r="L32" s="57"/>
      <c r="M32" s="69">
        <v>178.32676441992524</v>
      </c>
    </row>
    <row r="33" spans="2:20" s="27" customFormat="1" x14ac:dyDescent="0.2">
      <c r="B33" s="27" t="s">
        <v>103</v>
      </c>
      <c r="C33" s="68">
        <v>38.1</v>
      </c>
      <c r="F33" s="27" t="s">
        <v>97</v>
      </c>
      <c r="L33" s="57"/>
      <c r="M33" s="69">
        <v>81.207876342582708</v>
      </c>
    </row>
    <row r="34" spans="2:20" s="27" customFormat="1" x14ac:dyDescent="0.2">
      <c r="B34" s="27" t="s">
        <v>104</v>
      </c>
      <c r="C34" s="68">
        <v>47.6</v>
      </c>
      <c r="F34" s="27" t="s">
        <v>97</v>
      </c>
      <c r="L34" s="57"/>
      <c r="M34" s="69">
        <v>32.449461452640598</v>
      </c>
    </row>
    <row r="35" spans="2:20" s="27" customFormat="1" x14ac:dyDescent="0.2">
      <c r="B35" s="27" t="s">
        <v>105</v>
      </c>
      <c r="C35" s="68">
        <v>60.9</v>
      </c>
      <c r="F35" s="27" t="s">
        <v>97</v>
      </c>
      <c r="L35" s="57"/>
      <c r="M35" s="69">
        <v>11.685731141520028</v>
      </c>
    </row>
    <row r="36" spans="2:20" s="27" customFormat="1" x14ac:dyDescent="0.2">
      <c r="B36" s="27" t="s">
        <v>106</v>
      </c>
      <c r="C36" s="68">
        <v>76.099999999999994</v>
      </c>
      <c r="F36" s="27" t="s">
        <v>97</v>
      </c>
      <c r="L36" s="57"/>
      <c r="M36" s="69">
        <v>3.9766295060072832</v>
      </c>
    </row>
    <row r="37" spans="2:20" s="27" customFormat="1" x14ac:dyDescent="0.2">
      <c r="B37" s="27" t="s">
        <v>107</v>
      </c>
      <c r="C37" s="68">
        <v>1</v>
      </c>
      <c r="F37" s="192" t="s">
        <v>97</v>
      </c>
      <c r="M37" s="69">
        <v>26731.518885405985</v>
      </c>
      <c r="T37" s="27" t="s">
        <v>415</v>
      </c>
    </row>
    <row r="38" spans="2:20" s="27" customFormat="1" x14ac:dyDescent="0.2"/>
    <row r="39" spans="2:20" s="27" customFormat="1" x14ac:dyDescent="0.2"/>
    <row r="40" spans="2:20" s="27" customFormat="1" x14ac:dyDescent="0.2">
      <c r="B40" s="1" t="s">
        <v>127</v>
      </c>
    </row>
    <row r="41" spans="2:20" s="27" customFormat="1" x14ac:dyDescent="0.2">
      <c r="B41" s="27" t="s">
        <v>116</v>
      </c>
      <c r="C41" s="68">
        <v>4.4000000000000004</v>
      </c>
      <c r="F41" s="27" t="s">
        <v>97</v>
      </c>
      <c r="M41" s="69">
        <v>2367.9166666666665</v>
      </c>
      <c r="R41" s="192" t="s">
        <v>442</v>
      </c>
    </row>
    <row r="42" spans="2:20" s="27" customFormat="1" x14ac:dyDescent="0.2">
      <c r="B42" s="27" t="s">
        <v>92</v>
      </c>
      <c r="F42" s="27" t="s">
        <v>93</v>
      </c>
      <c r="M42" s="67">
        <f>2500/12</f>
        <v>208.33333333333334</v>
      </c>
    </row>
    <row r="43" spans="2:20" s="27" customFormat="1" x14ac:dyDescent="0.2"/>
    <row r="44" spans="2:20" s="27" customFormat="1" x14ac:dyDescent="0.2">
      <c r="B44" s="27" t="s">
        <v>316</v>
      </c>
      <c r="F44" s="27" t="s">
        <v>71</v>
      </c>
      <c r="M44" s="188">
        <v>9.3295691356145738E-2</v>
      </c>
      <c r="R44" s="192" t="s">
        <v>443</v>
      </c>
    </row>
    <row r="45" spans="2:20" s="27" customFormat="1" x14ac:dyDescent="0.2"/>
    <row r="46" spans="2:20" s="27" customFormat="1" x14ac:dyDescent="0.2"/>
    <row r="47" spans="2:20" s="27" customFormat="1" x14ac:dyDescent="0.2">
      <c r="B47" s="1" t="s">
        <v>317</v>
      </c>
    </row>
    <row r="48" spans="2:20" s="27" customFormat="1" ht="25.5" x14ac:dyDescent="0.2">
      <c r="B48" s="72" t="s">
        <v>114</v>
      </c>
      <c r="C48" s="73" t="s">
        <v>115</v>
      </c>
    </row>
    <row r="49" spans="2:18" s="27" customFormat="1" x14ac:dyDescent="0.2">
      <c r="B49" s="57" t="s">
        <v>108</v>
      </c>
      <c r="C49" s="71">
        <v>0.25</v>
      </c>
      <c r="F49" s="27" t="s">
        <v>97</v>
      </c>
      <c r="O49" s="69">
        <v>9939.316810425762</v>
      </c>
      <c r="R49" s="192" t="s">
        <v>441</v>
      </c>
    </row>
    <row r="50" spans="2:18" s="27" customFormat="1" x14ac:dyDescent="0.2">
      <c r="B50" s="57" t="s">
        <v>109</v>
      </c>
      <c r="C50" s="108">
        <f>0.75^2</f>
        <v>0.5625</v>
      </c>
      <c r="F50" s="27" t="s">
        <v>97</v>
      </c>
      <c r="O50" s="69">
        <v>98.036007477366084</v>
      </c>
    </row>
    <row r="51" spans="2:18" s="27" customFormat="1" x14ac:dyDescent="0.2">
      <c r="B51" s="57" t="s">
        <v>110</v>
      </c>
      <c r="C51" s="71">
        <v>1</v>
      </c>
      <c r="F51" s="27" t="s">
        <v>97</v>
      </c>
      <c r="O51" s="69">
        <v>11.776036477216806</v>
      </c>
    </row>
    <row r="52" spans="2:18" s="27" customFormat="1" x14ac:dyDescent="0.2">
      <c r="B52" s="57" t="s">
        <v>111</v>
      </c>
      <c r="C52" s="71">
        <v>4</v>
      </c>
      <c r="F52" s="27" t="s">
        <v>97</v>
      </c>
      <c r="O52" s="69">
        <v>10.774458562470477</v>
      </c>
    </row>
    <row r="53" spans="2:18" s="27" customFormat="1" x14ac:dyDescent="0.2">
      <c r="B53" s="57" t="s">
        <v>112</v>
      </c>
      <c r="C53" s="71">
        <v>16</v>
      </c>
      <c r="F53" s="27" t="s">
        <v>97</v>
      </c>
      <c r="O53" s="69">
        <v>4.5534186017918765</v>
      </c>
    </row>
    <row r="54" spans="2:18" s="27" customFormat="1" x14ac:dyDescent="0.2">
      <c r="B54" s="27" t="s">
        <v>417</v>
      </c>
      <c r="F54" s="27" t="s">
        <v>97</v>
      </c>
      <c r="O54" s="60">
        <f>SUM(O49:O53)</f>
        <v>10064.456731544606</v>
      </c>
    </row>
    <row r="55" spans="2:18" s="27" customFormat="1" x14ac:dyDescent="0.2">
      <c r="C55" s="115"/>
    </row>
    <row r="56" spans="2:18" s="27" customFormat="1" x14ac:dyDescent="0.2">
      <c r="B56" s="27" t="s">
        <v>318</v>
      </c>
      <c r="F56" s="27" t="s">
        <v>85</v>
      </c>
      <c r="P56" s="40">
        <v>12289</v>
      </c>
      <c r="R56" s="192" t="s">
        <v>524</v>
      </c>
    </row>
    <row r="57" spans="2:18" s="27" customFormat="1" x14ac:dyDescent="0.2"/>
    <row r="58" spans="2:18" s="27" customFormat="1" x14ac:dyDescent="0.2">
      <c r="B58" s="27" t="s">
        <v>319</v>
      </c>
      <c r="F58" s="27" t="s">
        <v>71</v>
      </c>
      <c r="O58" s="188">
        <v>0.1287825974298388</v>
      </c>
      <c r="R58" s="192" t="s">
        <v>444</v>
      </c>
    </row>
    <row r="59" spans="2:18" s="27" customFormat="1" x14ac:dyDescent="0.2"/>
    <row r="60" spans="2:18" s="27" customFormat="1" x14ac:dyDescent="0.2"/>
    <row r="61" spans="2:18" s="53" customFormat="1" x14ac:dyDescent="0.2">
      <c r="B61" s="53" t="s">
        <v>320</v>
      </c>
    </row>
    <row r="63" spans="2:18" x14ac:dyDescent="0.2">
      <c r="B63" s="1" t="s">
        <v>321</v>
      </c>
    </row>
    <row r="64" spans="2:18" x14ac:dyDescent="0.2">
      <c r="B64" s="2" t="s">
        <v>120</v>
      </c>
      <c r="F64" s="2" t="s">
        <v>121</v>
      </c>
      <c r="L64" s="76" t="s">
        <v>83</v>
      </c>
      <c r="M64" s="76" t="s">
        <v>122</v>
      </c>
      <c r="N64" s="76" t="s">
        <v>85</v>
      </c>
      <c r="O64" s="76" t="s">
        <v>123</v>
      </c>
      <c r="P64" s="76" t="s">
        <v>85</v>
      </c>
    </row>
    <row r="65" spans="2:16" x14ac:dyDescent="0.2">
      <c r="B65" s="2" t="s">
        <v>128</v>
      </c>
      <c r="F65" s="2" t="s">
        <v>97</v>
      </c>
      <c r="L65" s="35">
        <f>L14+L15</f>
        <v>3952133.4200000018</v>
      </c>
      <c r="M65" s="35">
        <f>SUMPRODUCT(C27:C37,M27:M37)+C41*M41</f>
        <v>93838.406389546464</v>
      </c>
      <c r="N65" s="35">
        <f>N19</f>
        <v>325737</v>
      </c>
      <c r="O65" s="35">
        <f>SUMPRODUCT(C49:C53,O49:O53)</f>
        <v>2667.7030251682277</v>
      </c>
      <c r="P65" s="35">
        <f>P56</f>
        <v>12289</v>
      </c>
    </row>
    <row r="66" spans="2:16" x14ac:dyDescent="0.2">
      <c r="B66" s="2" t="s">
        <v>129</v>
      </c>
      <c r="F66" s="2" t="s">
        <v>97</v>
      </c>
      <c r="L66" s="35">
        <f>SUM(L14:L16)</f>
        <v>120613267.42</v>
      </c>
      <c r="N66" s="35">
        <f>SUM(N19:N20)</f>
        <v>1945091.5</v>
      </c>
    </row>
    <row r="70" spans="2:16" x14ac:dyDescent="0.2">
      <c r="B70" s="2" t="s">
        <v>72</v>
      </c>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106"/>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61.42578125" style="2" customWidth="1"/>
    <col min="3" max="3" width="22" style="2" customWidth="1"/>
    <col min="4" max="5" width="4.5703125" style="2" customWidth="1"/>
    <col min="6" max="6" width="21.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4.85546875" style="2" customWidth="1"/>
    <col min="17" max="17" width="12.5703125" style="2" customWidth="1"/>
    <col min="18" max="18" width="40.28515625" style="2" customWidth="1"/>
    <col min="19" max="19" width="6.7109375" style="2" customWidth="1"/>
    <col min="20"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20" s="22" customFormat="1" ht="18" x14ac:dyDescent="0.2">
      <c r="B2" s="22" t="s">
        <v>322</v>
      </c>
    </row>
    <row r="4" spans="2:20" s="27" customFormat="1" x14ac:dyDescent="0.2">
      <c r="B4" s="51" t="s">
        <v>25</v>
      </c>
      <c r="C4" s="1"/>
      <c r="D4" s="1"/>
      <c r="L4" s="52"/>
    </row>
    <row r="5" spans="2:20" s="27" customFormat="1" x14ac:dyDescent="0.2">
      <c r="B5" s="27" t="s">
        <v>323</v>
      </c>
      <c r="H5" s="23"/>
    </row>
    <row r="6" spans="2:20" s="27" customFormat="1" x14ac:dyDescent="0.2">
      <c r="B6" s="23"/>
      <c r="H6" s="23"/>
    </row>
    <row r="7" spans="2:20" s="191" customFormat="1" x14ac:dyDescent="0.2">
      <c r="B7" s="33" t="s">
        <v>26</v>
      </c>
      <c r="C7" s="192"/>
      <c r="D7" s="192"/>
      <c r="H7" s="23"/>
    </row>
    <row r="8" spans="2:20" s="191" customFormat="1" x14ac:dyDescent="0.2">
      <c r="B8" s="5" t="s">
        <v>525</v>
      </c>
      <c r="C8" s="192"/>
      <c r="D8" s="192"/>
    </row>
    <row r="9" spans="2:20" s="191" customFormat="1" x14ac:dyDescent="0.2">
      <c r="B9" s="5"/>
    </row>
    <row r="10" spans="2:20" s="27" customFormat="1" x14ac:dyDescent="0.2"/>
    <row r="11" spans="2:20" s="53" customFormat="1" ht="26.25" customHeight="1" x14ac:dyDescent="0.2">
      <c r="B11" s="53" t="s">
        <v>41</v>
      </c>
      <c r="F11" s="53" t="s">
        <v>23</v>
      </c>
      <c r="H11" s="53" t="s">
        <v>24</v>
      </c>
      <c r="J11" s="53" t="s">
        <v>45</v>
      </c>
      <c r="L11" s="54" t="s">
        <v>74</v>
      </c>
      <c r="M11" s="54" t="s">
        <v>75</v>
      </c>
      <c r="N11" s="54" t="s">
        <v>76</v>
      </c>
      <c r="O11" s="54" t="s">
        <v>77</v>
      </c>
      <c r="P11" s="54" t="s">
        <v>78</v>
      </c>
      <c r="R11" s="53" t="s">
        <v>42</v>
      </c>
      <c r="T11" s="53" t="s">
        <v>43</v>
      </c>
    </row>
    <row r="14" spans="2:20" s="53" customFormat="1" x14ac:dyDescent="0.2">
      <c r="B14" s="53" t="s">
        <v>324</v>
      </c>
    </row>
    <row r="15" spans="2:20" s="27" customFormat="1" x14ac:dyDescent="0.2"/>
    <row r="16" spans="2:20" s="27" customFormat="1" x14ac:dyDescent="0.2">
      <c r="B16" s="51" t="s">
        <v>81</v>
      </c>
      <c r="M16" s="55"/>
    </row>
    <row r="17" spans="2:20" s="27" customFormat="1" x14ac:dyDescent="0.2">
      <c r="B17" s="56" t="s">
        <v>82</v>
      </c>
      <c r="M17" s="55"/>
    </row>
    <row r="18" spans="2:20" s="27" customFormat="1" x14ac:dyDescent="0.2">
      <c r="B18" s="27" t="s">
        <v>325</v>
      </c>
      <c r="F18" s="57" t="s">
        <v>83</v>
      </c>
      <c r="L18" s="45">
        <f>'Gegevens volumes 2019'!L15</f>
        <v>338640</v>
      </c>
      <c r="R18" s="23"/>
      <c r="T18" s="2"/>
    </row>
    <row r="19" spans="2:20" s="27" customFormat="1" x14ac:dyDescent="0.2">
      <c r="F19" s="57"/>
      <c r="L19" s="61"/>
    </row>
    <row r="20" spans="2:20" s="27" customFormat="1" x14ac:dyDescent="0.2">
      <c r="B20" s="56" t="s">
        <v>206</v>
      </c>
      <c r="F20" s="57"/>
    </row>
    <row r="21" spans="2:20" s="27" customFormat="1" x14ac:dyDescent="0.2">
      <c r="B21" s="27" t="s">
        <v>326</v>
      </c>
      <c r="F21" s="62" t="s">
        <v>264</v>
      </c>
      <c r="K21" s="192"/>
      <c r="L21" s="81">
        <v>0.21390000000000001</v>
      </c>
      <c r="M21" s="63"/>
      <c r="R21" s="191" t="s">
        <v>526</v>
      </c>
      <c r="T21" s="23"/>
    </row>
    <row r="22" spans="2:20" s="27" customFormat="1" x14ac:dyDescent="0.2">
      <c r="B22" s="27" t="s">
        <v>205</v>
      </c>
      <c r="F22" s="57" t="s">
        <v>83</v>
      </c>
      <c r="K22" s="192"/>
      <c r="L22" s="40">
        <v>123551000</v>
      </c>
      <c r="M22" s="52"/>
      <c r="R22" s="191" t="s">
        <v>526</v>
      </c>
      <c r="T22" s="23"/>
    </row>
    <row r="23" spans="2:20" s="27" customFormat="1" x14ac:dyDescent="0.2">
      <c r="F23" s="57"/>
      <c r="L23" s="64"/>
      <c r="M23" s="52"/>
      <c r="T23" s="190"/>
    </row>
    <row r="24" spans="2:20" s="27" customFormat="1" x14ac:dyDescent="0.2">
      <c r="B24" s="27" t="s">
        <v>327</v>
      </c>
      <c r="F24" s="57" t="s">
        <v>71</v>
      </c>
      <c r="K24" s="192"/>
      <c r="L24" s="47">
        <v>0.46889999999999998</v>
      </c>
      <c r="M24" s="52"/>
      <c r="R24" s="191" t="s">
        <v>463</v>
      </c>
      <c r="T24" s="189" t="s">
        <v>445</v>
      </c>
    </row>
    <row r="25" spans="2:20" s="27" customFormat="1" x14ac:dyDescent="0.2">
      <c r="F25" s="57"/>
      <c r="L25" s="65"/>
      <c r="M25" s="52"/>
      <c r="T25" s="190"/>
    </row>
    <row r="26" spans="2:20" s="27" customFormat="1" x14ac:dyDescent="0.2">
      <c r="B26" s="51" t="s">
        <v>84</v>
      </c>
      <c r="F26" s="57"/>
      <c r="M26" s="52"/>
      <c r="T26" s="190"/>
    </row>
    <row r="27" spans="2:20" s="27" customFormat="1" x14ac:dyDescent="0.2">
      <c r="B27" s="56" t="s">
        <v>82</v>
      </c>
      <c r="H27" s="66"/>
      <c r="T27" s="190"/>
    </row>
    <row r="28" spans="2:20" s="27" customFormat="1" x14ac:dyDescent="0.2">
      <c r="B28" s="27" t="s">
        <v>485</v>
      </c>
      <c r="F28" s="57" t="s">
        <v>85</v>
      </c>
      <c r="H28" s="64"/>
      <c r="N28" s="40">
        <v>398575</v>
      </c>
      <c r="R28" s="133" t="s">
        <v>484</v>
      </c>
      <c r="T28" s="114"/>
    </row>
    <row r="29" spans="2:20" s="192" customFormat="1" x14ac:dyDescent="0.2">
      <c r="B29" s="192" t="s">
        <v>486</v>
      </c>
      <c r="F29" s="57" t="s">
        <v>85</v>
      </c>
      <c r="H29" s="64"/>
      <c r="N29" s="193">
        <v>830291</v>
      </c>
      <c r="R29" s="133" t="s">
        <v>484</v>
      </c>
      <c r="T29" s="114"/>
    </row>
    <row r="30" spans="2:20" s="192" customFormat="1" x14ac:dyDescent="0.2">
      <c r="F30" s="57"/>
      <c r="H30" s="64"/>
      <c r="R30" s="191"/>
      <c r="T30" s="114"/>
    </row>
    <row r="31" spans="2:20" s="192" customFormat="1" x14ac:dyDescent="0.2">
      <c r="B31" s="56" t="s">
        <v>491</v>
      </c>
      <c r="F31" s="57"/>
      <c r="H31" s="64"/>
      <c r="R31" s="191"/>
      <c r="T31" s="114"/>
    </row>
    <row r="32" spans="2:20" s="192" customFormat="1" x14ac:dyDescent="0.2">
      <c r="B32" s="192" t="s">
        <v>487</v>
      </c>
      <c r="F32" s="62" t="s">
        <v>269</v>
      </c>
      <c r="H32" s="64"/>
      <c r="N32" s="203" t="s">
        <v>555</v>
      </c>
      <c r="R32" s="133" t="s">
        <v>493</v>
      </c>
      <c r="T32" s="114"/>
    </row>
    <row r="33" spans="2:20" s="192" customFormat="1" x14ac:dyDescent="0.2">
      <c r="B33" s="192" t="s">
        <v>488</v>
      </c>
      <c r="F33" s="62" t="s">
        <v>492</v>
      </c>
      <c r="H33" s="64"/>
      <c r="N33" s="203" t="s">
        <v>555</v>
      </c>
      <c r="R33" s="133" t="s">
        <v>493</v>
      </c>
      <c r="T33" s="114"/>
    </row>
    <row r="34" spans="2:20" s="192" customFormat="1" x14ac:dyDescent="0.2">
      <c r="B34" s="192" t="s">
        <v>489</v>
      </c>
      <c r="F34" s="62" t="s">
        <v>490</v>
      </c>
      <c r="H34" s="64"/>
      <c r="N34" s="203" t="s">
        <v>555</v>
      </c>
      <c r="R34" s="133" t="s">
        <v>493</v>
      </c>
      <c r="T34" s="114"/>
    </row>
    <row r="35" spans="2:20" s="192" customFormat="1" x14ac:dyDescent="0.2">
      <c r="B35" s="192" t="s">
        <v>494</v>
      </c>
      <c r="F35" s="62" t="s">
        <v>269</v>
      </c>
      <c r="H35" s="64"/>
      <c r="N35" s="203" t="s">
        <v>555</v>
      </c>
      <c r="R35" s="133" t="s">
        <v>493</v>
      </c>
      <c r="T35" s="114"/>
    </row>
    <row r="36" spans="2:20" s="192" customFormat="1" x14ac:dyDescent="0.2">
      <c r="F36" s="57"/>
      <c r="H36" s="64"/>
      <c r="R36" s="191"/>
      <c r="T36" s="114"/>
    </row>
    <row r="37" spans="2:20" s="192" customFormat="1" x14ac:dyDescent="0.2">
      <c r="B37" s="56" t="s">
        <v>90</v>
      </c>
      <c r="C37" s="27"/>
      <c r="D37" s="27"/>
      <c r="E37" s="27"/>
      <c r="F37" s="57"/>
      <c r="G37" s="27"/>
      <c r="H37" s="27"/>
      <c r="I37" s="27"/>
      <c r="J37" s="27"/>
      <c r="K37" s="27"/>
      <c r="L37" s="27"/>
      <c r="M37" s="27"/>
      <c r="N37" s="27"/>
      <c r="R37" s="191"/>
      <c r="T37" s="114"/>
    </row>
    <row r="38" spans="2:20" s="192" customFormat="1" x14ac:dyDescent="0.2">
      <c r="B38" s="77" t="s">
        <v>478</v>
      </c>
      <c r="F38" s="62" t="s">
        <v>97</v>
      </c>
      <c r="N38" s="193">
        <v>765000</v>
      </c>
      <c r="R38" s="133" t="s">
        <v>484</v>
      </c>
      <c r="T38" s="114"/>
    </row>
    <row r="39" spans="2:20" s="192" customFormat="1" x14ac:dyDescent="0.2">
      <c r="B39" s="77" t="s">
        <v>479</v>
      </c>
      <c r="F39" s="62" t="s">
        <v>97</v>
      </c>
      <c r="N39" s="193">
        <v>60642</v>
      </c>
      <c r="R39" s="133" t="s">
        <v>484</v>
      </c>
      <c r="T39" s="114"/>
    </row>
    <row r="40" spans="2:20" s="192" customFormat="1" x14ac:dyDescent="0.2">
      <c r="B40" s="77" t="s">
        <v>497</v>
      </c>
      <c r="F40" s="62" t="s">
        <v>269</v>
      </c>
      <c r="N40" s="193">
        <v>1346400</v>
      </c>
      <c r="R40" s="133" t="s">
        <v>498</v>
      </c>
      <c r="T40" s="191" t="s">
        <v>499</v>
      </c>
    </row>
    <row r="41" spans="2:20" s="192" customFormat="1" x14ac:dyDescent="0.2">
      <c r="B41" s="77" t="s">
        <v>480</v>
      </c>
      <c r="F41" s="62" t="s">
        <v>271</v>
      </c>
      <c r="N41" s="83">
        <v>0.65</v>
      </c>
      <c r="R41" s="133" t="s">
        <v>484</v>
      </c>
      <c r="T41" s="114"/>
    </row>
    <row r="42" spans="2:20" s="192" customFormat="1" x14ac:dyDescent="0.2">
      <c r="B42" s="77" t="s">
        <v>481</v>
      </c>
      <c r="F42" s="62" t="s">
        <v>269</v>
      </c>
      <c r="N42" s="193">
        <v>150000</v>
      </c>
      <c r="R42" s="133" t="s">
        <v>484</v>
      </c>
      <c r="T42" s="114"/>
    </row>
    <row r="43" spans="2:20" s="192" customFormat="1" x14ac:dyDescent="0.2">
      <c r="F43" s="57"/>
      <c r="H43" s="64"/>
      <c r="R43" s="191"/>
      <c r="T43" s="114"/>
    </row>
    <row r="44" spans="2:20" s="192" customFormat="1" x14ac:dyDescent="0.2">
      <c r="B44" s="56" t="s">
        <v>495</v>
      </c>
      <c r="F44" s="57"/>
      <c r="H44" s="64"/>
      <c r="R44" s="191"/>
      <c r="T44" s="114"/>
    </row>
    <row r="45" spans="2:20" s="27" customFormat="1" x14ac:dyDescent="0.2">
      <c r="B45" s="27" t="s">
        <v>86</v>
      </c>
      <c r="F45" s="57" t="s">
        <v>87</v>
      </c>
      <c r="H45" s="64"/>
      <c r="N45" s="82">
        <v>3.7890000000000001</v>
      </c>
      <c r="R45" s="133" t="s">
        <v>484</v>
      </c>
      <c r="T45" s="189"/>
    </row>
    <row r="46" spans="2:20" s="27" customFormat="1" x14ac:dyDescent="0.2">
      <c r="B46" s="27" t="s">
        <v>88</v>
      </c>
      <c r="F46" s="57" t="s">
        <v>89</v>
      </c>
      <c r="N46" s="58">
        <v>1967</v>
      </c>
      <c r="R46" s="191" t="s">
        <v>463</v>
      </c>
      <c r="T46" s="190"/>
    </row>
    <row r="47" spans="2:20" s="192" customFormat="1" x14ac:dyDescent="0.2">
      <c r="B47" s="192" t="s">
        <v>514</v>
      </c>
      <c r="F47" s="62" t="s">
        <v>363</v>
      </c>
      <c r="N47" s="58">
        <v>0</v>
      </c>
      <c r="R47" s="191"/>
      <c r="T47" s="192" t="s">
        <v>515</v>
      </c>
    </row>
    <row r="48" spans="2:20" s="27" customFormat="1" x14ac:dyDescent="0.2">
      <c r="T48" s="190"/>
    </row>
    <row r="49" spans="2:20" s="27" customFormat="1" x14ac:dyDescent="0.2">
      <c r="B49" s="27" t="s">
        <v>496</v>
      </c>
      <c r="N49" s="46">
        <f>N28+N29+N38+N39</f>
        <v>2054508</v>
      </c>
      <c r="T49" s="190"/>
    </row>
    <row r="50" spans="2:20" s="192" customFormat="1" x14ac:dyDescent="0.2">
      <c r="R50" s="133"/>
    </row>
    <row r="51" spans="2:20" s="192" customFormat="1" x14ac:dyDescent="0.2">
      <c r="B51" s="27" t="s">
        <v>327</v>
      </c>
      <c r="C51" s="27"/>
      <c r="D51" s="27"/>
      <c r="E51" s="27"/>
      <c r="F51" s="57" t="s">
        <v>71</v>
      </c>
      <c r="G51" s="27"/>
      <c r="H51" s="27"/>
      <c r="I51" s="27"/>
      <c r="J51" s="27"/>
      <c r="K51" s="27"/>
      <c r="L51" s="27"/>
      <c r="M51" s="27"/>
      <c r="N51" s="47">
        <v>0.50360000000000005</v>
      </c>
      <c r="R51" s="191" t="s">
        <v>463</v>
      </c>
      <c r="T51" s="189" t="s">
        <v>445</v>
      </c>
    </row>
    <row r="52" spans="2:20" s="192" customFormat="1" x14ac:dyDescent="0.2">
      <c r="R52" s="133"/>
    </row>
    <row r="53" spans="2:20" s="27" customFormat="1" x14ac:dyDescent="0.2"/>
    <row r="54" spans="2:20" s="53" customFormat="1" x14ac:dyDescent="0.2">
      <c r="B54" s="53" t="s">
        <v>91</v>
      </c>
    </row>
    <row r="55" spans="2:20" s="27" customFormat="1" x14ac:dyDescent="0.2"/>
    <row r="56" spans="2:20" s="27" customFormat="1" x14ac:dyDescent="0.2">
      <c r="B56" s="27" t="s">
        <v>328</v>
      </c>
      <c r="F56" s="27" t="s">
        <v>71</v>
      </c>
      <c r="M56" s="75">
        <f>'Gegevens volumes 2019'!M44</f>
        <v>9.3295691356145738E-2</v>
      </c>
      <c r="O56" s="75">
        <f>'Gegevens volumes 2019'!O58</f>
        <v>0.1287825974298388</v>
      </c>
    </row>
    <row r="57" spans="2:20" s="27" customFormat="1" x14ac:dyDescent="0.2">
      <c r="B57" s="27" t="s">
        <v>329</v>
      </c>
      <c r="F57" s="27" t="s">
        <v>85</v>
      </c>
      <c r="P57" s="45">
        <f>'Gegevens volumes 2019'!P56</f>
        <v>12289</v>
      </c>
    </row>
    <row r="58" spans="2:20" s="27" customFormat="1" x14ac:dyDescent="0.2">
      <c r="B58" s="27" t="s">
        <v>330</v>
      </c>
      <c r="F58" s="27" t="s">
        <v>93</v>
      </c>
      <c r="M58" s="45">
        <f>'Gegevens volumes 2019'!M42</f>
        <v>208.33333333333334</v>
      </c>
    </row>
    <row r="59" spans="2:20" s="27" customFormat="1" x14ac:dyDescent="0.2"/>
    <row r="60" spans="2:20" s="27" customFormat="1" x14ac:dyDescent="0.2">
      <c r="B60" s="1" t="s">
        <v>176</v>
      </c>
    </row>
    <row r="61" spans="2:20" s="27" customFormat="1" x14ac:dyDescent="0.2">
      <c r="B61" s="27" t="s">
        <v>177</v>
      </c>
      <c r="F61" s="27" t="s">
        <v>118</v>
      </c>
      <c r="M61" s="198">
        <v>40</v>
      </c>
      <c r="O61" s="198">
        <v>40</v>
      </c>
      <c r="R61" s="191" t="s">
        <v>446</v>
      </c>
      <c r="T61" s="190"/>
    </row>
    <row r="62" spans="2:20" s="27" customFormat="1" x14ac:dyDescent="0.2">
      <c r="B62" s="27" t="s">
        <v>331</v>
      </c>
      <c r="F62" s="27" t="s">
        <v>118</v>
      </c>
      <c r="M62" s="198">
        <v>1589.87</v>
      </c>
      <c r="O62" s="198">
        <v>1082.44</v>
      </c>
      <c r="R62" s="191" t="s">
        <v>446</v>
      </c>
      <c r="T62" s="190"/>
    </row>
    <row r="63" spans="2:20" s="27" customFormat="1" x14ac:dyDescent="0.2"/>
    <row r="64" spans="2:20" s="27" customFormat="1" x14ac:dyDescent="0.2"/>
    <row r="65" spans="2:20" s="53" customFormat="1" x14ac:dyDescent="0.2">
      <c r="B65" s="53" t="s">
        <v>94</v>
      </c>
    </row>
    <row r="66" spans="2:20" s="27" customFormat="1" x14ac:dyDescent="0.2"/>
    <row r="67" spans="2:20" s="27" customFormat="1" x14ac:dyDescent="0.2">
      <c r="B67" s="1" t="s">
        <v>332</v>
      </c>
    </row>
    <row r="68" spans="2:20" s="27" customFormat="1" x14ac:dyDescent="0.2"/>
    <row r="69" spans="2:20" s="27" customFormat="1" ht="25.5" x14ac:dyDescent="0.2">
      <c r="B69" s="72" t="s">
        <v>114</v>
      </c>
      <c r="C69" s="73" t="s">
        <v>95</v>
      </c>
      <c r="R69" s="23"/>
    </row>
    <row r="70" spans="2:20" s="27" customFormat="1" x14ac:dyDescent="0.2">
      <c r="B70" s="27" t="s">
        <v>96</v>
      </c>
      <c r="C70" s="68">
        <v>3.1</v>
      </c>
      <c r="F70" s="27" t="s">
        <v>97</v>
      </c>
      <c r="L70" s="57"/>
      <c r="M70" s="69">
        <v>863</v>
      </c>
      <c r="N70" s="197"/>
      <c r="R70" s="191" t="s">
        <v>463</v>
      </c>
    </row>
    <row r="71" spans="2:20" s="27" customFormat="1" x14ac:dyDescent="0.2">
      <c r="B71" s="27" t="s">
        <v>98</v>
      </c>
      <c r="C71" s="68">
        <v>4.4000000000000004</v>
      </c>
      <c r="F71" s="27" t="s">
        <v>97</v>
      </c>
      <c r="L71" s="57"/>
      <c r="M71" s="69">
        <v>1266</v>
      </c>
      <c r="N71" s="197"/>
      <c r="T71" s="27" t="s">
        <v>132</v>
      </c>
    </row>
    <row r="72" spans="2:20" s="27" customFormat="1" x14ac:dyDescent="0.2">
      <c r="B72" s="27" t="s">
        <v>99</v>
      </c>
      <c r="C72" s="68">
        <v>4.4000000000000004</v>
      </c>
      <c r="F72" s="27" t="s">
        <v>97</v>
      </c>
      <c r="L72" s="57"/>
      <c r="M72" s="69">
        <v>8149</v>
      </c>
      <c r="N72" s="197"/>
      <c r="T72" s="27" t="s">
        <v>132</v>
      </c>
    </row>
    <row r="73" spans="2:20" s="27" customFormat="1" x14ac:dyDescent="0.2">
      <c r="B73" s="27" t="s">
        <v>100</v>
      </c>
      <c r="C73" s="68">
        <v>11.4</v>
      </c>
      <c r="F73" s="27" t="s">
        <v>97</v>
      </c>
      <c r="L73" s="57"/>
      <c r="M73" s="69">
        <v>806</v>
      </c>
      <c r="N73" s="197"/>
    </row>
    <row r="74" spans="2:20" s="27" customFormat="1" x14ac:dyDescent="0.2">
      <c r="B74" s="27" t="s">
        <v>101</v>
      </c>
      <c r="C74" s="68">
        <v>19.2</v>
      </c>
      <c r="F74" s="27" t="s">
        <v>97</v>
      </c>
      <c r="L74" s="57"/>
      <c r="M74" s="69">
        <v>355</v>
      </c>
      <c r="N74" s="197"/>
    </row>
    <row r="75" spans="2:20" s="27" customFormat="1" x14ac:dyDescent="0.2">
      <c r="B75" s="27" t="s">
        <v>102</v>
      </c>
      <c r="C75" s="68">
        <v>30.4</v>
      </c>
      <c r="F75" s="27" t="s">
        <v>97</v>
      </c>
      <c r="L75" s="57"/>
      <c r="M75" s="69">
        <v>186</v>
      </c>
      <c r="N75" s="197"/>
    </row>
    <row r="76" spans="2:20" s="27" customFormat="1" x14ac:dyDescent="0.2">
      <c r="B76" s="27" t="s">
        <v>103</v>
      </c>
      <c r="C76" s="68">
        <v>38.1</v>
      </c>
      <c r="F76" s="27" t="s">
        <v>97</v>
      </c>
      <c r="L76" s="57"/>
      <c r="M76" s="69">
        <v>83</v>
      </c>
      <c r="N76" s="197"/>
    </row>
    <row r="77" spans="2:20" s="27" customFormat="1" x14ac:dyDescent="0.2">
      <c r="B77" s="27" t="s">
        <v>104</v>
      </c>
      <c r="C77" s="68">
        <v>47.6</v>
      </c>
      <c r="F77" s="27" t="s">
        <v>97</v>
      </c>
      <c r="L77" s="57"/>
      <c r="M77" s="69">
        <v>36</v>
      </c>
      <c r="N77" s="197"/>
    </row>
    <row r="78" spans="2:20" s="192" customFormat="1" x14ac:dyDescent="0.2">
      <c r="B78" s="192" t="s">
        <v>529</v>
      </c>
      <c r="C78" s="68">
        <v>52.5</v>
      </c>
      <c r="F78" s="192" t="s">
        <v>97</v>
      </c>
      <c r="L78" s="57"/>
      <c r="M78" s="195">
        <v>2</v>
      </c>
      <c r="N78" s="197"/>
      <c r="R78" s="192" t="s">
        <v>531</v>
      </c>
    </row>
    <row r="79" spans="2:20" s="27" customFormat="1" x14ac:dyDescent="0.2">
      <c r="B79" s="27" t="s">
        <v>105</v>
      </c>
      <c r="C79" s="68">
        <v>60.9</v>
      </c>
      <c r="F79" s="27" t="s">
        <v>97</v>
      </c>
      <c r="L79" s="57"/>
      <c r="M79" s="69">
        <v>8</v>
      </c>
      <c r="N79" s="197"/>
    </row>
    <row r="80" spans="2:20" s="192" customFormat="1" x14ac:dyDescent="0.2">
      <c r="B80" s="192" t="s">
        <v>530</v>
      </c>
      <c r="C80" s="68">
        <v>65.7</v>
      </c>
      <c r="F80" s="192" t="s">
        <v>97</v>
      </c>
      <c r="L80" s="57"/>
      <c r="M80" s="195">
        <v>4</v>
      </c>
      <c r="N80" s="197"/>
      <c r="R80" s="192" t="s">
        <v>531</v>
      </c>
    </row>
    <row r="81" spans="2:20" s="27" customFormat="1" x14ac:dyDescent="0.2">
      <c r="B81" s="27" t="s">
        <v>106</v>
      </c>
      <c r="C81" s="68">
        <v>76.099999999999994</v>
      </c>
      <c r="F81" s="27" t="s">
        <v>97</v>
      </c>
      <c r="L81" s="57"/>
      <c r="M81" s="69">
        <v>4</v>
      </c>
      <c r="N81" s="197"/>
    </row>
    <row r="82" spans="2:20" s="27" customFormat="1" x14ac:dyDescent="0.2">
      <c r="B82" s="27" t="s">
        <v>107</v>
      </c>
      <c r="C82" s="68">
        <v>1</v>
      </c>
      <c r="M82" s="38">
        <v>26951.87</v>
      </c>
      <c r="N82" s="197"/>
      <c r="T82" s="192" t="s">
        <v>415</v>
      </c>
    </row>
    <row r="83" spans="2:20" s="27" customFormat="1" x14ac:dyDescent="0.2">
      <c r="F83" s="27" t="s">
        <v>97</v>
      </c>
      <c r="M83" s="96"/>
      <c r="N83" s="197"/>
    </row>
    <row r="84" spans="2:20" s="27" customFormat="1" x14ac:dyDescent="0.2">
      <c r="B84" s="27" t="s">
        <v>163</v>
      </c>
      <c r="C84" s="68">
        <v>4.4000000000000004</v>
      </c>
      <c r="F84" s="27" t="s">
        <v>97</v>
      </c>
      <c r="M84" s="195">
        <v>2367.9166666666665</v>
      </c>
      <c r="N84" s="197"/>
      <c r="R84" s="70"/>
    </row>
    <row r="85" spans="2:20" s="27" customFormat="1" x14ac:dyDescent="0.2"/>
    <row r="86" spans="2:20" s="27" customFormat="1" x14ac:dyDescent="0.2"/>
    <row r="87" spans="2:20" s="27" customFormat="1" ht="25.5" x14ac:dyDescent="0.2">
      <c r="B87" s="72" t="s">
        <v>114</v>
      </c>
      <c r="C87" s="73" t="s">
        <v>115</v>
      </c>
    </row>
    <row r="88" spans="2:20" s="27" customFormat="1" x14ac:dyDescent="0.2">
      <c r="B88" s="57" t="s">
        <v>108</v>
      </c>
      <c r="C88" s="105">
        <f>'Gegevens volumes 2019'!C49</f>
        <v>0.25</v>
      </c>
      <c r="F88" s="27" t="s">
        <v>97</v>
      </c>
      <c r="O88" s="69">
        <v>10939</v>
      </c>
      <c r="R88" s="191" t="s">
        <v>463</v>
      </c>
    </row>
    <row r="89" spans="2:20" s="27" customFormat="1" x14ac:dyDescent="0.2">
      <c r="B89" s="57" t="s">
        <v>109</v>
      </c>
      <c r="C89" s="105">
        <f>'Gegevens volumes 2019'!C50</f>
        <v>0.5625</v>
      </c>
      <c r="F89" s="27" t="s">
        <v>97</v>
      </c>
      <c r="O89" s="69">
        <v>98</v>
      </c>
    </row>
    <row r="90" spans="2:20" s="27" customFormat="1" x14ac:dyDescent="0.2">
      <c r="B90" s="57" t="s">
        <v>110</v>
      </c>
      <c r="C90" s="105">
        <f>'Gegevens volumes 2019'!C51</f>
        <v>1</v>
      </c>
      <c r="F90" s="27" t="s">
        <v>97</v>
      </c>
      <c r="O90" s="69">
        <v>12</v>
      </c>
    </row>
    <row r="91" spans="2:20" s="27" customFormat="1" x14ac:dyDescent="0.2">
      <c r="B91" s="57" t="s">
        <v>111</v>
      </c>
      <c r="C91" s="105">
        <f>'Gegevens volumes 2019'!C52</f>
        <v>4</v>
      </c>
      <c r="F91" s="27" t="s">
        <v>97</v>
      </c>
      <c r="O91" s="69">
        <v>11</v>
      </c>
    </row>
    <row r="92" spans="2:20" s="27" customFormat="1" x14ac:dyDescent="0.2">
      <c r="B92" s="57" t="s">
        <v>112</v>
      </c>
      <c r="C92" s="105">
        <f>'Gegevens volumes 2019'!C53</f>
        <v>16</v>
      </c>
      <c r="F92" s="27" t="s">
        <v>97</v>
      </c>
      <c r="O92" s="69">
        <v>5</v>
      </c>
    </row>
    <row r="93" spans="2:20" s="27" customFormat="1" x14ac:dyDescent="0.2">
      <c r="B93" s="27" t="s">
        <v>255</v>
      </c>
      <c r="F93" s="27" t="s">
        <v>97</v>
      </c>
      <c r="O93" s="60">
        <f>SUM(O88:O92)</f>
        <v>11065</v>
      </c>
    </row>
    <row r="94" spans="2:20" s="27" customFormat="1" x14ac:dyDescent="0.2"/>
    <row r="95" spans="2:20" s="27" customFormat="1" x14ac:dyDescent="0.2"/>
    <row r="96" spans="2:20" s="53" customFormat="1" x14ac:dyDescent="0.2">
      <c r="B96" s="53" t="s">
        <v>333</v>
      </c>
    </row>
    <row r="98" spans="2:16" x14ac:dyDescent="0.2">
      <c r="B98" s="1" t="s">
        <v>534</v>
      </c>
    </row>
    <row r="99" spans="2:16" x14ac:dyDescent="0.2">
      <c r="B99" s="2" t="s">
        <v>120</v>
      </c>
      <c r="F99" s="2" t="s">
        <v>121</v>
      </c>
      <c r="L99" s="76" t="s">
        <v>83</v>
      </c>
      <c r="M99" s="76" t="s">
        <v>122</v>
      </c>
      <c r="N99" s="76" t="s">
        <v>85</v>
      </c>
      <c r="O99" s="76" t="s">
        <v>123</v>
      </c>
      <c r="P99" s="76" t="s">
        <v>85</v>
      </c>
    </row>
    <row r="100" spans="2:16" x14ac:dyDescent="0.2">
      <c r="B100" s="2" t="s">
        <v>535</v>
      </c>
      <c r="F100" s="2" t="s">
        <v>97</v>
      </c>
      <c r="L100" s="35">
        <f>L18</f>
        <v>338640</v>
      </c>
      <c r="M100" s="35">
        <f>SUMPRODUCT(C70:C82,M70:M82)</f>
        <v>98747.27</v>
      </c>
      <c r="N100" s="35">
        <f>N28+N29</f>
        <v>1228866</v>
      </c>
      <c r="O100" s="35">
        <f>SUMPRODUCT(C88:C92,O88:O92)</f>
        <v>2925.875</v>
      </c>
      <c r="P100" s="35">
        <f>P57</f>
        <v>12289</v>
      </c>
    </row>
    <row r="101" spans="2:16" x14ac:dyDescent="0.2">
      <c r="B101" s="2" t="s">
        <v>536</v>
      </c>
      <c r="F101" s="2" t="s">
        <v>97</v>
      </c>
      <c r="L101" s="35">
        <f>L18+L22</f>
        <v>123889640</v>
      </c>
      <c r="N101" s="35">
        <f>N49</f>
        <v>2054508</v>
      </c>
    </row>
    <row r="106" spans="2:16" x14ac:dyDescent="0.2">
      <c r="B106" s="2" t="s">
        <v>72</v>
      </c>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T91"/>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74.42578125" style="2" customWidth="1"/>
    <col min="3" max="3" width="4.7109375" style="2" customWidth="1"/>
    <col min="4" max="5" width="4.5703125" style="2" customWidth="1"/>
    <col min="6" max="6" width="18.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42578125" style="2" customWidth="1"/>
    <col min="17" max="17" width="2.7109375" style="2" customWidth="1"/>
    <col min="18" max="18" width="56.8554687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334</v>
      </c>
    </row>
    <row r="4" spans="2:20" x14ac:dyDescent="0.2">
      <c r="B4" s="32" t="s">
        <v>25</v>
      </c>
      <c r="C4" s="1"/>
      <c r="D4" s="1"/>
      <c r="L4" s="70"/>
    </row>
    <row r="5" spans="2:20" x14ac:dyDescent="0.2">
      <c r="B5" s="27" t="s">
        <v>335</v>
      </c>
      <c r="C5" s="3"/>
      <c r="D5" s="3"/>
      <c r="H5" s="23"/>
    </row>
    <row r="6" spans="2:20" x14ac:dyDescent="0.2">
      <c r="B6" s="2" t="s">
        <v>336</v>
      </c>
      <c r="C6" s="3"/>
      <c r="D6" s="3"/>
      <c r="H6" s="23"/>
    </row>
    <row r="7" spans="2:20" x14ac:dyDescent="0.2">
      <c r="B7" s="77" t="s">
        <v>207</v>
      </c>
      <c r="C7" s="3"/>
      <c r="D7" s="3"/>
      <c r="H7" s="23"/>
    </row>
    <row r="8" spans="2:20" x14ac:dyDescent="0.2">
      <c r="B8" s="2" t="s">
        <v>500</v>
      </c>
      <c r="C8" s="3"/>
      <c r="D8" s="3"/>
    </row>
    <row r="9" spans="2:20" x14ac:dyDescent="0.2">
      <c r="B9" s="114"/>
    </row>
    <row r="11" spans="2:20" s="9" customFormat="1" ht="25.5" x14ac:dyDescent="0.2">
      <c r="B11" s="9" t="s">
        <v>41</v>
      </c>
      <c r="F11" s="9" t="s">
        <v>23</v>
      </c>
      <c r="H11" s="9" t="s">
        <v>24</v>
      </c>
      <c r="J11" s="9" t="s">
        <v>45</v>
      </c>
      <c r="L11" s="49" t="s">
        <v>74</v>
      </c>
      <c r="M11" s="49" t="s">
        <v>75</v>
      </c>
      <c r="N11" s="49" t="s">
        <v>76</v>
      </c>
      <c r="O11" s="49" t="s">
        <v>77</v>
      </c>
      <c r="P11" s="49" t="s">
        <v>78</v>
      </c>
      <c r="R11" s="9" t="s">
        <v>42</v>
      </c>
      <c r="T11" s="9" t="s">
        <v>43</v>
      </c>
    </row>
    <row r="14" spans="2:20" s="9" customFormat="1" x14ac:dyDescent="0.2">
      <c r="B14" s="9" t="s">
        <v>157</v>
      </c>
    </row>
    <row r="16" spans="2:20" x14ac:dyDescent="0.2">
      <c r="B16" s="1" t="s">
        <v>154</v>
      </c>
    </row>
    <row r="17" spans="2:20" x14ac:dyDescent="0.2">
      <c r="B17" s="27" t="s">
        <v>337</v>
      </c>
      <c r="F17" s="2" t="s">
        <v>136</v>
      </c>
      <c r="J17" s="50">
        <f>SUM(L17:P17)</f>
        <v>140199.78552399453</v>
      </c>
      <c r="L17" s="40">
        <v>307206.47482387326</v>
      </c>
      <c r="M17" s="40">
        <v>76715.55348691158</v>
      </c>
      <c r="N17" s="40">
        <v>-249896.85717477836</v>
      </c>
      <c r="O17" s="40">
        <v>-299.68489462732396</v>
      </c>
      <c r="P17" s="40">
        <v>6474.2992826153531</v>
      </c>
      <c r="R17" s="191" t="s">
        <v>564</v>
      </c>
    </row>
    <row r="18" spans="2:20" x14ac:dyDescent="0.2">
      <c r="B18" s="2" t="s">
        <v>338</v>
      </c>
      <c r="F18" s="2" t="s">
        <v>136</v>
      </c>
      <c r="J18" s="50">
        <f>SUM(L18:P18)</f>
        <v>-226269.48178110932</v>
      </c>
      <c r="L18" s="80"/>
      <c r="M18" s="40">
        <v>-226269.48178110932</v>
      </c>
      <c r="N18" s="80"/>
      <c r="O18" s="80"/>
      <c r="P18" s="80"/>
      <c r="R18" s="191" t="s">
        <v>564</v>
      </c>
    </row>
    <row r="20" spans="2:20" x14ac:dyDescent="0.2">
      <c r="B20" s="1" t="s">
        <v>155</v>
      </c>
    </row>
    <row r="21" spans="2:20" s="191" customFormat="1" x14ac:dyDescent="0.2">
      <c r="B21" s="192" t="s">
        <v>418</v>
      </c>
      <c r="J21" s="194">
        <f>SUM(L21:P21)</f>
        <v>87417.352213653779</v>
      </c>
      <c r="L21" s="196"/>
      <c r="M21" s="193">
        <v>14618.057961057499</v>
      </c>
      <c r="N21" s="193">
        <v>55875.277066084403</v>
      </c>
      <c r="O21" s="193">
        <v>16919.657642744354</v>
      </c>
      <c r="P21" s="193">
        <v>4.3595437675315845</v>
      </c>
      <c r="R21" s="191" t="s">
        <v>564</v>
      </c>
      <c r="T21" s="191" t="s">
        <v>419</v>
      </c>
    </row>
    <row r="22" spans="2:20" x14ac:dyDescent="0.2">
      <c r="B22" s="27" t="s">
        <v>339</v>
      </c>
      <c r="F22" s="2" t="s">
        <v>136</v>
      </c>
      <c r="J22" s="50">
        <f>SUM(L22:P22)</f>
        <v>1008243.8964190402</v>
      </c>
      <c r="L22" s="40">
        <v>530437.92163147638</v>
      </c>
      <c r="M22" s="40">
        <v>38159.523612765595</v>
      </c>
      <c r="N22" s="40">
        <v>320463.87523023225</v>
      </c>
      <c r="O22" s="40">
        <v>141937.39473302383</v>
      </c>
      <c r="P22" s="40">
        <v>-22754.81878845788</v>
      </c>
      <c r="R22" s="191" t="s">
        <v>564</v>
      </c>
    </row>
    <row r="23" spans="2:20" x14ac:dyDescent="0.2">
      <c r="B23" s="27" t="s">
        <v>340</v>
      </c>
      <c r="F23" s="2" t="s">
        <v>136</v>
      </c>
      <c r="J23" s="50">
        <f>SUM(L23:P23)</f>
        <v>-342105.94663240714</v>
      </c>
      <c r="L23" s="74"/>
      <c r="M23" s="40">
        <v>-275059.85089068889</v>
      </c>
      <c r="N23" s="74"/>
      <c r="O23" s="40">
        <v>-67046.09574171828</v>
      </c>
      <c r="P23" s="74"/>
      <c r="R23" s="191" t="s">
        <v>564</v>
      </c>
    </row>
    <row r="25" spans="2:20" x14ac:dyDescent="0.2">
      <c r="B25" s="1" t="s">
        <v>156</v>
      </c>
    </row>
    <row r="26" spans="2:20" x14ac:dyDescent="0.2">
      <c r="B26" s="27" t="s">
        <v>501</v>
      </c>
      <c r="F26" s="2" t="s">
        <v>136</v>
      </c>
      <c r="H26" s="191"/>
      <c r="J26" s="50">
        <f>SUM(L26:P26)</f>
        <v>24296.899561444035</v>
      </c>
      <c r="L26" s="40">
        <v>24296.899561444035</v>
      </c>
      <c r="M26" s="74"/>
      <c r="R26" s="2" t="s">
        <v>565</v>
      </c>
    </row>
    <row r="27" spans="2:20" x14ac:dyDescent="0.2">
      <c r="B27" s="27" t="s">
        <v>287</v>
      </c>
      <c r="F27" s="2" t="s">
        <v>118</v>
      </c>
      <c r="H27" s="191"/>
      <c r="J27" s="50">
        <f>SUM(L27:P27)</f>
        <v>863022.85508593405</v>
      </c>
      <c r="L27" s="74"/>
      <c r="M27" s="40">
        <v>863022.85508593405</v>
      </c>
      <c r="R27" s="191" t="s">
        <v>565</v>
      </c>
    </row>
    <row r="30" spans="2:20" s="9" customFormat="1" x14ac:dyDescent="0.2">
      <c r="B30" s="9" t="s">
        <v>158</v>
      </c>
    </row>
    <row r="32" spans="2:20" x14ac:dyDescent="0.2">
      <c r="B32" s="1" t="s">
        <v>159</v>
      </c>
    </row>
    <row r="33" spans="2:20" x14ac:dyDescent="0.2">
      <c r="B33" s="2" t="s">
        <v>341</v>
      </c>
      <c r="F33" s="2" t="s">
        <v>143</v>
      </c>
      <c r="H33" s="191"/>
      <c r="N33" s="40">
        <v>2087597.5766049165</v>
      </c>
      <c r="R33" s="2" t="s">
        <v>457</v>
      </c>
    </row>
    <row r="34" spans="2:20" x14ac:dyDescent="0.2">
      <c r="B34" s="2" t="s">
        <v>342</v>
      </c>
      <c r="F34" s="2" t="s">
        <v>346</v>
      </c>
      <c r="H34" s="191"/>
      <c r="N34" s="81">
        <v>0.2225</v>
      </c>
      <c r="R34" s="133" t="s">
        <v>458</v>
      </c>
    </row>
    <row r="35" spans="2:20" x14ac:dyDescent="0.2">
      <c r="B35" s="2" t="s">
        <v>343</v>
      </c>
      <c r="F35" s="2" t="s">
        <v>346</v>
      </c>
      <c r="H35" s="191"/>
      <c r="N35" s="81">
        <v>0.22770000000000001</v>
      </c>
      <c r="R35" s="133" t="s">
        <v>461</v>
      </c>
    </row>
    <row r="36" spans="2:20" x14ac:dyDescent="0.2">
      <c r="B36" s="10" t="s">
        <v>144</v>
      </c>
      <c r="C36" s="10"/>
      <c r="D36" s="10"/>
      <c r="E36" s="10"/>
      <c r="F36" s="10" t="s">
        <v>145</v>
      </c>
      <c r="H36" s="191"/>
      <c r="N36" s="81">
        <v>4.1059999999999999</v>
      </c>
      <c r="R36" s="191" t="s">
        <v>459</v>
      </c>
    </row>
    <row r="37" spans="2:20" x14ac:dyDescent="0.2">
      <c r="B37" s="27" t="s">
        <v>113</v>
      </c>
      <c r="C37" s="10"/>
      <c r="D37" s="10"/>
      <c r="E37" s="10"/>
      <c r="F37" s="2" t="s">
        <v>71</v>
      </c>
      <c r="H37" s="191"/>
      <c r="N37" s="47">
        <v>0.50360000000000005</v>
      </c>
      <c r="R37" s="191" t="s">
        <v>463</v>
      </c>
    </row>
    <row r="38" spans="2:20" x14ac:dyDescent="0.2">
      <c r="H38" s="191"/>
    </row>
    <row r="39" spans="2:20" x14ac:dyDescent="0.2">
      <c r="B39" s="1" t="s">
        <v>160</v>
      </c>
    </row>
    <row r="40" spans="2:20" x14ac:dyDescent="0.2">
      <c r="B40" s="2" t="s">
        <v>344</v>
      </c>
      <c r="F40" s="2" t="s">
        <v>118</v>
      </c>
      <c r="N40" s="98">
        <f>N35-N34</f>
        <v>5.2000000000000102E-3</v>
      </c>
    </row>
    <row r="41" spans="2:20" x14ac:dyDescent="0.2">
      <c r="B41" s="2" t="s">
        <v>345</v>
      </c>
      <c r="F41" s="2" t="s">
        <v>83</v>
      </c>
      <c r="N41" s="46">
        <f>N33*(1-N37)*N36</f>
        <v>4254979.7924315501</v>
      </c>
    </row>
    <row r="42" spans="2:20" x14ac:dyDescent="0.2">
      <c r="B42" s="2" t="s">
        <v>158</v>
      </c>
      <c r="F42" s="2" t="s">
        <v>118</v>
      </c>
      <c r="N42" s="46">
        <f>N40*N41</f>
        <v>22125.894920644103</v>
      </c>
      <c r="T42" s="2" t="s">
        <v>503</v>
      </c>
    </row>
    <row r="45" spans="2:20" s="9" customFormat="1" x14ac:dyDescent="0.2">
      <c r="B45" s="9" t="s">
        <v>347</v>
      </c>
    </row>
    <row r="47" spans="2:20" x14ac:dyDescent="0.2">
      <c r="B47" s="2" t="s">
        <v>73</v>
      </c>
      <c r="F47" s="2" t="s">
        <v>71</v>
      </c>
      <c r="H47" s="75">
        <f>Parameters!H17</f>
        <v>1.2E-2</v>
      </c>
      <c r="J47" s="48"/>
    </row>
    <row r="48" spans="2:20" x14ac:dyDescent="0.2">
      <c r="B48" s="2" t="s">
        <v>276</v>
      </c>
      <c r="F48" s="2" t="s">
        <v>71</v>
      </c>
      <c r="H48" s="75">
        <f>Parameters!H18</f>
        <v>-4.8000000000000001E-2</v>
      </c>
      <c r="J48" s="48"/>
    </row>
    <row r="50" spans="2:20" x14ac:dyDescent="0.2">
      <c r="B50" s="1" t="s">
        <v>348</v>
      </c>
    </row>
    <row r="51" spans="2:20" x14ac:dyDescent="0.2">
      <c r="B51" s="27" t="s">
        <v>161</v>
      </c>
      <c r="F51" s="2" t="s">
        <v>269</v>
      </c>
      <c r="J51" s="50">
        <f>SUM(L51:P51)</f>
        <v>-240756.62972675366</v>
      </c>
      <c r="L51" s="97"/>
      <c r="M51" s="97"/>
      <c r="N51" s="46">
        <f>N17*(1+$H$47)*(1+$H$48)</f>
        <v>-240756.62972675366</v>
      </c>
      <c r="O51" s="97"/>
      <c r="P51" s="97"/>
      <c r="T51" s="2" t="s">
        <v>162</v>
      </c>
    </row>
    <row r="52" spans="2:20" x14ac:dyDescent="0.2">
      <c r="B52" s="27" t="s">
        <v>141</v>
      </c>
      <c r="F52" s="2" t="s">
        <v>269</v>
      </c>
      <c r="J52" s="50">
        <f>SUM(L52:P52)</f>
        <v>84214.136897286196</v>
      </c>
      <c r="L52" s="97"/>
      <c r="M52" s="38">
        <f>(L17+M18)*(1+$H$47)*(1+$H$48)</f>
        <v>77976.641585231788</v>
      </c>
      <c r="N52" s="97"/>
      <c r="O52" s="97"/>
      <c r="P52" s="46">
        <f>P17*(1+$H$47)*(1+$H$48)</f>
        <v>6237.4953120544142</v>
      </c>
    </row>
    <row r="53" spans="2:20" x14ac:dyDescent="0.2">
      <c r="B53" s="27" t="s">
        <v>142</v>
      </c>
      <c r="F53" s="2" t="s">
        <v>269</v>
      </c>
      <c r="J53" s="50">
        <f>SUM(L53:P53)</f>
        <v>73620.881782652854</v>
      </c>
      <c r="L53" s="97"/>
      <c r="M53" s="46">
        <f>M17*(1+$H$47)*(1+$H$48)</f>
        <v>73909.605402574292</v>
      </c>
      <c r="N53" s="97"/>
      <c r="O53" s="46">
        <f>O17*(1+$H$47)*(1+$H$48)</f>
        <v>-288.72361992143493</v>
      </c>
      <c r="P53" s="97"/>
    </row>
    <row r="55" spans="2:20" x14ac:dyDescent="0.2">
      <c r="B55" s="1" t="s">
        <v>349</v>
      </c>
    </row>
    <row r="56" spans="2:20" x14ac:dyDescent="0.2">
      <c r="B56" s="27" t="s">
        <v>161</v>
      </c>
      <c r="F56" s="2" t="s">
        <v>269</v>
      </c>
      <c r="J56" s="50">
        <f>SUM(L56:P56)</f>
        <v>362574.17146192654</v>
      </c>
      <c r="L56" s="97"/>
      <c r="M56" s="97"/>
      <c r="N56" s="46">
        <f>(N22+N21)*(1+$H$47)*(1+$H$48)</f>
        <v>362574.17146192654</v>
      </c>
      <c r="O56" s="97"/>
      <c r="P56" s="97"/>
      <c r="T56" s="2" t="s">
        <v>162</v>
      </c>
    </row>
    <row r="57" spans="2:20" x14ac:dyDescent="0.2">
      <c r="B57" s="27" t="s">
        <v>141</v>
      </c>
      <c r="F57" s="2" t="s">
        <v>269</v>
      </c>
      <c r="J57" s="50">
        <f>SUM(L57:P57)</f>
        <v>159525.20623414672</v>
      </c>
      <c r="L57" s="97"/>
      <c r="M57" s="38">
        <f>(L22+M23)*(1+$H$47)*(1+$H$48)</f>
        <v>246037.36242537244</v>
      </c>
      <c r="N57" s="97"/>
      <c r="O57" s="46">
        <f>O23*(1+$H$47)*(1+$H$48)</f>
        <v>-64593.817743869193</v>
      </c>
      <c r="P57" s="46">
        <f>(P22+P21)*(1+$H$47)*(1+$H$48)</f>
        <v>-21918.338447356553</v>
      </c>
    </row>
    <row r="58" spans="2:20" x14ac:dyDescent="0.2">
      <c r="B58" s="27" t="s">
        <v>142</v>
      </c>
      <c r="F58" s="2" t="s">
        <v>269</v>
      </c>
      <c r="J58" s="50">
        <f>SUM(L58:P58)</f>
        <v>203893.88557825104</v>
      </c>
      <c r="L58" s="97"/>
      <c r="M58" s="46">
        <f>(M22+M21)*(1+$H$47)*(1+$H$48)</f>
        <v>50847.188750178939</v>
      </c>
      <c r="N58" s="97"/>
      <c r="O58" s="46">
        <f>(O22+O21)*(1+$H$47)*(1+$H$48)</f>
        <v>153046.6968280721</v>
      </c>
      <c r="P58" s="97"/>
    </row>
    <row r="60" spans="2:20" x14ac:dyDescent="0.2">
      <c r="B60" s="1" t="s">
        <v>350</v>
      </c>
    </row>
    <row r="61" spans="2:20" x14ac:dyDescent="0.2">
      <c r="B61" s="27" t="s">
        <v>161</v>
      </c>
      <c r="F61" s="2" t="s">
        <v>269</v>
      </c>
      <c r="J61" s="50">
        <f>SUM(L61:P61)</f>
        <v>21063.851964453184</v>
      </c>
      <c r="L61" s="97"/>
      <c r="M61" s="97"/>
      <c r="N61" s="46">
        <f>N42*(1+$H$48)</f>
        <v>21063.851964453184</v>
      </c>
      <c r="O61" s="97"/>
      <c r="P61" s="97"/>
      <c r="T61" s="2" t="s">
        <v>162</v>
      </c>
    </row>
    <row r="62" spans="2:20" x14ac:dyDescent="0.2">
      <c r="B62" s="27" t="s">
        <v>351</v>
      </c>
      <c r="F62" s="2" t="s">
        <v>269</v>
      </c>
      <c r="J62" s="50">
        <f>SUM(L62:P62)</f>
        <v>23408.216163084657</v>
      </c>
      <c r="L62" s="97"/>
      <c r="M62" s="38">
        <f>L26*(1+$H$47)*(1+$H$48)</f>
        <v>23408.216163084657</v>
      </c>
      <c r="N62" s="97"/>
      <c r="O62" s="97"/>
      <c r="P62" s="97"/>
    </row>
    <row r="63" spans="2:20" x14ac:dyDescent="0.2">
      <c r="B63" s="27" t="s">
        <v>289</v>
      </c>
      <c r="F63" s="2" t="s">
        <v>269</v>
      </c>
      <c r="J63" s="50">
        <f>SUM(L63:P63)</f>
        <v>821597.7580418092</v>
      </c>
      <c r="L63" s="74"/>
      <c r="M63" s="46">
        <f>M27*(1+$H$48)</f>
        <v>821597.7580418092</v>
      </c>
      <c r="N63" s="74"/>
      <c r="O63" s="74"/>
      <c r="P63" s="74"/>
    </row>
    <row r="64" spans="2:20" x14ac:dyDescent="0.2">
      <c r="B64" s="27" t="s">
        <v>142</v>
      </c>
      <c r="F64" s="2" t="s">
        <v>269</v>
      </c>
      <c r="J64" s="50">
        <f>SUM(L64:P64)</f>
        <v>0</v>
      </c>
      <c r="L64" s="97"/>
      <c r="M64" s="97"/>
      <c r="N64" s="97"/>
      <c r="O64" s="97"/>
      <c r="P64" s="97"/>
    </row>
    <row r="65" spans="2:20" x14ac:dyDescent="0.2">
      <c r="B65" s="27"/>
    </row>
    <row r="66" spans="2:20" x14ac:dyDescent="0.2">
      <c r="B66" s="1" t="s">
        <v>352</v>
      </c>
    </row>
    <row r="67" spans="2:20" x14ac:dyDescent="0.2">
      <c r="B67" s="27" t="s">
        <v>140</v>
      </c>
      <c r="F67" s="2" t="s">
        <v>269</v>
      </c>
      <c r="J67" s="50">
        <f>SUM(L67:P67)</f>
        <v>142881.39369962606</v>
      </c>
      <c r="L67" s="74"/>
      <c r="M67" s="74"/>
      <c r="N67" s="35">
        <f>N51+N56+N61</f>
        <v>142881.39369962606</v>
      </c>
      <c r="O67" s="74"/>
      <c r="P67" s="74"/>
    </row>
    <row r="68" spans="2:20" x14ac:dyDescent="0.2">
      <c r="B68" s="27" t="s">
        <v>351</v>
      </c>
      <c r="F68" s="2" t="s">
        <v>269</v>
      </c>
      <c r="J68" s="50">
        <f>SUM(L68:P68)</f>
        <v>267147.55929451756</v>
      </c>
      <c r="L68" s="74"/>
      <c r="M68" s="35">
        <f>M52+M57+M62</f>
        <v>347422.2201736889</v>
      </c>
      <c r="N68" s="74"/>
      <c r="O68" s="35">
        <f>O52+O57+O62</f>
        <v>-64593.817743869193</v>
      </c>
      <c r="P68" s="35">
        <f>P52+P57+P62</f>
        <v>-15680.843135302139</v>
      </c>
      <c r="T68" s="2" t="s">
        <v>502</v>
      </c>
    </row>
    <row r="69" spans="2:20" x14ac:dyDescent="0.2">
      <c r="B69" s="27" t="s">
        <v>289</v>
      </c>
      <c r="F69" s="2" t="s">
        <v>269</v>
      </c>
      <c r="J69" s="50">
        <f>SUM(L69:P69)</f>
        <v>821597.7580418092</v>
      </c>
      <c r="L69" s="74"/>
      <c r="M69" s="35">
        <f>M63</f>
        <v>821597.7580418092</v>
      </c>
      <c r="N69" s="74"/>
      <c r="O69" s="74"/>
      <c r="P69" s="74"/>
    </row>
    <row r="70" spans="2:20" x14ac:dyDescent="0.2">
      <c r="B70" s="27" t="s">
        <v>142</v>
      </c>
      <c r="F70" s="2" t="s">
        <v>269</v>
      </c>
      <c r="J70" s="50">
        <f>SUM(L70:P70)</f>
        <v>277514.7673609039</v>
      </c>
      <c r="L70" s="74"/>
      <c r="M70" s="35">
        <f>M53+M58+M64</f>
        <v>124756.79415275322</v>
      </c>
      <c r="N70" s="74"/>
      <c r="O70" s="35">
        <f>O53+O58+O64</f>
        <v>152757.97320815068</v>
      </c>
      <c r="P70" s="74"/>
    </row>
    <row r="75" spans="2:20" x14ac:dyDescent="0.2">
      <c r="B75" s="2" t="s">
        <v>72</v>
      </c>
    </row>
    <row r="83" spans="12:16" x14ac:dyDescent="0.2">
      <c r="L83" s="202"/>
      <c r="M83" s="202"/>
      <c r="N83" s="202"/>
      <c r="O83" s="202"/>
      <c r="P83" s="202"/>
    </row>
    <row r="84" spans="12:16" x14ac:dyDescent="0.2">
      <c r="L84" s="202"/>
      <c r="M84" s="202"/>
      <c r="N84" s="202"/>
      <c r="O84" s="202"/>
      <c r="P84" s="202"/>
    </row>
    <row r="85" spans="12:16" x14ac:dyDescent="0.2">
      <c r="L85" s="202"/>
      <c r="M85" s="202"/>
      <c r="N85" s="202"/>
      <c r="O85" s="202"/>
      <c r="P85" s="202"/>
    </row>
    <row r="86" spans="12:16" x14ac:dyDescent="0.2">
      <c r="L86" s="202"/>
      <c r="M86" s="202"/>
      <c r="N86" s="202"/>
      <c r="O86" s="202"/>
      <c r="P86" s="202"/>
    </row>
    <row r="87" spans="12:16" x14ac:dyDescent="0.2">
      <c r="L87" s="202"/>
      <c r="M87" s="202"/>
      <c r="N87" s="202"/>
      <c r="O87" s="202"/>
      <c r="P87" s="202"/>
    </row>
    <row r="88" spans="12:16" x14ac:dyDescent="0.2">
      <c r="L88" s="202"/>
      <c r="M88" s="202"/>
      <c r="N88" s="202"/>
      <c r="O88" s="202"/>
      <c r="P88" s="202"/>
    </row>
    <row r="89" spans="12:16" x14ac:dyDescent="0.2">
      <c r="L89" s="202"/>
      <c r="M89" s="202"/>
      <c r="N89" s="202"/>
      <c r="O89" s="202"/>
      <c r="P89" s="202"/>
    </row>
    <row r="90" spans="12:16" x14ac:dyDescent="0.2">
      <c r="L90" s="202"/>
      <c r="M90" s="202"/>
      <c r="N90" s="202"/>
      <c r="O90" s="202"/>
      <c r="P90" s="202"/>
    </row>
    <row r="91" spans="12:16" x14ac:dyDescent="0.2">
      <c r="L91" s="202"/>
      <c r="M91" s="202"/>
      <c r="N91" s="202"/>
      <c r="O91" s="202"/>
      <c r="P91" s="202"/>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2:W92"/>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
  <cols>
    <col min="1" max="1" width="4.7109375" style="2" customWidth="1"/>
    <col min="2" max="2" width="68"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20" s="22" customFormat="1" ht="18" x14ac:dyDescent="0.2">
      <c r="B2" s="22" t="s">
        <v>353</v>
      </c>
    </row>
    <row r="4" spans="2:20" x14ac:dyDescent="0.2">
      <c r="B4" s="32" t="s">
        <v>119</v>
      </c>
      <c r="C4" s="1"/>
      <c r="D4" s="1"/>
    </row>
    <row r="5" spans="2:20" x14ac:dyDescent="0.2">
      <c r="B5" s="27" t="s">
        <v>537</v>
      </c>
      <c r="C5" s="27"/>
      <c r="D5" s="27"/>
      <c r="H5" s="23"/>
    </row>
    <row r="6" spans="2:20" x14ac:dyDescent="0.2">
      <c r="B6" s="27" t="s">
        <v>354</v>
      </c>
      <c r="C6" s="27"/>
      <c r="D6" s="27"/>
      <c r="H6" s="23"/>
    </row>
    <row r="7" spans="2:20" x14ac:dyDescent="0.2">
      <c r="B7" s="27" t="s">
        <v>355</v>
      </c>
      <c r="C7" s="27"/>
      <c r="D7" s="27"/>
      <c r="H7" s="23"/>
    </row>
    <row r="8" spans="2:20" x14ac:dyDescent="0.2">
      <c r="B8" s="27"/>
      <c r="C8" s="27"/>
      <c r="D8" s="27"/>
      <c r="H8" s="23"/>
    </row>
    <row r="9" spans="2:20" x14ac:dyDescent="0.2">
      <c r="B9" s="33" t="s">
        <v>26</v>
      </c>
      <c r="C9" s="27"/>
      <c r="D9" s="27"/>
      <c r="H9" s="23"/>
    </row>
    <row r="10" spans="2:20" x14ac:dyDescent="0.2">
      <c r="B10" s="5" t="s">
        <v>208</v>
      </c>
      <c r="C10" s="27"/>
      <c r="D10" s="27"/>
    </row>
    <row r="12" spans="2:20" s="9" customFormat="1" ht="25.5" customHeight="1" x14ac:dyDescent="0.2">
      <c r="B12" s="9" t="s">
        <v>41</v>
      </c>
      <c r="F12" s="9" t="s">
        <v>23</v>
      </c>
      <c r="H12" s="9" t="s">
        <v>24</v>
      </c>
      <c r="J12" s="9" t="s">
        <v>45</v>
      </c>
      <c r="L12" s="49" t="s">
        <v>74</v>
      </c>
      <c r="M12" s="49" t="s">
        <v>75</v>
      </c>
      <c r="N12" s="49" t="s">
        <v>76</v>
      </c>
      <c r="O12" s="49" t="s">
        <v>77</v>
      </c>
      <c r="P12" s="49" t="s">
        <v>78</v>
      </c>
      <c r="T12" s="9" t="s">
        <v>43</v>
      </c>
    </row>
    <row r="15" spans="2:20" s="9" customFormat="1" x14ac:dyDescent="0.2">
      <c r="B15" s="9" t="s">
        <v>44</v>
      </c>
    </row>
    <row r="17" spans="2:16" x14ac:dyDescent="0.2">
      <c r="B17" s="2" t="s">
        <v>275</v>
      </c>
      <c r="F17" s="2" t="s">
        <v>71</v>
      </c>
      <c r="H17" s="75">
        <f>Parameters!H23</f>
        <v>6.0100000000000001E-2</v>
      </c>
    </row>
    <row r="18" spans="2:16" x14ac:dyDescent="0.2">
      <c r="B18" s="2" t="s">
        <v>73</v>
      </c>
      <c r="F18" s="2" t="s">
        <v>71</v>
      </c>
      <c r="H18" s="75">
        <f>Parameters!H17</f>
        <v>1.2E-2</v>
      </c>
    </row>
    <row r="19" spans="2:16" x14ac:dyDescent="0.2">
      <c r="B19" s="2" t="s">
        <v>276</v>
      </c>
      <c r="F19" s="2" t="s">
        <v>71</v>
      </c>
      <c r="H19" s="75">
        <f>Parameters!H18</f>
        <v>-4.8000000000000001E-2</v>
      </c>
    </row>
    <row r="21" spans="2:16" x14ac:dyDescent="0.2">
      <c r="B21" s="32" t="s">
        <v>356</v>
      </c>
    </row>
    <row r="22" spans="2:16" x14ac:dyDescent="0.2">
      <c r="B22" s="2" t="s">
        <v>307</v>
      </c>
      <c r="F22" s="2" t="s">
        <v>136</v>
      </c>
      <c r="J22" s="50">
        <f>SUM(L22:P22)</f>
        <v>49947658.843265519</v>
      </c>
      <c r="L22" s="45">
        <f>'Gegevens kosten 2019'!L17</f>
        <v>529433.27152886253</v>
      </c>
      <c r="M22" s="45">
        <f>'Gegevens kosten 2019'!M17</f>
        <v>33198295.353286088</v>
      </c>
      <c r="N22" s="45">
        <f>'Gegevens kosten 2019'!N17</f>
        <v>3014164.722756159</v>
      </c>
      <c r="O22" s="45">
        <f>'Gegevens kosten 2019'!O17</f>
        <v>13170123.094164904</v>
      </c>
      <c r="P22" s="45">
        <f>'Gegevens kosten 2019'!P17</f>
        <v>35642.401529502626</v>
      </c>
    </row>
    <row r="23" spans="2:16" x14ac:dyDescent="0.2">
      <c r="B23" s="2" t="s">
        <v>308</v>
      </c>
      <c r="F23" s="2" t="s">
        <v>136</v>
      </c>
      <c r="J23" s="50">
        <f>SUM(L23:P23)</f>
        <v>4465335.2157920059</v>
      </c>
      <c r="L23" s="45">
        <f>'Gegevens kosten 2019'!L18</f>
        <v>60753.370030546095</v>
      </c>
      <c r="M23" s="45">
        <f>'Gegevens kosten 2019'!M18</f>
        <v>2430533.1263912036</v>
      </c>
      <c r="N23" s="45">
        <f>'Gegevens kosten 2019'!N18</f>
        <v>261019.84658276825</v>
      </c>
      <c r="O23" s="45">
        <f>'Gegevens kosten 2019'!O18</f>
        <v>1703007.8785878734</v>
      </c>
      <c r="P23" s="45">
        <f>'Gegevens kosten 2019'!P18</f>
        <v>10020.994199613922</v>
      </c>
    </row>
    <row r="24" spans="2:16" x14ac:dyDescent="0.2">
      <c r="B24" s="27" t="s">
        <v>357</v>
      </c>
      <c r="F24" s="2" t="s">
        <v>136</v>
      </c>
      <c r="J24" s="50">
        <f>SUM(L24:P24)</f>
        <v>12256254.79537636</v>
      </c>
      <c r="L24" s="45">
        <f>'Gegevens kosten 2019'!L21</f>
        <v>75047.108533129562</v>
      </c>
      <c r="M24" s="45">
        <f>'Gegevens kosten 2019'!M21</f>
        <v>6956459.6330684926</v>
      </c>
      <c r="N24" s="38">
        <f>'Gegevens kosten 2019'!N21-'Gegevens kosten 2019'!N22</f>
        <v>1797849.8131950879</v>
      </c>
      <c r="O24" s="45">
        <f>'Gegevens kosten 2019'!O21</f>
        <v>3344279.1720128148</v>
      </c>
      <c r="P24" s="45">
        <f>'Gegevens kosten 2019'!P21</f>
        <v>82619.068566835398</v>
      </c>
    </row>
    <row r="25" spans="2:16" x14ac:dyDescent="0.2">
      <c r="B25" s="27"/>
    </row>
    <row r="26" spans="2:16" x14ac:dyDescent="0.2">
      <c r="B26" s="1" t="s">
        <v>310</v>
      </c>
    </row>
    <row r="27" spans="2:16" x14ac:dyDescent="0.2">
      <c r="B27" s="2" t="s">
        <v>358</v>
      </c>
      <c r="F27" s="2" t="s">
        <v>71</v>
      </c>
      <c r="L27" s="84">
        <f>'Gegevens kosten 2019'!L28</f>
        <v>0</v>
      </c>
      <c r="M27" s="84">
        <f>'Gegevens kosten 2019'!M28</f>
        <v>0.5</v>
      </c>
      <c r="N27" s="84">
        <f>'Gegevens kosten 2019'!N28</f>
        <v>0</v>
      </c>
      <c r="O27" s="84">
        <f>'Gegevens kosten 2019'!O28</f>
        <v>0.5</v>
      </c>
      <c r="P27" s="84">
        <f>'Gegevens kosten 2019'!P28</f>
        <v>0.5</v>
      </c>
    </row>
    <row r="28" spans="2:16" x14ac:dyDescent="0.2">
      <c r="B28" s="2" t="s">
        <v>359</v>
      </c>
      <c r="F28" s="2" t="s">
        <v>71</v>
      </c>
      <c r="L28" s="84">
        <f>'Gegevens kosten 2019'!L29</f>
        <v>0</v>
      </c>
      <c r="M28" s="84">
        <f>'Gegevens kosten 2019'!M29</f>
        <v>0.5</v>
      </c>
      <c r="N28" s="84">
        <f>'Gegevens kosten 2019'!N29</f>
        <v>0</v>
      </c>
      <c r="O28" s="84">
        <f>'Gegevens kosten 2019'!O29</f>
        <v>0.5</v>
      </c>
      <c r="P28" s="84">
        <f>'Gegevens kosten 2019'!P29</f>
        <v>0.5</v>
      </c>
    </row>
    <row r="29" spans="2:16" x14ac:dyDescent="0.2">
      <c r="B29" s="2" t="s">
        <v>131</v>
      </c>
      <c r="F29" s="2" t="s">
        <v>71</v>
      </c>
      <c r="K29" s="191"/>
      <c r="L29" s="92">
        <f>'Gegevens kosten 2019'!L30</f>
        <v>0</v>
      </c>
      <c r="M29" s="92">
        <f>'Gegevens kosten 2019'!M30</f>
        <v>0.13500000000000001</v>
      </c>
      <c r="N29" s="92">
        <f>'Gegevens kosten 2019'!N30</f>
        <v>0.32600000000000001</v>
      </c>
      <c r="O29" s="92">
        <f>'Gegevens kosten 2019'!O30</f>
        <v>0.157</v>
      </c>
      <c r="P29" s="92">
        <f>'Gegevens kosten 2019'!P30</f>
        <v>0.157</v>
      </c>
    </row>
    <row r="31" spans="2:16" x14ac:dyDescent="0.2">
      <c r="B31" s="1" t="s">
        <v>360</v>
      </c>
    </row>
    <row r="32" spans="2:16" x14ac:dyDescent="0.2">
      <c r="B32" s="2" t="s">
        <v>120</v>
      </c>
      <c r="F32" s="2" t="s">
        <v>121</v>
      </c>
      <c r="L32" s="76" t="s">
        <v>83</v>
      </c>
      <c r="M32" s="76" t="s">
        <v>122</v>
      </c>
      <c r="N32" s="76" t="s">
        <v>85</v>
      </c>
      <c r="O32" s="76" t="s">
        <v>123</v>
      </c>
      <c r="P32" s="76" t="s">
        <v>85</v>
      </c>
    </row>
    <row r="33" spans="2:20" x14ac:dyDescent="0.2">
      <c r="B33" s="2" t="s">
        <v>361</v>
      </c>
      <c r="F33" s="2" t="s">
        <v>97</v>
      </c>
      <c r="L33" s="38">
        <f>'Gegevens raming 2021'!L18</f>
        <v>338640</v>
      </c>
      <c r="M33" s="45">
        <f>'Gegevens volumes 2019'!M65</f>
        <v>93838.406389546464</v>
      </c>
      <c r="N33" s="38">
        <f>'Gegevens volumes 2019'!N66</f>
        <v>1945091.5</v>
      </c>
      <c r="O33" s="45">
        <f>'Gegevens volumes 2019'!O65</f>
        <v>2667.7030251682277</v>
      </c>
      <c r="P33" s="45">
        <f>'Gegevens volumes 2019'!P65</f>
        <v>12289</v>
      </c>
    </row>
    <row r="34" spans="2:20" x14ac:dyDescent="0.2">
      <c r="B34" s="27"/>
    </row>
    <row r="35" spans="2:20" x14ac:dyDescent="0.2">
      <c r="B35" s="27"/>
    </row>
    <row r="36" spans="2:20" s="9" customFormat="1" x14ac:dyDescent="0.2">
      <c r="B36" s="9" t="s">
        <v>362</v>
      </c>
    </row>
    <row r="38" spans="2:20" s="191" customFormat="1" x14ac:dyDescent="0.2">
      <c r="B38" s="1" t="s">
        <v>505</v>
      </c>
      <c r="C38" s="2"/>
      <c r="D38" s="2"/>
      <c r="E38" s="2"/>
      <c r="F38" s="2"/>
      <c r="G38" s="2"/>
      <c r="H38" s="2"/>
      <c r="I38" s="2"/>
      <c r="J38" s="2"/>
      <c r="K38" s="2"/>
      <c r="L38" s="2"/>
      <c r="M38" s="2"/>
      <c r="N38" s="2"/>
    </row>
    <row r="39" spans="2:20" s="192" customFormat="1" x14ac:dyDescent="0.2">
      <c r="B39" s="77" t="s">
        <v>478</v>
      </c>
      <c r="F39" s="62" t="s">
        <v>97</v>
      </c>
      <c r="N39" s="45">
        <f>'Gegevens raming 2021'!N38</f>
        <v>765000</v>
      </c>
      <c r="R39" s="133"/>
      <c r="T39" s="114"/>
    </row>
    <row r="40" spans="2:20" s="192" customFormat="1" x14ac:dyDescent="0.2">
      <c r="B40" s="77" t="s">
        <v>479</v>
      </c>
      <c r="F40" s="62" t="s">
        <v>97</v>
      </c>
      <c r="N40" s="45">
        <f>'Gegevens raming 2021'!N39</f>
        <v>60642</v>
      </c>
      <c r="R40" s="133"/>
      <c r="T40" s="114"/>
    </row>
    <row r="41" spans="2:20" s="192" customFormat="1" x14ac:dyDescent="0.2">
      <c r="B41" s="77" t="s">
        <v>497</v>
      </c>
      <c r="F41" s="62" t="s">
        <v>269</v>
      </c>
      <c r="N41" s="45">
        <f>'Gegevens raming 2021'!N40</f>
        <v>1346400</v>
      </c>
      <c r="R41" s="133"/>
      <c r="T41" s="191"/>
    </row>
    <row r="42" spans="2:20" s="192" customFormat="1" x14ac:dyDescent="0.2">
      <c r="B42" s="77" t="s">
        <v>480</v>
      </c>
      <c r="F42" s="62" t="s">
        <v>271</v>
      </c>
      <c r="N42" s="95">
        <f>'Gegevens raming 2021'!N41</f>
        <v>0.65</v>
      </c>
      <c r="R42" s="133"/>
      <c r="T42" s="114"/>
    </row>
    <row r="43" spans="2:20" s="192" customFormat="1" x14ac:dyDescent="0.2">
      <c r="B43" s="77" t="s">
        <v>481</v>
      </c>
      <c r="F43" s="62" t="s">
        <v>269</v>
      </c>
      <c r="N43" s="45">
        <f>'Gegevens raming 2021'!N42</f>
        <v>150000</v>
      </c>
      <c r="R43" s="133"/>
      <c r="T43" s="114"/>
    </row>
    <row r="44" spans="2:20" s="192" customFormat="1" x14ac:dyDescent="0.2">
      <c r="B44" s="77" t="s">
        <v>506</v>
      </c>
      <c r="F44" s="62" t="s">
        <v>269</v>
      </c>
      <c r="N44" s="46">
        <f>N41+N42*N40+N43</f>
        <v>1535817.3</v>
      </c>
      <c r="R44" s="133"/>
      <c r="T44" s="191" t="s">
        <v>507</v>
      </c>
    </row>
    <row r="45" spans="2:20" s="192" customFormat="1" x14ac:dyDescent="0.2">
      <c r="F45" s="57"/>
      <c r="H45" s="64"/>
      <c r="R45" s="191"/>
      <c r="T45" s="114"/>
    </row>
    <row r="46" spans="2:20" s="191" customFormat="1" x14ac:dyDescent="0.2">
      <c r="B46" s="1" t="s">
        <v>508</v>
      </c>
    </row>
    <row r="47" spans="2:20" s="192" customFormat="1" x14ac:dyDescent="0.2">
      <c r="B47" s="192" t="s">
        <v>487</v>
      </c>
      <c r="F47" s="62" t="s">
        <v>269</v>
      </c>
      <c r="H47" s="64"/>
      <c r="N47" s="45" t="str">
        <f>'Gegevens raming 2021'!N32</f>
        <v>[gegevens geschoond i.v.m.bedrijfsvertrouwelijkheid]</v>
      </c>
      <c r="R47" s="133"/>
      <c r="T47" s="204" t="s">
        <v>556</v>
      </c>
    </row>
    <row r="48" spans="2:20" s="192" customFormat="1" x14ac:dyDescent="0.2">
      <c r="B48" s="192" t="s">
        <v>488</v>
      </c>
      <c r="F48" s="62" t="s">
        <v>492</v>
      </c>
      <c r="H48" s="64"/>
      <c r="N48" s="201" t="str">
        <f>'Gegevens raming 2021'!N33</f>
        <v>[gegevens geschoond i.v.m.bedrijfsvertrouwelijkheid]</v>
      </c>
      <c r="R48" s="133"/>
      <c r="T48" s="204" t="s">
        <v>556</v>
      </c>
    </row>
    <row r="49" spans="2:23" s="192" customFormat="1" x14ac:dyDescent="0.2">
      <c r="B49" s="192" t="s">
        <v>489</v>
      </c>
      <c r="F49" s="62" t="s">
        <v>490</v>
      </c>
      <c r="H49" s="64"/>
      <c r="N49" s="45" t="str">
        <f>'Gegevens raming 2021'!N34</f>
        <v>[gegevens geschoond i.v.m.bedrijfsvertrouwelijkheid]</v>
      </c>
      <c r="R49" s="133"/>
      <c r="T49" s="204" t="s">
        <v>556</v>
      </c>
    </row>
    <row r="50" spans="2:23" s="192" customFormat="1" x14ac:dyDescent="0.2">
      <c r="B50" s="192" t="s">
        <v>494</v>
      </c>
      <c r="F50" s="62" t="s">
        <v>269</v>
      </c>
      <c r="H50" s="64"/>
      <c r="N50" s="45" t="str">
        <f>'Gegevens raming 2021'!N35</f>
        <v>[gegevens geschoond i.v.m.bedrijfsvertrouwelijkheid]</v>
      </c>
      <c r="R50" s="133"/>
      <c r="T50" s="204" t="s">
        <v>556</v>
      </c>
    </row>
    <row r="51" spans="2:23" s="192" customFormat="1" x14ac:dyDescent="0.2">
      <c r="F51" s="62"/>
      <c r="H51" s="64"/>
      <c r="R51" s="133"/>
      <c r="T51" s="114"/>
    </row>
    <row r="52" spans="2:23" s="192" customFormat="1" x14ac:dyDescent="0.2">
      <c r="B52" s="192" t="s">
        <v>509</v>
      </c>
      <c r="F52" s="62" t="s">
        <v>269</v>
      </c>
      <c r="H52" s="64"/>
      <c r="N52" s="46" t="e">
        <f>(DATE(2022,1,1)-N48)/365.25 * (N47/N49)</f>
        <v>#VALUE!</v>
      </c>
      <c r="O52" s="96"/>
      <c r="R52" s="133"/>
      <c r="T52" s="204" t="s">
        <v>556</v>
      </c>
    </row>
    <row r="53" spans="2:23" s="192" customFormat="1" x14ac:dyDescent="0.2">
      <c r="B53" s="192" t="s">
        <v>510</v>
      </c>
      <c r="F53" s="62" t="s">
        <v>269</v>
      </c>
      <c r="H53" s="64"/>
      <c r="N53" s="46" t="e">
        <f>N47-N52</f>
        <v>#VALUE!</v>
      </c>
      <c r="R53" s="133"/>
      <c r="T53" s="204" t="s">
        <v>556</v>
      </c>
    </row>
    <row r="54" spans="2:23" s="192" customFormat="1" x14ac:dyDescent="0.2">
      <c r="B54" s="192" t="s">
        <v>511</v>
      </c>
      <c r="F54" s="62" t="s">
        <v>269</v>
      </c>
      <c r="H54" s="64"/>
      <c r="N54" s="46" t="e">
        <f>AVERAGE(0,N53)</f>
        <v>#VALUE!</v>
      </c>
      <c r="R54" s="133"/>
      <c r="T54" s="204" t="s">
        <v>556</v>
      </c>
    </row>
    <row r="55" spans="2:23" s="192" customFormat="1" x14ac:dyDescent="0.2">
      <c r="B55" s="192" t="s">
        <v>512</v>
      </c>
      <c r="F55" s="62" t="s">
        <v>269</v>
      </c>
      <c r="H55" s="64"/>
      <c r="N55" s="46" t="e">
        <f>H17*N54</f>
        <v>#VALUE!</v>
      </c>
      <c r="R55" s="133"/>
      <c r="T55" s="204" t="s">
        <v>556</v>
      </c>
    </row>
    <row r="56" spans="2:23" s="192" customFormat="1" x14ac:dyDescent="0.2">
      <c r="B56" s="192" t="s">
        <v>513</v>
      </c>
      <c r="F56" s="62" t="s">
        <v>269</v>
      </c>
      <c r="H56" s="64"/>
      <c r="N56" s="38">
        <v>1015711.3596411247</v>
      </c>
      <c r="R56" s="133"/>
      <c r="T56" s="191" t="s">
        <v>519</v>
      </c>
    </row>
    <row r="57" spans="2:23" s="192" customFormat="1" x14ac:dyDescent="0.2">
      <c r="F57" s="62"/>
      <c r="H57" s="64"/>
      <c r="R57" s="133"/>
      <c r="T57" s="114"/>
    </row>
    <row r="58" spans="2:23" x14ac:dyDescent="0.2">
      <c r="B58" s="1" t="s">
        <v>139</v>
      </c>
    </row>
    <row r="59" spans="2:23" x14ac:dyDescent="0.2">
      <c r="B59" s="2" t="s">
        <v>137</v>
      </c>
      <c r="F59" s="2" t="s">
        <v>363</v>
      </c>
      <c r="G59" s="191"/>
      <c r="H59" s="108">
        <f>'Gegevens raming 2021'!N47</f>
        <v>0</v>
      </c>
      <c r="T59" s="2" t="s">
        <v>516</v>
      </c>
      <c r="W59" s="31"/>
    </row>
    <row r="60" spans="2:23" x14ac:dyDescent="0.2">
      <c r="B60" s="2" t="s">
        <v>134</v>
      </c>
      <c r="F60" s="2" t="s">
        <v>122</v>
      </c>
      <c r="N60" s="86">
        <f>'Gegevens raming 2021'!N46</f>
        <v>1967</v>
      </c>
    </row>
    <row r="61" spans="2:23" x14ac:dyDescent="0.2">
      <c r="B61" s="2" t="s">
        <v>135</v>
      </c>
      <c r="F61" s="2" t="s">
        <v>269</v>
      </c>
      <c r="N61" s="50">
        <f>N60*H59*12</f>
        <v>0</v>
      </c>
      <c r="T61" s="2" t="s">
        <v>138</v>
      </c>
    </row>
    <row r="63" spans="2:23" s="9" customFormat="1" x14ac:dyDescent="0.2">
      <c r="B63" s="9" t="s">
        <v>364</v>
      </c>
    </row>
    <row r="65" spans="2:20" x14ac:dyDescent="0.2">
      <c r="B65" s="1" t="s">
        <v>365</v>
      </c>
    </row>
    <row r="66" spans="2:20" x14ac:dyDescent="0.2">
      <c r="B66" s="2" t="s">
        <v>307</v>
      </c>
      <c r="F66" s="2" t="s">
        <v>136</v>
      </c>
      <c r="J66" s="50">
        <f>SUM(L66:P66)</f>
        <v>23202030.424490251</v>
      </c>
      <c r="L66" s="46">
        <f t="shared" ref="L66:P68" si="0">L22*L27</f>
        <v>0</v>
      </c>
      <c r="M66" s="46">
        <f t="shared" si="0"/>
        <v>16599147.676643044</v>
      </c>
      <c r="N66" s="46">
        <f t="shared" si="0"/>
        <v>0</v>
      </c>
      <c r="O66" s="46">
        <f t="shared" si="0"/>
        <v>6585061.5470824521</v>
      </c>
      <c r="P66" s="46">
        <f t="shared" si="0"/>
        <v>17821.200764751313</v>
      </c>
      <c r="T66" s="2" t="s">
        <v>133</v>
      </c>
    </row>
    <row r="67" spans="2:20" x14ac:dyDescent="0.2">
      <c r="B67" s="2" t="s">
        <v>308</v>
      </c>
      <c r="F67" s="2" t="s">
        <v>136</v>
      </c>
      <c r="J67" s="50">
        <f>SUM(L67:P67)</f>
        <v>2071780.9995893454</v>
      </c>
      <c r="L67" s="46">
        <f t="shared" si="0"/>
        <v>0</v>
      </c>
      <c r="M67" s="46">
        <f t="shared" si="0"/>
        <v>1215266.5631956018</v>
      </c>
      <c r="N67" s="46">
        <f t="shared" si="0"/>
        <v>0</v>
      </c>
      <c r="O67" s="46">
        <f t="shared" si="0"/>
        <v>851503.93929393671</v>
      </c>
      <c r="P67" s="46">
        <f t="shared" si="0"/>
        <v>5010.4970998069612</v>
      </c>
    </row>
    <row r="68" spans="2:20" x14ac:dyDescent="0.2">
      <c r="B68" s="27" t="s">
        <v>366</v>
      </c>
      <c r="F68" s="2" t="s">
        <v>136</v>
      </c>
      <c r="J68" s="50">
        <f>SUM(L68:P68)</f>
        <v>2063244.1133368502</v>
      </c>
      <c r="L68" s="46">
        <f t="shared" si="0"/>
        <v>0</v>
      </c>
      <c r="M68" s="46">
        <f t="shared" si="0"/>
        <v>939122.05046424654</v>
      </c>
      <c r="N68" s="46">
        <f t="shared" si="0"/>
        <v>586099.03910159867</v>
      </c>
      <c r="O68" s="46">
        <f t="shared" si="0"/>
        <v>525051.83000601188</v>
      </c>
      <c r="P68" s="46">
        <f t="shared" si="0"/>
        <v>12971.193764993157</v>
      </c>
    </row>
    <row r="70" spans="2:20" x14ac:dyDescent="0.2">
      <c r="B70" s="2" t="s">
        <v>367</v>
      </c>
      <c r="F70" s="2" t="s">
        <v>269</v>
      </c>
      <c r="J70" s="50">
        <f>SUM(L70:P70)</f>
        <v>5454001.9247486508</v>
      </c>
      <c r="L70" s="46">
        <f>L66*$H$17+L67+L68*(1+$H$18)*(1+$H$19)</f>
        <v>0</v>
      </c>
      <c r="M70" s="46">
        <f t="shared" ref="M70:P70" si="1">M66*$H$17+M67+M68*(1+$H$18)*(1+$H$19)</f>
        <v>3117648.0609083148</v>
      </c>
      <c r="N70" s="46">
        <f t="shared" si="1"/>
        <v>564661.88064741855</v>
      </c>
      <c r="O70" s="46">
        <f t="shared" si="1"/>
        <v>1753113.6725453041</v>
      </c>
      <c r="P70" s="46">
        <f t="shared" si="1"/>
        <v>18578.310647613282</v>
      </c>
    </row>
    <row r="71" spans="2:20" x14ac:dyDescent="0.2">
      <c r="B71" s="2" t="s">
        <v>368</v>
      </c>
      <c r="F71" s="2" t="s">
        <v>371</v>
      </c>
      <c r="L71" s="85">
        <f>L70/L33</f>
        <v>0</v>
      </c>
      <c r="M71" s="85">
        <f>M70/M33</f>
        <v>33.223582761691262</v>
      </c>
      <c r="N71" s="85">
        <f>N70/N33</f>
        <v>0.29030093476189606</v>
      </c>
      <c r="O71" s="85">
        <f>O70/O33</f>
        <v>657.16223132998516</v>
      </c>
      <c r="P71" s="85">
        <f>P70/P33</f>
        <v>1.5117837617066712</v>
      </c>
    </row>
    <row r="73" spans="2:20" x14ac:dyDescent="0.2">
      <c r="B73" s="1" t="s">
        <v>369</v>
      </c>
    </row>
    <row r="74" spans="2:20" x14ac:dyDescent="0.2">
      <c r="B74" s="2" t="s">
        <v>307</v>
      </c>
      <c r="F74" s="2" t="s">
        <v>136</v>
      </c>
      <c r="J74" s="50">
        <f>SUM(L74:P74)</f>
        <v>26745628.418775268</v>
      </c>
      <c r="L74" s="46">
        <f t="shared" ref="L74:P76" si="2">L22-L66</f>
        <v>529433.27152886253</v>
      </c>
      <c r="M74" s="46">
        <f t="shared" si="2"/>
        <v>16599147.676643044</v>
      </c>
      <c r="N74" s="46">
        <f t="shared" si="2"/>
        <v>3014164.722756159</v>
      </c>
      <c r="O74" s="46">
        <f t="shared" si="2"/>
        <v>6585061.5470824521</v>
      </c>
      <c r="P74" s="46">
        <f t="shared" si="2"/>
        <v>17821.200764751313</v>
      </c>
      <c r="T74" s="2" t="s">
        <v>518</v>
      </c>
    </row>
    <row r="75" spans="2:20" x14ac:dyDescent="0.2">
      <c r="B75" s="2" t="s">
        <v>308</v>
      </c>
      <c r="F75" s="2" t="s">
        <v>136</v>
      </c>
      <c r="J75" s="50">
        <f>SUM(L75:P75)</f>
        <v>2393554.21620266</v>
      </c>
      <c r="L75" s="46">
        <f t="shared" si="2"/>
        <v>60753.370030546095</v>
      </c>
      <c r="M75" s="46">
        <f t="shared" si="2"/>
        <v>1215266.5631956018</v>
      </c>
      <c r="N75" s="46">
        <f t="shared" si="2"/>
        <v>261019.84658276825</v>
      </c>
      <c r="O75" s="46">
        <f t="shared" si="2"/>
        <v>851503.93929393671</v>
      </c>
      <c r="P75" s="46">
        <f t="shared" si="2"/>
        <v>5010.4970998069612</v>
      </c>
    </row>
    <row r="76" spans="2:20" x14ac:dyDescent="0.2">
      <c r="B76" s="27" t="s">
        <v>366</v>
      </c>
      <c r="F76" s="2" t="s">
        <v>136</v>
      </c>
      <c r="J76" s="50">
        <f>SUM(L76:P76)</f>
        <v>10193010.68203951</v>
      </c>
      <c r="L76" s="46">
        <f t="shared" si="2"/>
        <v>75047.108533129562</v>
      </c>
      <c r="M76" s="46">
        <f t="shared" si="2"/>
        <v>6017337.5826042462</v>
      </c>
      <c r="N76" s="46">
        <f t="shared" si="2"/>
        <v>1211750.7740934892</v>
      </c>
      <c r="O76" s="46">
        <f t="shared" si="2"/>
        <v>2819227.342006803</v>
      </c>
      <c r="P76" s="46">
        <f t="shared" si="2"/>
        <v>69647.874801842234</v>
      </c>
    </row>
    <row r="78" spans="2:20" x14ac:dyDescent="0.2">
      <c r="B78" s="2" t="s">
        <v>370</v>
      </c>
      <c r="F78" s="2" t="s">
        <v>269</v>
      </c>
      <c r="J78" s="50">
        <f>SUM(L78:P78)</f>
        <v>16372686.267145412</v>
      </c>
      <c r="L78" s="46">
        <f>L74*$H$17+L75+L76*(1+$H$18)*(1+$H$19)</f>
        <v>164874.49514085255</v>
      </c>
      <c r="M78" s="46">
        <f>M74*$H$17+M75+M76*(1+$H$18)*(1+$H$19)</f>
        <v>8010122.7817447623</v>
      </c>
      <c r="N78" s="38">
        <f>N74*$H$17+N75+N76*(1+$H$18)*(1+$H$19)+N44+N56+N61</f>
        <v>4161129.5838417839</v>
      </c>
      <c r="O78" s="46">
        <f>O74*$H$17+O75+O76*(1+$H$18)*(1+$H$19)</f>
        <v>3963377.4210191541</v>
      </c>
      <c r="P78" s="46">
        <f>P74*$H$17+P75+P76*(1+$H$18)*(1+$H$19)</f>
        <v>73181.985398858567</v>
      </c>
      <c r="T78" s="191" t="s">
        <v>517</v>
      </c>
    </row>
    <row r="80" spans="2:20" x14ac:dyDescent="0.2">
      <c r="N80" s="99"/>
    </row>
    <row r="81" spans="2:20" s="9" customFormat="1" x14ac:dyDescent="0.2">
      <c r="B81" s="9" t="s">
        <v>372</v>
      </c>
    </row>
    <row r="83" spans="2:20" x14ac:dyDescent="0.2">
      <c r="B83" s="1" t="s">
        <v>372</v>
      </c>
    </row>
    <row r="84" spans="2:20" x14ac:dyDescent="0.2">
      <c r="B84" s="2" t="s">
        <v>120</v>
      </c>
      <c r="F84" s="2" t="s">
        <v>121</v>
      </c>
      <c r="L84" s="76" t="s">
        <v>83</v>
      </c>
      <c r="M84" s="76" t="s">
        <v>122</v>
      </c>
      <c r="N84" s="76" t="s">
        <v>85</v>
      </c>
      <c r="O84" s="76" t="s">
        <v>123</v>
      </c>
      <c r="P84" s="76" t="s">
        <v>85</v>
      </c>
    </row>
    <row r="85" spans="2:20" x14ac:dyDescent="0.2">
      <c r="B85" s="27" t="s">
        <v>373</v>
      </c>
      <c r="F85" s="2" t="s">
        <v>97</v>
      </c>
      <c r="L85" s="45">
        <f>'Gegevens raming 2021'!L100</f>
        <v>338640</v>
      </c>
      <c r="M85" s="45">
        <f>'Gegevens raming 2021'!M100</f>
        <v>98747.27</v>
      </c>
      <c r="N85" s="45">
        <f>'Gegevens raming 2021'!N101</f>
        <v>2054508</v>
      </c>
      <c r="O85" s="45">
        <f>'Gegevens raming 2021'!O100</f>
        <v>2925.875</v>
      </c>
      <c r="P85" s="45">
        <f>'Gegevens raming 2021'!P100</f>
        <v>12289</v>
      </c>
      <c r="T85" s="2" t="s">
        <v>538</v>
      </c>
    </row>
    <row r="86" spans="2:20" x14ac:dyDescent="0.2">
      <c r="B86" s="27" t="s">
        <v>374</v>
      </c>
      <c r="F86" s="2" t="s">
        <v>269</v>
      </c>
      <c r="J86" s="50">
        <f>SUM(L86:P86)</f>
        <v>5818516.5444521001</v>
      </c>
      <c r="L86" s="46">
        <f>L71*L85</f>
        <v>0</v>
      </c>
      <c r="M86" s="46">
        <f>M71*M85</f>
        <v>3280738.0973360729</v>
      </c>
      <c r="N86" s="46">
        <f>N71*N85</f>
        <v>596425.59287579358</v>
      </c>
      <c r="O86" s="46">
        <f>O71*O85</f>
        <v>1922774.5435926204</v>
      </c>
      <c r="P86" s="46">
        <f>P71*P85</f>
        <v>18578.310647613282</v>
      </c>
    </row>
    <row r="87" spans="2:20" x14ac:dyDescent="0.2">
      <c r="B87" s="2" t="s">
        <v>465</v>
      </c>
      <c r="F87" s="2" t="s">
        <v>269</v>
      </c>
      <c r="J87" s="50">
        <f>SUM(L87:P87)</f>
        <v>22191202.811597511</v>
      </c>
      <c r="L87" s="35">
        <f>L78+L86</f>
        <v>164874.49514085255</v>
      </c>
      <c r="M87" s="35">
        <f t="shared" ref="M87:P87" si="3">M78+M86</f>
        <v>11290860.879080836</v>
      </c>
      <c r="N87" s="35">
        <f t="shared" si="3"/>
        <v>4757555.1767175775</v>
      </c>
      <c r="O87" s="35">
        <f t="shared" si="3"/>
        <v>5886151.9646117743</v>
      </c>
      <c r="P87" s="35">
        <f t="shared" si="3"/>
        <v>91760.296046471849</v>
      </c>
      <c r="T87" s="2" t="s">
        <v>150</v>
      </c>
    </row>
    <row r="92" spans="2:20" x14ac:dyDescent="0.2">
      <c r="B92" s="2" t="s">
        <v>72</v>
      </c>
    </row>
  </sheetData>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44"/>
  <sheetViews>
    <sheetView showGridLines="0" zoomScale="85" zoomScaleNormal="85" workbookViewId="0">
      <pane xSplit="6" ySplit="9" topLeftCell="G10" activePane="bottomRight" state="frozen"/>
      <selection activeCell="F63" sqref="F63"/>
      <selection pane="topRight" activeCell="F63" sqref="F63"/>
      <selection pane="bottomLeft" activeCell="F63" sqref="F63"/>
      <selection pane="bottomRight" activeCell="G10" sqref="G10"/>
    </sheetView>
  </sheetViews>
  <sheetFormatPr defaultRowHeight="12.75" x14ac:dyDescent="0.2"/>
  <cols>
    <col min="1" max="1" width="4.7109375" style="2" customWidth="1"/>
    <col min="2" max="2" width="69"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22" customFormat="1" ht="18" x14ac:dyDescent="0.2">
      <c r="B2" s="22" t="s">
        <v>151</v>
      </c>
    </row>
    <row r="4" spans="2:10" x14ac:dyDescent="0.2">
      <c r="B4" s="32" t="s">
        <v>539</v>
      </c>
      <c r="C4" s="1"/>
      <c r="D4" s="1"/>
    </row>
    <row r="5" spans="2:10" x14ac:dyDescent="0.2">
      <c r="B5" s="27" t="s">
        <v>209</v>
      </c>
      <c r="C5" s="27"/>
      <c r="D5" s="27"/>
      <c r="H5" s="23"/>
    </row>
    <row r="6" spans="2:10" x14ac:dyDescent="0.2">
      <c r="B6" s="5"/>
      <c r="C6" s="27"/>
      <c r="D6" s="27"/>
    </row>
    <row r="8" spans="2:10" s="9" customFormat="1" x14ac:dyDescent="0.2">
      <c r="B8" s="9" t="s">
        <v>41</v>
      </c>
      <c r="F8" s="9" t="s">
        <v>23</v>
      </c>
      <c r="H8" s="9" t="s">
        <v>24</v>
      </c>
      <c r="J8" s="9" t="s">
        <v>43</v>
      </c>
    </row>
    <row r="11" spans="2:10" s="9" customFormat="1" x14ac:dyDescent="0.2">
      <c r="B11" s="9" t="s">
        <v>211</v>
      </c>
    </row>
    <row r="13" spans="2:10" x14ac:dyDescent="0.2">
      <c r="B13" s="1" t="s">
        <v>375</v>
      </c>
    </row>
    <row r="14" spans="2:10" x14ac:dyDescent="0.2">
      <c r="B14" s="2" t="s">
        <v>471</v>
      </c>
      <c r="F14" s="2" t="s">
        <v>269</v>
      </c>
      <c r="H14" s="45">
        <f>'Berekening kostenbasis 2021'!L87</f>
        <v>164874.49514085255</v>
      </c>
    </row>
    <row r="16" spans="2:10" x14ac:dyDescent="0.2">
      <c r="B16" s="2" t="s">
        <v>376</v>
      </c>
      <c r="F16" s="2" t="s">
        <v>83</v>
      </c>
      <c r="H16" s="45">
        <f>'Gegevens raming 2021'!L18</f>
        <v>338640</v>
      </c>
    </row>
    <row r="17" spans="2:10" x14ac:dyDescent="0.2">
      <c r="B17" s="2" t="s">
        <v>215</v>
      </c>
      <c r="F17" s="2" t="s">
        <v>264</v>
      </c>
      <c r="H17" s="98">
        <f>H14/H16</f>
        <v>0.48687247561083319</v>
      </c>
      <c r="J17" s="2" t="s">
        <v>469</v>
      </c>
    </row>
    <row r="18" spans="2:10" x14ac:dyDescent="0.2">
      <c r="B18" s="2" t="s">
        <v>216</v>
      </c>
      <c r="F18" s="2" t="s">
        <v>264</v>
      </c>
      <c r="H18" s="94">
        <f>ROUND(H17,4)</f>
        <v>0.4869</v>
      </c>
    </row>
    <row r="20" spans="2:10" x14ac:dyDescent="0.2">
      <c r="B20" s="1" t="s">
        <v>377</v>
      </c>
    </row>
    <row r="21" spans="2:10" x14ac:dyDescent="0.2">
      <c r="B21" s="2" t="s">
        <v>378</v>
      </c>
      <c r="F21" s="2" t="s">
        <v>83</v>
      </c>
      <c r="H21" s="45">
        <f>'Gegevens raming 2021'!L22</f>
        <v>123551000</v>
      </c>
    </row>
    <row r="22" spans="2:10" x14ac:dyDescent="0.2">
      <c r="B22" s="2" t="s">
        <v>379</v>
      </c>
      <c r="F22" s="2" t="s">
        <v>264</v>
      </c>
      <c r="H22" s="95">
        <f>'Gegevens raming 2021'!L21</f>
        <v>0.21390000000000001</v>
      </c>
    </row>
    <row r="24" spans="2:10" x14ac:dyDescent="0.2">
      <c r="B24" s="2" t="s">
        <v>263</v>
      </c>
      <c r="F24" s="2" t="s">
        <v>264</v>
      </c>
      <c r="H24" s="94">
        <f>(H18*H16+H22*H21)/(H16+H21)</f>
        <v>0.21464621832786021</v>
      </c>
    </row>
    <row r="25" spans="2:10" x14ac:dyDescent="0.2">
      <c r="B25" s="2" t="s">
        <v>380</v>
      </c>
      <c r="F25" s="2" t="s">
        <v>83</v>
      </c>
      <c r="H25" s="46">
        <f>H21+H16</f>
        <v>123889640</v>
      </c>
    </row>
    <row r="28" spans="2:10" s="9" customFormat="1" x14ac:dyDescent="0.2">
      <c r="B28" s="9" t="s">
        <v>210</v>
      </c>
    </row>
    <row r="30" spans="2:10" x14ac:dyDescent="0.2">
      <c r="B30" s="1" t="s">
        <v>381</v>
      </c>
    </row>
    <row r="31" spans="2:10" x14ac:dyDescent="0.2">
      <c r="B31" s="27" t="s">
        <v>351</v>
      </c>
      <c r="F31" s="2" t="s">
        <v>269</v>
      </c>
      <c r="H31" s="45">
        <f>'Correcties (incl. berekening)'!M68</f>
        <v>347422.2201736889</v>
      </c>
    </row>
    <row r="32" spans="2:10" x14ac:dyDescent="0.2">
      <c r="B32" s="27" t="s">
        <v>289</v>
      </c>
      <c r="F32" s="2" t="s">
        <v>269</v>
      </c>
      <c r="H32" s="45">
        <f>'Correcties (incl. berekening)'!M69</f>
        <v>821597.7580418092</v>
      </c>
    </row>
    <row r="33" spans="2:10" x14ac:dyDescent="0.2">
      <c r="B33" s="27" t="s">
        <v>327</v>
      </c>
      <c r="C33" s="27"/>
      <c r="D33" s="27"/>
      <c r="E33" s="27"/>
      <c r="F33" s="57" t="s">
        <v>71</v>
      </c>
      <c r="H33" s="89">
        <f>'Gegevens raming 2021'!L24</f>
        <v>0.46889999999999998</v>
      </c>
    </row>
    <row r="34" spans="2:10" x14ac:dyDescent="0.2">
      <c r="B34" s="27"/>
    </row>
    <row r="35" spans="2:10" x14ac:dyDescent="0.2">
      <c r="B35" s="27" t="s">
        <v>382</v>
      </c>
      <c r="F35" s="2" t="s">
        <v>264</v>
      </c>
      <c r="H35" s="90">
        <f>H31/H25</f>
        <v>2.8042879144187433E-3</v>
      </c>
      <c r="J35" s="101" t="s">
        <v>466</v>
      </c>
    </row>
    <row r="36" spans="2:10" x14ac:dyDescent="0.2">
      <c r="B36" s="27" t="s">
        <v>383</v>
      </c>
      <c r="F36" s="2" t="s">
        <v>264</v>
      </c>
      <c r="H36" s="90">
        <f>+H32/(H25*H33)</f>
        <v>1.4143080776108936E-2</v>
      </c>
      <c r="J36" s="101" t="s">
        <v>386</v>
      </c>
    </row>
    <row r="37" spans="2:10" x14ac:dyDescent="0.2">
      <c r="B37" s="27"/>
    </row>
    <row r="38" spans="2:10" x14ac:dyDescent="0.2">
      <c r="B38" s="2" t="s">
        <v>148</v>
      </c>
      <c r="F38" s="2" t="s">
        <v>71</v>
      </c>
      <c r="H38" s="89">
        <f>'Gegevens raming 2021'!M56</f>
        <v>9.3295691356145738E-2</v>
      </c>
    </row>
    <row r="40" spans="2:10" x14ac:dyDescent="0.2">
      <c r="B40" s="27" t="s">
        <v>384</v>
      </c>
      <c r="F40" s="2" t="s">
        <v>264</v>
      </c>
      <c r="H40" s="98">
        <f>(H24+H35+H36)/(1-H38)</f>
        <v>0.2554234989406628</v>
      </c>
    </row>
    <row r="41" spans="2:10" x14ac:dyDescent="0.2">
      <c r="B41" s="27" t="s">
        <v>385</v>
      </c>
      <c r="F41" s="2" t="s">
        <v>264</v>
      </c>
      <c r="H41" s="94">
        <f>ROUND(H40,4)</f>
        <v>0.25540000000000002</v>
      </c>
    </row>
    <row r="42" spans="2:10" x14ac:dyDescent="0.2">
      <c r="H42" s="101"/>
    </row>
    <row r="44" spans="2:10" x14ac:dyDescent="0.2">
      <c r="B44" s="2" t="s">
        <v>72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L61"/>
  <sheetViews>
    <sheetView showGridLines="0" zoomScale="85" zoomScaleNormal="85" workbookViewId="0">
      <pane xSplit="6" ySplit="10" topLeftCell="G11" activePane="bottomRight" state="frozen"/>
      <selection pane="topRight" activeCell="G1" sqref="G1"/>
      <selection pane="bottomLeft" activeCell="A10" sqref="A10"/>
      <selection pane="bottomRight" activeCell="G11" sqref="G11"/>
    </sheetView>
  </sheetViews>
  <sheetFormatPr defaultRowHeight="12.75" x14ac:dyDescent="0.2"/>
  <cols>
    <col min="1" max="1" width="4.7109375" style="2" customWidth="1"/>
    <col min="2" max="2" width="61.5703125" style="2" customWidth="1"/>
    <col min="3" max="3" width="21"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22" customFormat="1" ht="18" x14ac:dyDescent="0.2">
      <c r="B2" s="22" t="s">
        <v>164</v>
      </c>
    </row>
    <row r="4" spans="2:10" x14ac:dyDescent="0.2">
      <c r="B4" s="32" t="s">
        <v>539</v>
      </c>
      <c r="C4" s="1"/>
      <c r="D4" s="1"/>
    </row>
    <row r="5" spans="2:10" x14ac:dyDescent="0.2">
      <c r="B5" s="27" t="s">
        <v>387</v>
      </c>
      <c r="C5" s="27"/>
      <c r="D5" s="27"/>
      <c r="H5" s="23"/>
    </row>
    <row r="6" spans="2:10" x14ac:dyDescent="0.2">
      <c r="B6" s="27" t="s">
        <v>165</v>
      </c>
      <c r="C6" s="27"/>
      <c r="D6" s="27"/>
    </row>
    <row r="9" spans="2:10" s="9" customFormat="1" x14ac:dyDescent="0.2">
      <c r="B9" s="9" t="s">
        <v>41</v>
      </c>
      <c r="F9" s="9" t="s">
        <v>23</v>
      </c>
      <c r="H9" s="9" t="s">
        <v>24</v>
      </c>
      <c r="J9" s="9" t="s">
        <v>43</v>
      </c>
    </row>
    <row r="12" spans="2:10" x14ac:dyDescent="0.2">
      <c r="B12" s="2" t="s">
        <v>276</v>
      </c>
      <c r="F12" s="2" t="s">
        <v>71</v>
      </c>
      <c r="H12" s="75">
        <f>Parameters!H18</f>
        <v>-4.8000000000000001E-2</v>
      </c>
    </row>
    <row r="14" spans="2:10" s="9" customFormat="1" x14ac:dyDescent="0.2">
      <c r="B14" s="9" t="s">
        <v>388</v>
      </c>
    </row>
    <row r="16" spans="2:10" x14ac:dyDescent="0.2">
      <c r="B16" s="1" t="s">
        <v>166</v>
      </c>
    </row>
    <row r="17" spans="2:12" x14ac:dyDescent="0.2">
      <c r="B17" s="2" t="s">
        <v>465</v>
      </c>
      <c r="F17" s="2" t="s">
        <v>269</v>
      </c>
      <c r="H17" s="45">
        <f>'Berekening kostenbasis 2021'!M87</f>
        <v>11290860.879080836</v>
      </c>
    </row>
    <row r="18" spans="2:12" x14ac:dyDescent="0.2">
      <c r="B18" s="27" t="s">
        <v>142</v>
      </c>
      <c r="F18" s="2" t="s">
        <v>269</v>
      </c>
      <c r="H18" s="45">
        <f>'Correcties (incl. berekening)'!M70</f>
        <v>124756.79415275322</v>
      </c>
    </row>
    <row r="19" spans="2:12" x14ac:dyDescent="0.2">
      <c r="B19" s="2" t="s">
        <v>389</v>
      </c>
      <c r="F19" s="2" t="s">
        <v>269</v>
      </c>
      <c r="H19" s="46">
        <f>H17+H18</f>
        <v>11415617.673233589</v>
      </c>
    </row>
    <row r="21" spans="2:12" x14ac:dyDescent="0.2">
      <c r="B21" s="2" t="s">
        <v>390</v>
      </c>
      <c r="F21" s="2" t="s">
        <v>122</v>
      </c>
      <c r="H21" s="45">
        <f>'Gegevens raming 2021'!M100</f>
        <v>98747.27</v>
      </c>
    </row>
    <row r="22" spans="2:12" x14ac:dyDescent="0.2">
      <c r="B22" s="2" t="s">
        <v>391</v>
      </c>
      <c r="F22" s="2" t="s">
        <v>392</v>
      </c>
      <c r="H22" s="85">
        <f>H19/H21/12</f>
        <v>9.63369896473559</v>
      </c>
    </row>
    <row r="24" spans="2:12" x14ac:dyDescent="0.2">
      <c r="B24" s="1" t="s">
        <v>167</v>
      </c>
    </row>
    <row r="25" spans="2:12" ht="25.5" x14ac:dyDescent="0.2">
      <c r="B25" s="72" t="s">
        <v>114</v>
      </c>
      <c r="C25" s="73" t="s">
        <v>95</v>
      </c>
      <c r="H25" s="99"/>
      <c r="J25" s="23"/>
      <c r="L25" s="101"/>
    </row>
    <row r="26" spans="2:12" x14ac:dyDescent="0.2">
      <c r="B26" s="27" t="s">
        <v>96</v>
      </c>
      <c r="C26" s="103">
        <f>'Gegevens raming 2021'!C70</f>
        <v>3.1</v>
      </c>
      <c r="F26" s="2" t="s">
        <v>393</v>
      </c>
      <c r="H26" s="102">
        <f t="shared" ref="H26:H37" si="0">C26*$H$22</f>
        <v>29.864466790680329</v>
      </c>
    </row>
    <row r="27" spans="2:12" x14ac:dyDescent="0.2">
      <c r="B27" s="27" t="s">
        <v>98</v>
      </c>
      <c r="C27" s="103">
        <f>'Gegevens raming 2021'!C71</f>
        <v>4.4000000000000004</v>
      </c>
      <c r="F27" s="2" t="s">
        <v>393</v>
      </c>
      <c r="H27" s="102">
        <f t="shared" si="0"/>
        <v>42.388275444836601</v>
      </c>
    </row>
    <row r="28" spans="2:12" x14ac:dyDescent="0.2">
      <c r="B28" s="27" t="s">
        <v>99</v>
      </c>
      <c r="C28" s="103">
        <f>'Gegevens raming 2021'!C72</f>
        <v>4.4000000000000004</v>
      </c>
      <c r="F28" s="2" t="s">
        <v>393</v>
      </c>
      <c r="H28" s="102">
        <f t="shared" si="0"/>
        <v>42.388275444836601</v>
      </c>
    </row>
    <row r="29" spans="2:12" x14ac:dyDescent="0.2">
      <c r="B29" s="27" t="s">
        <v>100</v>
      </c>
      <c r="C29" s="103">
        <f>'Gegevens raming 2021'!C73</f>
        <v>11.4</v>
      </c>
      <c r="F29" s="2" t="s">
        <v>393</v>
      </c>
      <c r="H29" s="102">
        <f t="shared" si="0"/>
        <v>109.82416819798573</v>
      </c>
    </row>
    <row r="30" spans="2:12" x14ac:dyDescent="0.2">
      <c r="B30" s="27" t="s">
        <v>101</v>
      </c>
      <c r="C30" s="103">
        <f>'Gegevens raming 2021'!C74</f>
        <v>19.2</v>
      </c>
      <c r="F30" s="2" t="s">
        <v>393</v>
      </c>
      <c r="H30" s="102">
        <f t="shared" si="0"/>
        <v>184.96702012292332</v>
      </c>
    </row>
    <row r="31" spans="2:12" x14ac:dyDescent="0.2">
      <c r="B31" s="27" t="s">
        <v>102</v>
      </c>
      <c r="C31" s="103">
        <f>'Gegevens raming 2021'!C75</f>
        <v>30.4</v>
      </c>
      <c r="F31" s="2" t="s">
        <v>393</v>
      </c>
      <c r="H31" s="102">
        <f t="shared" si="0"/>
        <v>292.86444852796194</v>
      </c>
    </row>
    <row r="32" spans="2:12" x14ac:dyDescent="0.2">
      <c r="B32" s="27" t="s">
        <v>103</v>
      </c>
      <c r="C32" s="103">
        <f>'Gegevens raming 2021'!C76</f>
        <v>38.1</v>
      </c>
      <c r="F32" s="2" t="s">
        <v>393</v>
      </c>
      <c r="H32" s="102">
        <f t="shared" si="0"/>
        <v>367.04393055642601</v>
      </c>
    </row>
    <row r="33" spans="2:10" x14ac:dyDescent="0.2">
      <c r="B33" s="27" t="s">
        <v>104</v>
      </c>
      <c r="C33" s="103">
        <f>'Gegevens raming 2021'!C77</f>
        <v>47.6</v>
      </c>
      <c r="F33" s="2" t="s">
        <v>393</v>
      </c>
      <c r="H33" s="102">
        <f>C33*$H$22</f>
        <v>458.56407072141411</v>
      </c>
    </row>
    <row r="34" spans="2:10" s="191" customFormat="1" x14ac:dyDescent="0.2">
      <c r="B34" s="192" t="s">
        <v>529</v>
      </c>
      <c r="C34" s="103">
        <f>'Gegevens raming 2021'!C78</f>
        <v>52.5</v>
      </c>
      <c r="F34" s="191" t="s">
        <v>393</v>
      </c>
      <c r="H34" s="102">
        <f t="shared" ref="H34:H36" si="1">C34*$H$22</f>
        <v>505.76919564861845</v>
      </c>
    </row>
    <row r="35" spans="2:10" x14ac:dyDescent="0.2">
      <c r="B35" s="192" t="s">
        <v>105</v>
      </c>
      <c r="C35" s="103">
        <f>'Gegevens raming 2021'!C79</f>
        <v>60.9</v>
      </c>
      <c r="F35" s="191" t="s">
        <v>393</v>
      </c>
      <c r="H35" s="102">
        <f t="shared" si="1"/>
        <v>586.6922669523974</v>
      </c>
    </row>
    <row r="36" spans="2:10" s="191" customFormat="1" x14ac:dyDescent="0.2">
      <c r="B36" s="192" t="s">
        <v>530</v>
      </c>
      <c r="C36" s="103">
        <f>'Gegevens raming 2021'!C80</f>
        <v>65.7</v>
      </c>
      <c r="F36" s="191" t="s">
        <v>393</v>
      </c>
      <c r="H36" s="102">
        <f t="shared" si="1"/>
        <v>632.93402198312833</v>
      </c>
    </row>
    <row r="37" spans="2:10" x14ac:dyDescent="0.2">
      <c r="B37" s="27" t="s">
        <v>106</v>
      </c>
      <c r="C37" s="103">
        <f>'Gegevens raming 2021'!C81</f>
        <v>76.099999999999994</v>
      </c>
      <c r="F37" s="2" t="s">
        <v>393</v>
      </c>
      <c r="H37" s="102">
        <f t="shared" si="0"/>
        <v>733.12449121637837</v>
      </c>
    </row>
    <row r="38" spans="2:10" x14ac:dyDescent="0.2">
      <c r="B38" s="27" t="s">
        <v>468</v>
      </c>
      <c r="F38" s="2" t="s">
        <v>392</v>
      </c>
      <c r="H38" s="102">
        <f>H22</f>
        <v>9.63369896473559</v>
      </c>
      <c r="J38" s="2" t="s">
        <v>467</v>
      </c>
    </row>
    <row r="41" spans="2:10" s="9" customFormat="1" x14ac:dyDescent="0.2">
      <c r="B41" s="9" t="s">
        <v>168</v>
      </c>
    </row>
    <row r="43" spans="2:10" x14ac:dyDescent="0.2">
      <c r="B43" s="104" t="s">
        <v>169</v>
      </c>
      <c r="F43" s="2" t="s">
        <v>93</v>
      </c>
      <c r="H43" s="105">
        <f>'Gegevens raming 2021'!M58</f>
        <v>208.33333333333334</v>
      </c>
    </row>
    <row r="44" spans="2:10" x14ac:dyDescent="0.2">
      <c r="B44" s="27" t="s">
        <v>384</v>
      </c>
      <c r="F44" s="2" t="s">
        <v>264</v>
      </c>
      <c r="H44" s="95">
        <f>'Variabel tarief elektriciteit'!H41</f>
        <v>0.25540000000000002</v>
      </c>
      <c r="J44" s="2" t="s">
        <v>219</v>
      </c>
    </row>
    <row r="45" spans="2:10" x14ac:dyDescent="0.2">
      <c r="B45" s="104" t="s">
        <v>171</v>
      </c>
      <c r="F45" s="2" t="s">
        <v>393</v>
      </c>
      <c r="H45" s="85">
        <f>ROUND(H27,2)</f>
        <v>42.39</v>
      </c>
    </row>
    <row r="46" spans="2:10" x14ac:dyDescent="0.2">
      <c r="B46" s="2" t="s">
        <v>394</v>
      </c>
      <c r="F46" s="2" t="s">
        <v>264</v>
      </c>
      <c r="H46" s="91">
        <f>H44+H45/H43</f>
        <v>0.458872</v>
      </c>
    </row>
    <row r="49" spans="2:10" s="9" customFormat="1" x14ac:dyDescent="0.2">
      <c r="B49" s="9" t="s">
        <v>172</v>
      </c>
    </row>
    <row r="51" spans="2:10" x14ac:dyDescent="0.2">
      <c r="B51" s="106" t="s">
        <v>177</v>
      </c>
      <c r="F51" s="2" t="s">
        <v>118</v>
      </c>
      <c r="H51" s="105">
        <f>'Gegevens raming 2021'!M61</f>
        <v>40</v>
      </c>
    </row>
    <row r="52" spans="2:10" x14ac:dyDescent="0.2">
      <c r="B52" s="106" t="s">
        <v>395</v>
      </c>
      <c r="F52" s="2" t="s">
        <v>269</v>
      </c>
      <c r="H52" s="102">
        <f>H51</f>
        <v>40</v>
      </c>
      <c r="J52" s="2" t="s">
        <v>174</v>
      </c>
    </row>
    <row r="54" spans="2:10" x14ac:dyDescent="0.2">
      <c r="B54" s="1" t="s">
        <v>175</v>
      </c>
    </row>
    <row r="55" spans="2:10" x14ac:dyDescent="0.2">
      <c r="B55" s="2" t="s">
        <v>178</v>
      </c>
      <c r="F55" s="2" t="s">
        <v>118</v>
      </c>
      <c r="H55" s="105">
        <f>'Gegevens raming 2021'!M62</f>
        <v>1589.87</v>
      </c>
    </row>
    <row r="56" spans="2:10" x14ac:dyDescent="0.2">
      <c r="B56" s="2" t="s">
        <v>396</v>
      </c>
      <c r="F56" s="2" t="s">
        <v>269</v>
      </c>
      <c r="H56" s="102">
        <f>H55*(1+$H$12)</f>
        <v>1513.5562399999999</v>
      </c>
    </row>
    <row r="61" spans="2:10" x14ac:dyDescent="0.2">
      <c r="B61" s="2" t="s">
        <v>72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M39"/>
  <sheetViews>
    <sheetView showGridLines="0" zoomScale="85" zoomScaleNormal="85" workbookViewId="0">
      <pane xSplit="6" ySplit="9" topLeftCell="G10" activePane="bottomRight" state="frozen"/>
      <selection activeCell="A39" activeCellId="2" sqref="A24 A17:A18 A39"/>
      <selection pane="topRight" activeCell="A39" activeCellId="2" sqref="A24 A17:A18 A39"/>
      <selection pane="bottomLeft" activeCell="A39" activeCellId="2" sqref="A24 A17:A18 A39"/>
      <selection pane="bottomRight" activeCell="G10" sqref="G10"/>
    </sheetView>
  </sheetViews>
  <sheetFormatPr defaultRowHeight="12.75" x14ac:dyDescent="0.2"/>
  <cols>
    <col min="1" max="1" width="4.7109375" style="2" customWidth="1"/>
    <col min="2" max="2" width="65.42578125"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13" s="22" customFormat="1" ht="18" x14ac:dyDescent="0.2">
      <c r="B2" s="22" t="s">
        <v>149</v>
      </c>
    </row>
    <row r="4" spans="2:13" x14ac:dyDescent="0.2">
      <c r="B4" s="32" t="s">
        <v>539</v>
      </c>
      <c r="C4" s="1"/>
      <c r="D4" s="1"/>
    </row>
    <row r="5" spans="2:13" x14ac:dyDescent="0.2">
      <c r="B5" s="27" t="s">
        <v>212</v>
      </c>
      <c r="C5" s="27"/>
      <c r="D5" s="27"/>
      <c r="H5" s="23"/>
      <c r="I5" s="23"/>
      <c r="J5" s="23"/>
      <c r="K5" s="23"/>
      <c r="L5" s="23"/>
      <c r="M5" s="23"/>
    </row>
    <row r="6" spans="2:13" x14ac:dyDescent="0.2">
      <c r="B6" s="27"/>
      <c r="C6" s="27"/>
      <c r="D6" s="27"/>
      <c r="H6" s="23"/>
      <c r="I6" s="23"/>
      <c r="J6" s="23"/>
      <c r="K6" s="23"/>
      <c r="L6" s="23"/>
      <c r="M6" s="23"/>
    </row>
    <row r="8" spans="2:13" s="9" customFormat="1" x14ac:dyDescent="0.2">
      <c r="B8" s="9" t="s">
        <v>41</v>
      </c>
      <c r="F8" s="9" t="s">
        <v>23</v>
      </c>
      <c r="H8" s="9" t="s">
        <v>24</v>
      </c>
      <c r="J8" s="9" t="s">
        <v>43</v>
      </c>
    </row>
    <row r="11" spans="2:13" s="9" customFormat="1" x14ac:dyDescent="0.2">
      <c r="B11" s="9" t="s">
        <v>180</v>
      </c>
    </row>
    <row r="13" spans="2:13" x14ac:dyDescent="0.2">
      <c r="B13" s="1" t="s">
        <v>397</v>
      </c>
    </row>
    <row r="14" spans="2:13" x14ac:dyDescent="0.2">
      <c r="B14" s="2" t="s">
        <v>398</v>
      </c>
      <c r="F14" s="2" t="s">
        <v>85</v>
      </c>
      <c r="H14" s="45">
        <f>'Gegevens raming 2021'!N101</f>
        <v>2054508</v>
      </c>
    </row>
    <row r="16" spans="2:13" x14ac:dyDescent="0.2">
      <c r="B16" s="1" t="s">
        <v>375</v>
      </c>
    </row>
    <row r="17" spans="2:10" x14ac:dyDescent="0.2">
      <c r="B17" s="2" t="s">
        <v>471</v>
      </c>
      <c r="F17" s="2" t="s">
        <v>269</v>
      </c>
      <c r="H17" s="45">
        <f>'Berekening kostenbasis 2021'!N87</f>
        <v>4757555.1767175775</v>
      </c>
      <c r="J17" s="2" t="s">
        <v>520</v>
      </c>
    </row>
    <row r="18" spans="2:10" x14ac:dyDescent="0.2">
      <c r="B18" s="2" t="s">
        <v>399</v>
      </c>
      <c r="F18" s="2" t="s">
        <v>269</v>
      </c>
      <c r="H18" s="45">
        <f>'Correcties (incl. berekening)'!N67</f>
        <v>142881.39369962606</v>
      </c>
    </row>
    <row r="19" spans="2:10" x14ac:dyDescent="0.2">
      <c r="B19" s="2" t="s">
        <v>400</v>
      </c>
      <c r="F19" s="2" t="s">
        <v>269</v>
      </c>
      <c r="H19" s="46">
        <f>H17+H18</f>
        <v>4900436.5704172039</v>
      </c>
    </row>
    <row r="21" spans="2:10" x14ac:dyDescent="0.2">
      <c r="B21" s="2" t="s">
        <v>401</v>
      </c>
      <c r="F21" s="2" t="s">
        <v>264</v>
      </c>
      <c r="H21" s="95">
        <f>'Variabel tarief elektriciteit'!H41</f>
        <v>0.25540000000000002</v>
      </c>
      <c r="J21" s="2" t="s">
        <v>219</v>
      </c>
    </row>
    <row r="22" spans="2:10" x14ac:dyDescent="0.2">
      <c r="B22" s="2" t="s">
        <v>146</v>
      </c>
      <c r="F22" s="2" t="s">
        <v>147</v>
      </c>
      <c r="H22" s="88">
        <f>'Gegevens raming 2021'!N45</f>
        <v>3.7890000000000001</v>
      </c>
    </row>
    <row r="23" spans="2:10" x14ac:dyDescent="0.2">
      <c r="B23" s="2" t="s">
        <v>184</v>
      </c>
      <c r="F23" s="2" t="s">
        <v>269</v>
      </c>
      <c r="H23" s="109">
        <f>H14*H22*H21</f>
        <v>1988169.1693848001</v>
      </c>
    </row>
    <row r="25" spans="2:10" x14ac:dyDescent="0.2">
      <c r="B25" s="2" t="s">
        <v>218</v>
      </c>
      <c r="F25" s="2" t="s">
        <v>271</v>
      </c>
      <c r="H25" s="98">
        <f>(H19+H23)/H14</f>
        <v>3.352922324859287</v>
      </c>
    </row>
    <row r="26" spans="2:10" x14ac:dyDescent="0.2">
      <c r="B26" s="2" t="s">
        <v>217</v>
      </c>
      <c r="F26" s="2" t="s">
        <v>271</v>
      </c>
      <c r="H26" s="94">
        <f>ROUND(H25,4)</f>
        <v>3.3529</v>
      </c>
      <c r="J26" s="2" t="s">
        <v>220</v>
      </c>
    </row>
    <row r="28" spans="2:10" s="9" customFormat="1" x14ac:dyDescent="0.2">
      <c r="B28" s="9" t="s">
        <v>179</v>
      </c>
    </row>
    <row r="30" spans="2:10" x14ac:dyDescent="0.2">
      <c r="B30" s="2" t="s">
        <v>141</v>
      </c>
      <c r="F30" s="2" t="s">
        <v>269</v>
      </c>
      <c r="H30" s="45">
        <f>'Correcties (incl. berekening)'!O68</f>
        <v>-64593.817743869193</v>
      </c>
    </row>
    <row r="31" spans="2:10" x14ac:dyDescent="0.2">
      <c r="B31" s="2" t="s">
        <v>183</v>
      </c>
      <c r="F31" s="2" t="s">
        <v>271</v>
      </c>
      <c r="H31" s="98">
        <f>H30/H14</f>
        <v>-3.1440041968135046E-2</v>
      </c>
    </row>
    <row r="33" spans="2:10" x14ac:dyDescent="0.2">
      <c r="B33" s="2" t="s">
        <v>470</v>
      </c>
      <c r="F33" s="2" t="s">
        <v>71</v>
      </c>
      <c r="H33" s="92">
        <f>'Gegevens raming 2021'!O56</f>
        <v>0.1287825974298388</v>
      </c>
    </row>
    <row r="34" spans="2:10" x14ac:dyDescent="0.2">
      <c r="B34" s="2" t="s">
        <v>402</v>
      </c>
      <c r="F34" s="2" t="s">
        <v>271</v>
      </c>
      <c r="H34" s="123">
        <f>(H26+H31)/(1-H33)</f>
        <v>3.8124352753208228</v>
      </c>
    </row>
    <row r="35" spans="2:10" x14ac:dyDescent="0.2">
      <c r="B35" s="2" t="s">
        <v>403</v>
      </c>
      <c r="F35" s="2" t="s">
        <v>271</v>
      </c>
      <c r="H35" s="93">
        <f>ROUND(H34,3)</f>
        <v>3.8119999999999998</v>
      </c>
      <c r="J35" s="2" t="s">
        <v>221</v>
      </c>
    </row>
    <row r="36" spans="2:10" x14ac:dyDescent="0.2">
      <c r="H36" s="110"/>
    </row>
    <row r="39" spans="2:10" x14ac:dyDescent="0.2">
      <c r="B39" s="2" t="s">
        <v>72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60"/>
  <sheetViews>
    <sheetView showGridLines="0" zoomScale="85" zoomScaleNormal="85" workbookViewId="0">
      <pane xSplit="6" ySplit="10" topLeftCell="G11" activePane="bottomRight" state="frozen"/>
      <selection pane="topRight" activeCell="G1" sqref="G1"/>
      <selection pane="bottomLeft" activeCell="A10" sqref="A10"/>
      <selection pane="bottomRight" activeCell="G11" sqref="G11"/>
    </sheetView>
  </sheetViews>
  <sheetFormatPr defaultRowHeight="12.75" x14ac:dyDescent="0.2"/>
  <cols>
    <col min="1" max="1" width="4.7109375" style="2" customWidth="1"/>
    <col min="2" max="2" width="61.5703125" style="2" customWidth="1"/>
    <col min="3" max="3" width="21" style="2" customWidth="1"/>
    <col min="4" max="5" width="4.5703125" style="2" customWidth="1"/>
    <col min="6" max="6" width="24.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22" customFormat="1" ht="18" x14ac:dyDescent="0.2">
      <c r="B2" s="22" t="s">
        <v>181</v>
      </c>
    </row>
    <row r="4" spans="2:10" x14ac:dyDescent="0.2">
      <c r="B4" s="32" t="s">
        <v>539</v>
      </c>
      <c r="C4" s="1"/>
      <c r="D4" s="1"/>
    </row>
    <row r="5" spans="2:10" x14ac:dyDescent="0.2">
      <c r="B5" s="27" t="s">
        <v>387</v>
      </c>
      <c r="C5" s="27"/>
      <c r="D5" s="27"/>
      <c r="H5" s="23"/>
    </row>
    <row r="6" spans="2:10" x14ac:dyDescent="0.2">
      <c r="B6" s="27" t="s">
        <v>182</v>
      </c>
      <c r="C6" s="27"/>
      <c r="D6" s="27"/>
    </row>
    <row r="9" spans="2:10" s="9" customFormat="1" x14ac:dyDescent="0.2">
      <c r="B9" s="9" t="s">
        <v>41</v>
      </c>
      <c r="F9" s="9" t="s">
        <v>23</v>
      </c>
      <c r="H9" s="9" t="s">
        <v>24</v>
      </c>
      <c r="J9" s="9" t="s">
        <v>43</v>
      </c>
    </row>
    <row r="12" spans="2:10" x14ac:dyDescent="0.2">
      <c r="B12" s="2" t="s">
        <v>276</v>
      </c>
      <c r="F12" s="2" t="s">
        <v>71</v>
      </c>
      <c r="H12" s="75">
        <f>Parameters!H18</f>
        <v>-4.8000000000000001E-2</v>
      </c>
    </row>
    <row r="14" spans="2:10" s="9" customFormat="1" x14ac:dyDescent="0.2">
      <c r="B14" s="9" t="s">
        <v>404</v>
      </c>
    </row>
    <row r="16" spans="2:10" x14ac:dyDescent="0.2">
      <c r="B16" s="1" t="s">
        <v>214</v>
      </c>
    </row>
    <row r="17" spans="2:10" x14ac:dyDescent="0.2">
      <c r="B17" s="2" t="s">
        <v>465</v>
      </c>
      <c r="F17" s="2" t="s">
        <v>269</v>
      </c>
      <c r="H17" s="45">
        <f>'Berekening kostenbasis 2021'!O87</f>
        <v>5886151.9646117743</v>
      </c>
    </row>
    <row r="18" spans="2:10" x14ac:dyDescent="0.2">
      <c r="B18" s="27" t="s">
        <v>142</v>
      </c>
      <c r="F18" s="2" t="s">
        <v>269</v>
      </c>
      <c r="H18" s="45">
        <f>'Correcties (incl. berekening)'!O70</f>
        <v>152757.97320815068</v>
      </c>
    </row>
    <row r="19" spans="2:10" x14ac:dyDescent="0.2">
      <c r="B19" s="2" t="s">
        <v>405</v>
      </c>
      <c r="F19" s="2" t="s">
        <v>269</v>
      </c>
      <c r="H19" s="46">
        <f>H17+H18</f>
        <v>6038909.9378199251</v>
      </c>
    </row>
    <row r="21" spans="2:10" x14ac:dyDescent="0.2">
      <c r="B21" s="2" t="s">
        <v>390</v>
      </c>
      <c r="F21" s="2" t="s">
        <v>123</v>
      </c>
      <c r="H21" s="45">
        <f>'Gegevens raming 2021'!O100</f>
        <v>2925.875</v>
      </c>
    </row>
    <row r="22" spans="2:10" x14ac:dyDescent="0.2">
      <c r="B22" s="2" t="s">
        <v>472</v>
      </c>
      <c r="F22" s="2" t="s">
        <v>406</v>
      </c>
      <c r="H22" s="85">
        <f>H19/H21/12</f>
        <v>171.99726400421312</v>
      </c>
    </row>
    <row r="24" spans="2:10" x14ac:dyDescent="0.2">
      <c r="B24" s="1" t="s">
        <v>167</v>
      </c>
    </row>
    <row r="25" spans="2:10" ht="25.5" x14ac:dyDescent="0.2">
      <c r="B25" s="72" t="s">
        <v>114</v>
      </c>
      <c r="C25" s="73" t="s">
        <v>115</v>
      </c>
      <c r="H25" s="99"/>
    </row>
    <row r="26" spans="2:10" x14ac:dyDescent="0.2">
      <c r="B26" s="57" t="s">
        <v>108</v>
      </c>
      <c r="C26" s="105">
        <f>'Gegevens raming 2021'!C88</f>
        <v>0.25</v>
      </c>
      <c r="F26" s="2" t="s">
        <v>393</v>
      </c>
      <c r="H26" s="102">
        <f>C26*$H$22</f>
        <v>42.99931600105328</v>
      </c>
    </row>
    <row r="27" spans="2:10" x14ac:dyDescent="0.2">
      <c r="B27" s="57" t="s">
        <v>109</v>
      </c>
      <c r="C27" s="105">
        <f>'Gegevens raming 2021'!C89</f>
        <v>0.5625</v>
      </c>
      <c r="F27" s="2" t="s">
        <v>393</v>
      </c>
      <c r="H27" s="102">
        <f>C27*$H$22</f>
        <v>96.748461002369879</v>
      </c>
    </row>
    <row r="28" spans="2:10" x14ac:dyDescent="0.2">
      <c r="B28" s="57" t="s">
        <v>110</v>
      </c>
      <c r="C28" s="105">
        <f>'Gegevens raming 2021'!C90</f>
        <v>1</v>
      </c>
      <c r="F28" s="2" t="s">
        <v>393</v>
      </c>
      <c r="H28" s="102">
        <f>C28*$H$22</f>
        <v>171.99726400421312</v>
      </c>
    </row>
    <row r="29" spans="2:10" x14ac:dyDescent="0.2">
      <c r="B29" s="57" t="s">
        <v>111</v>
      </c>
      <c r="C29" s="105">
        <f>'Gegevens raming 2021'!C91</f>
        <v>4</v>
      </c>
      <c r="F29" s="2" t="s">
        <v>393</v>
      </c>
      <c r="H29" s="102">
        <f>C29*$H$22</f>
        <v>687.98905601685249</v>
      </c>
    </row>
    <row r="30" spans="2:10" x14ac:dyDescent="0.2">
      <c r="B30" s="57" t="s">
        <v>112</v>
      </c>
      <c r="C30" s="105">
        <f>'Gegevens raming 2021'!C92</f>
        <v>16</v>
      </c>
      <c r="F30" s="2" t="s">
        <v>393</v>
      </c>
      <c r="H30" s="102">
        <f>C30*$H$22</f>
        <v>2751.9562240674099</v>
      </c>
      <c r="J30" s="100"/>
    </row>
    <row r="33" spans="2:10" s="9" customFormat="1" x14ac:dyDescent="0.2">
      <c r="B33" s="9" t="s">
        <v>185</v>
      </c>
    </row>
    <row r="35" spans="2:10" x14ac:dyDescent="0.2">
      <c r="B35" s="1" t="s">
        <v>473</v>
      </c>
    </row>
    <row r="36" spans="2:10" x14ac:dyDescent="0.2">
      <c r="B36" s="106" t="s">
        <v>474</v>
      </c>
      <c r="F36" s="2" t="s">
        <v>269</v>
      </c>
      <c r="H36" s="87">
        <f>'Berekening kostenbasis 2021'!P87</f>
        <v>91760.296046471849</v>
      </c>
    </row>
    <row r="37" spans="2:10" x14ac:dyDescent="0.2">
      <c r="B37" s="27" t="s">
        <v>188</v>
      </c>
      <c r="F37" s="2" t="s">
        <v>269</v>
      </c>
      <c r="H37" s="87">
        <f>'Correcties (incl. berekening)'!P68</f>
        <v>-15680.843135302139</v>
      </c>
    </row>
    <row r="38" spans="2:10" x14ac:dyDescent="0.2">
      <c r="B38" s="106" t="s">
        <v>475</v>
      </c>
      <c r="F38" s="2" t="s">
        <v>269</v>
      </c>
      <c r="H38" s="46">
        <f>H36+H37</f>
        <v>76079.452911169705</v>
      </c>
    </row>
    <row r="39" spans="2:10" x14ac:dyDescent="0.2">
      <c r="B39" s="106"/>
    </row>
    <row r="40" spans="2:10" x14ac:dyDescent="0.2">
      <c r="B40" s="106" t="s">
        <v>407</v>
      </c>
      <c r="F40" s="2" t="s">
        <v>85</v>
      </c>
      <c r="H40" s="87">
        <f>'Gegevens raming 2021'!P100</f>
        <v>12289</v>
      </c>
    </row>
    <row r="41" spans="2:10" x14ac:dyDescent="0.2">
      <c r="B41" s="106"/>
    </row>
    <row r="42" spans="2:10" x14ac:dyDescent="0.2">
      <c r="B42" s="106" t="s">
        <v>186</v>
      </c>
      <c r="F42" s="2" t="s">
        <v>271</v>
      </c>
      <c r="H42" s="111">
        <f>H38/H40</f>
        <v>6.1908579144901701</v>
      </c>
    </row>
    <row r="43" spans="2:10" x14ac:dyDescent="0.2">
      <c r="B43" s="2" t="s">
        <v>408</v>
      </c>
      <c r="F43" s="2" t="s">
        <v>271</v>
      </c>
      <c r="H43" s="88">
        <f>'Variabel tarief drinkwater'!H26</f>
        <v>3.3529</v>
      </c>
      <c r="J43" s="2" t="s">
        <v>521</v>
      </c>
    </row>
    <row r="44" spans="2:10" x14ac:dyDescent="0.2">
      <c r="B44" s="2" t="s">
        <v>187</v>
      </c>
      <c r="F44" s="2" t="s">
        <v>271</v>
      </c>
      <c r="H44" s="122">
        <f>H42+H43</f>
        <v>9.5437579144901701</v>
      </c>
    </row>
    <row r="45" spans="2:10" x14ac:dyDescent="0.2">
      <c r="B45" s="2" t="s">
        <v>222</v>
      </c>
      <c r="F45" s="2" t="s">
        <v>271</v>
      </c>
      <c r="H45" s="121">
        <f>ROUND(H44,3)</f>
        <v>9.5440000000000005</v>
      </c>
    </row>
    <row r="48" spans="2:10" s="9" customFormat="1" x14ac:dyDescent="0.2">
      <c r="B48" s="9" t="s">
        <v>213</v>
      </c>
    </row>
    <row r="50" spans="2:10" x14ac:dyDescent="0.2">
      <c r="B50" s="106" t="s">
        <v>177</v>
      </c>
      <c r="F50" s="2" t="s">
        <v>118</v>
      </c>
      <c r="H50" s="105">
        <f>'Gegevens raming 2021'!O61</f>
        <v>40</v>
      </c>
    </row>
    <row r="51" spans="2:10" x14ac:dyDescent="0.2">
      <c r="B51" s="106" t="s">
        <v>395</v>
      </c>
      <c r="F51" s="2" t="s">
        <v>269</v>
      </c>
      <c r="H51" s="102">
        <f>H50</f>
        <v>40</v>
      </c>
      <c r="J51" s="2" t="s">
        <v>174</v>
      </c>
    </row>
    <row r="53" spans="2:10" x14ac:dyDescent="0.2">
      <c r="B53" s="1" t="s">
        <v>175</v>
      </c>
    </row>
    <row r="54" spans="2:10" x14ac:dyDescent="0.2">
      <c r="B54" s="2" t="s">
        <v>190</v>
      </c>
      <c r="F54" s="2" t="s">
        <v>118</v>
      </c>
      <c r="H54" s="105">
        <f>'Gegevens raming 2021'!O62</f>
        <v>1082.44</v>
      </c>
    </row>
    <row r="55" spans="2:10" x14ac:dyDescent="0.2">
      <c r="B55" s="2" t="s">
        <v>409</v>
      </c>
      <c r="F55" s="2" t="s">
        <v>269</v>
      </c>
      <c r="H55" s="102">
        <f>H54*(1+$H$12)</f>
        <v>1030.48288</v>
      </c>
    </row>
    <row r="60" spans="2:10" x14ac:dyDescent="0.2">
      <c r="B60" s="2" t="s">
        <v>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49"/>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x14ac:dyDescent="0.2">
      <c r="B2" s="8" t="s">
        <v>46</v>
      </c>
    </row>
    <row r="4" spans="2:8" s="9" customFormat="1" x14ac:dyDescent="0.2">
      <c r="B4" s="9" t="s">
        <v>11</v>
      </c>
    </row>
    <row r="6" spans="2:8" x14ac:dyDescent="0.2">
      <c r="B6" s="27" t="s">
        <v>410</v>
      </c>
    </row>
    <row r="7" spans="2:8" x14ac:dyDescent="0.2">
      <c r="B7" s="2" t="s">
        <v>257</v>
      </c>
      <c r="G7" s="23"/>
      <c r="H7" s="37"/>
    </row>
    <row r="8" spans="2:8" x14ac:dyDescent="0.2">
      <c r="B8" s="2" t="s">
        <v>256</v>
      </c>
      <c r="H8" s="37"/>
    </row>
    <row r="9" spans="2:8" x14ac:dyDescent="0.2">
      <c r="B9" s="23"/>
    </row>
    <row r="10" spans="2:8" x14ac:dyDescent="0.2">
      <c r="B10" s="27" t="s">
        <v>411</v>
      </c>
      <c r="G10" s="23"/>
    </row>
    <row r="13" spans="2:8" s="9" customFormat="1" x14ac:dyDescent="0.2">
      <c r="B13" s="9" t="s">
        <v>12</v>
      </c>
    </row>
    <row r="14" spans="2:8" x14ac:dyDescent="0.2">
      <c r="C14" s="10"/>
    </row>
    <row r="15" spans="2:8" x14ac:dyDescent="0.2">
      <c r="B15" s="32" t="s">
        <v>35</v>
      </c>
      <c r="C15" s="10"/>
      <c r="D15" s="32" t="s">
        <v>13</v>
      </c>
      <c r="F15" s="14"/>
    </row>
    <row r="16" spans="2:8" x14ac:dyDescent="0.2">
      <c r="C16" s="10"/>
    </row>
    <row r="17" spans="2:7" x14ac:dyDescent="0.2">
      <c r="B17" s="40">
        <v>123</v>
      </c>
      <c r="C17" s="10"/>
      <c r="D17" s="27" t="s">
        <v>62</v>
      </c>
    </row>
    <row r="18" spans="2:7" x14ac:dyDescent="0.2">
      <c r="B18" s="45">
        <f>B17</f>
        <v>123</v>
      </c>
      <c r="C18" s="10"/>
      <c r="D18" s="2" t="s">
        <v>14</v>
      </c>
    </row>
    <row r="19" spans="2:7" x14ac:dyDescent="0.2">
      <c r="B19" s="46">
        <f>B18+B17</f>
        <v>246</v>
      </c>
      <c r="C19" s="10"/>
      <c r="D19" s="2" t="s">
        <v>15</v>
      </c>
    </row>
    <row r="20" spans="2:7" x14ac:dyDescent="0.2">
      <c r="B20" s="35">
        <f>B18+B19</f>
        <v>369</v>
      </c>
      <c r="C20" s="10"/>
      <c r="D20" s="27" t="s">
        <v>63</v>
      </c>
      <c r="E20" s="14"/>
      <c r="F20" s="6"/>
    </row>
    <row r="21" spans="2:7" x14ac:dyDescent="0.2">
      <c r="B21" s="15"/>
      <c r="C21" s="10"/>
      <c r="D21" s="27" t="s">
        <v>16</v>
      </c>
      <c r="E21" s="14"/>
    </row>
    <row r="22" spans="2:7" x14ac:dyDescent="0.2">
      <c r="B22" s="10"/>
      <c r="C22" s="10"/>
    </row>
    <row r="23" spans="2:7" x14ac:dyDescent="0.2">
      <c r="B23" s="33" t="s">
        <v>17</v>
      </c>
      <c r="C23" s="10"/>
    </row>
    <row r="24" spans="2:7" x14ac:dyDescent="0.2">
      <c r="B24" s="38">
        <f>B20+16</f>
        <v>385</v>
      </c>
      <c r="C24" s="10"/>
      <c r="D24" s="2" t="s">
        <v>64</v>
      </c>
    </row>
    <row r="25" spans="2:7" x14ac:dyDescent="0.2">
      <c r="B25" s="39">
        <f>B18*PI()</f>
        <v>386.41589639154455</v>
      </c>
      <c r="C25" s="17"/>
      <c r="D25" s="2" t="s">
        <v>18</v>
      </c>
    </row>
    <row r="26" spans="2:7" x14ac:dyDescent="0.2">
      <c r="B26" s="17"/>
      <c r="C26" s="17"/>
    </row>
    <row r="27" spans="2:7" x14ac:dyDescent="0.2">
      <c r="B27" s="33" t="s">
        <v>19</v>
      </c>
      <c r="C27" s="18"/>
    </row>
    <row r="28" spans="2:7" x14ac:dyDescent="0.2">
      <c r="B28" s="44">
        <v>123</v>
      </c>
      <c r="C28" s="18"/>
      <c r="D28" s="27" t="s">
        <v>65</v>
      </c>
      <c r="G28" s="14"/>
    </row>
    <row r="29" spans="2:7" x14ac:dyDescent="0.2">
      <c r="B29" s="41">
        <v>124</v>
      </c>
      <c r="C29" s="18"/>
      <c r="D29" s="27" t="s">
        <v>67</v>
      </c>
    </row>
    <row r="30" spans="2:7" x14ac:dyDescent="0.2">
      <c r="B30" s="42">
        <f>B28-B29</f>
        <v>-1</v>
      </c>
      <c r="C30" s="19"/>
      <c r="D30" s="2" t="s">
        <v>51</v>
      </c>
    </row>
    <row r="33" spans="2:4" x14ac:dyDescent="0.2">
      <c r="B33" s="32" t="s">
        <v>30</v>
      </c>
    </row>
    <row r="34" spans="2:4" x14ac:dyDescent="0.2">
      <c r="B34" s="1"/>
    </row>
    <row r="35" spans="2:4" x14ac:dyDescent="0.2">
      <c r="B35" s="33" t="s">
        <v>36</v>
      </c>
    </row>
    <row r="36" spans="2:4" x14ac:dyDescent="0.2">
      <c r="B36" s="24" t="s">
        <v>29</v>
      </c>
      <c r="C36" s="10"/>
      <c r="D36" s="3" t="s">
        <v>39</v>
      </c>
    </row>
    <row r="37" spans="2:4" x14ac:dyDescent="0.2">
      <c r="B37" s="40" t="s">
        <v>27</v>
      </c>
      <c r="C37" s="10"/>
      <c r="D37" s="3" t="s">
        <v>31</v>
      </c>
    </row>
    <row r="38" spans="2:4" x14ac:dyDescent="0.2">
      <c r="B38" s="36" t="s">
        <v>28</v>
      </c>
      <c r="C38" s="10"/>
      <c r="D38" s="3" t="s">
        <v>32</v>
      </c>
    </row>
    <row r="39" spans="2:4" x14ac:dyDescent="0.2">
      <c r="B39" s="16" t="s">
        <v>28</v>
      </c>
      <c r="C39" s="10"/>
      <c r="D39" s="3" t="s">
        <v>34</v>
      </c>
    </row>
    <row r="40" spans="2:4" x14ac:dyDescent="0.2">
      <c r="C40" s="10"/>
      <c r="D40" s="3"/>
    </row>
    <row r="41" spans="2:4" x14ac:dyDescent="0.2">
      <c r="B41" s="33" t="s">
        <v>38</v>
      </c>
      <c r="C41" s="10"/>
      <c r="D41" s="3"/>
    </row>
    <row r="42" spans="2:4" x14ac:dyDescent="0.2">
      <c r="B42" s="25" t="s">
        <v>33</v>
      </c>
      <c r="C42" s="10"/>
      <c r="D42" s="3" t="s">
        <v>40</v>
      </c>
    </row>
    <row r="43" spans="2:4" x14ac:dyDescent="0.2">
      <c r="B43" s="26" t="s">
        <v>37</v>
      </c>
      <c r="D43" s="27" t="s">
        <v>66</v>
      </c>
    </row>
    <row r="49" spans="2:2" x14ac:dyDescent="0.2">
      <c r="B49" s="2" t="s">
        <v>72</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34"/>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45" style="2" customWidth="1"/>
    <col min="4" max="5" width="36.28515625" style="2" customWidth="1"/>
    <col min="6" max="6" width="106.7109375" style="2" customWidth="1"/>
    <col min="7" max="7" width="4.5703125" style="2" customWidth="1"/>
    <col min="8" max="16384" width="9.140625" style="2"/>
  </cols>
  <sheetData>
    <row r="2" spans="2:6" s="13" customFormat="1" ht="18" x14ac:dyDescent="0.2">
      <c r="B2" s="4" t="s">
        <v>20</v>
      </c>
    </row>
    <row r="4" spans="2:6" s="9" customFormat="1" x14ac:dyDescent="0.2">
      <c r="B4" s="9" t="s">
        <v>21</v>
      </c>
    </row>
    <row r="6" spans="2:6" x14ac:dyDescent="0.2">
      <c r="B6" s="33" t="s">
        <v>56</v>
      </c>
    </row>
    <row r="7" spans="2:6" x14ac:dyDescent="0.2">
      <c r="B7" s="33" t="s">
        <v>57</v>
      </c>
    </row>
    <row r="9" spans="2:6" x14ac:dyDescent="0.2">
      <c r="B9" s="20" t="s">
        <v>47</v>
      </c>
      <c r="C9" s="20" t="s">
        <v>48</v>
      </c>
      <c r="D9" s="20" t="s">
        <v>49</v>
      </c>
      <c r="E9" s="20" t="s">
        <v>55</v>
      </c>
      <c r="F9" s="20" t="s">
        <v>52</v>
      </c>
    </row>
    <row r="10" spans="2:6" x14ac:dyDescent="0.2">
      <c r="B10" s="21"/>
      <c r="C10" s="28" t="s">
        <v>54</v>
      </c>
      <c r="D10" s="28" t="s">
        <v>22</v>
      </c>
      <c r="E10" s="28" t="s">
        <v>58</v>
      </c>
      <c r="F10" s="28" t="s">
        <v>53</v>
      </c>
    </row>
    <row r="11" spans="2:6" x14ac:dyDescent="0.2">
      <c r="B11" s="29">
        <v>1</v>
      </c>
      <c r="C11" s="7" t="s">
        <v>423</v>
      </c>
      <c r="D11" s="7" t="s">
        <v>421</v>
      </c>
      <c r="E11" s="7" t="s">
        <v>422</v>
      </c>
      <c r="F11" s="179" t="s">
        <v>420</v>
      </c>
    </row>
    <row r="12" spans="2:6" x14ac:dyDescent="0.2">
      <c r="B12" s="7">
        <v>2</v>
      </c>
      <c r="C12" s="7" t="s">
        <v>426</v>
      </c>
      <c r="D12" s="7"/>
      <c r="E12" s="7"/>
      <c r="F12" s="179" t="s">
        <v>427</v>
      </c>
    </row>
    <row r="13" spans="2:6" x14ac:dyDescent="0.2">
      <c r="B13" s="29">
        <v>3</v>
      </c>
      <c r="C13" s="7" t="s">
        <v>424</v>
      </c>
      <c r="D13" s="7"/>
      <c r="E13" s="7"/>
      <c r="F13" s="7" t="s">
        <v>558</v>
      </c>
    </row>
    <row r="14" spans="2:6" x14ac:dyDescent="0.2">
      <c r="B14" s="29">
        <v>4</v>
      </c>
      <c r="C14" s="7" t="s">
        <v>425</v>
      </c>
      <c r="D14" s="7"/>
      <c r="E14" s="7"/>
      <c r="F14" s="7" t="s">
        <v>559</v>
      </c>
    </row>
    <row r="15" spans="2:6" x14ac:dyDescent="0.2">
      <c r="B15" s="7">
        <v>5</v>
      </c>
      <c r="C15" s="7" t="s">
        <v>430</v>
      </c>
      <c r="D15" s="7"/>
      <c r="E15" s="7"/>
      <c r="F15" s="7" t="s">
        <v>560</v>
      </c>
    </row>
    <row r="16" spans="2:6" x14ac:dyDescent="0.2">
      <c r="B16" s="29">
        <v>6</v>
      </c>
      <c r="C16" s="7" t="s">
        <v>438</v>
      </c>
      <c r="D16" s="7" t="s">
        <v>432</v>
      </c>
      <c r="E16" s="180"/>
      <c r="F16" s="180"/>
    </row>
    <row r="17" spans="2:6" x14ac:dyDescent="0.2">
      <c r="B17" s="29">
        <v>7</v>
      </c>
      <c r="C17" s="7" t="s">
        <v>439</v>
      </c>
      <c r="D17" s="184" t="s">
        <v>433</v>
      </c>
      <c r="E17" s="185"/>
      <c r="F17" s="7"/>
    </row>
    <row r="18" spans="2:6" x14ac:dyDescent="0.2">
      <c r="B18" s="7">
        <v>8</v>
      </c>
      <c r="C18" s="7" t="s">
        <v>442</v>
      </c>
      <c r="D18" s="7" t="s">
        <v>434</v>
      </c>
      <c r="E18" s="7"/>
      <c r="F18" s="7"/>
    </row>
    <row r="19" spans="2:6" x14ac:dyDescent="0.2">
      <c r="B19" s="29">
        <v>9</v>
      </c>
      <c r="C19" s="7" t="s">
        <v>443</v>
      </c>
      <c r="D19" s="7" t="s">
        <v>435</v>
      </c>
      <c r="E19" s="7"/>
      <c r="F19" s="7"/>
    </row>
    <row r="20" spans="2:6" x14ac:dyDescent="0.2">
      <c r="B20" s="29">
        <v>10</v>
      </c>
      <c r="C20" s="7" t="s">
        <v>441</v>
      </c>
      <c r="D20" s="29" t="s">
        <v>440</v>
      </c>
      <c r="E20" s="7"/>
      <c r="F20" s="7"/>
    </row>
    <row r="21" spans="2:6" x14ac:dyDescent="0.2">
      <c r="B21" s="7">
        <v>11</v>
      </c>
      <c r="C21" s="185" t="s">
        <v>524</v>
      </c>
      <c r="D21" s="185" t="s">
        <v>436</v>
      </c>
      <c r="E21" s="7"/>
      <c r="F21" s="7" t="s">
        <v>561</v>
      </c>
    </row>
    <row r="22" spans="2:6" x14ac:dyDescent="0.2">
      <c r="B22" s="29">
        <v>12</v>
      </c>
      <c r="C22" s="29" t="s">
        <v>444</v>
      </c>
      <c r="D22" s="29" t="s">
        <v>437</v>
      </c>
      <c r="E22" s="7"/>
      <c r="F22" s="183"/>
    </row>
    <row r="23" spans="2:6" x14ac:dyDescent="0.2">
      <c r="B23" s="29">
        <v>13</v>
      </c>
      <c r="C23" s="7" t="s">
        <v>447</v>
      </c>
      <c r="D23" s="7"/>
      <c r="E23" s="7" t="s">
        <v>450</v>
      </c>
      <c r="F23" s="179" t="s">
        <v>449</v>
      </c>
    </row>
    <row r="24" spans="2:6" x14ac:dyDescent="0.2">
      <c r="B24" s="7">
        <v>14</v>
      </c>
      <c r="C24" s="7" t="s">
        <v>448</v>
      </c>
      <c r="D24" s="7"/>
      <c r="E24" s="7" t="s">
        <v>451</v>
      </c>
      <c r="F24" s="179" t="s">
        <v>452</v>
      </c>
    </row>
    <row r="25" spans="2:6" s="191" customFormat="1" x14ac:dyDescent="0.2">
      <c r="B25" s="29">
        <v>15</v>
      </c>
      <c r="C25" s="191" t="s">
        <v>453</v>
      </c>
      <c r="D25" s="7" t="s">
        <v>455</v>
      </c>
      <c r="E25" s="7" t="s">
        <v>456</v>
      </c>
      <c r="F25" s="179" t="s">
        <v>454</v>
      </c>
    </row>
    <row r="26" spans="2:6" s="191" customFormat="1" x14ac:dyDescent="0.2">
      <c r="B26" s="29">
        <v>16</v>
      </c>
      <c r="C26" s="7" t="s">
        <v>461</v>
      </c>
      <c r="D26" s="7"/>
      <c r="E26" s="7" t="s">
        <v>462</v>
      </c>
      <c r="F26" s="179" t="s">
        <v>460</v>
      </c>
    </row>
    <row r="27" spans="2:6" s="191" customFormat="1" x14ac:dyDescent="0.2">
      <c r="B27" s="7">
        <v>17</v>
      </c>
      <c r="C27" s="7" t="s">
        <v>484</v>
      </c>
      <c r="D27" s="7" t="s">
        <v>482</v>
      </c>
      <c r="E27" s="7"/>
      <c r="F27" s="7" t="s">
        <v>483</v>
      </c>
    </row>
    <row r="28" spans="2:6" s="191" customFormat="1" x14ac:dyDescent="0.2">
      <c r="B28" s="7">
        <v>18</v>
      </c>
      <c r="C28" s="7" t="s">
        <v>526</v>
      </c>
      <c r="D28" s="7"/>
      <c r="E28" s="7" t="s">
        <v>527</v>
      </c>
      <c r="F28" s="7" t="s">
        <v>528</v>
      </c>
    </row>
    <row r="29" spans="2:6" s="191" customFormat="1" x14ac:dyDescent="0.2">
      <c r="B29" s="7">
        <v>19</v>
      </c>
      <c r="C29" s="7" t="s">
        <v>532</v>
      </c>
      <c r="D29" s="7" t="s">
        <v>533</v>
      </c>
      <c r="E29" s="7"/>
      <c r="F29" s="7" t="s">
        <v>562</v>
      </c>
    </row>
    <row r="30" spans="2:6" s="191" customFormat="1" x14ac:dyDescent="0.2">
      <c r="B30" s="7">
        <v>20</v>
      </c>
      <c r="C30" s="7" t="s">
        <v>563</v>
      </c>
      <c r="D30" s="7"/>
      <c r="E30" s="7"/>
      <c r="F30" s="7" t="s">
        <v>528</v>
      </c>
    </row>
    <row r="34" spans="2:2" x14ac:dyDescent="0.2">
      <c r="B34" s="2" t="s">
        <v>72</v>
      </c>
    </row>
  </sheetData>
  <hyperlinks>
    <hyperlink ref="F11" r:id="rId1"/>
    <hyperlink ref="F12" r:id="rId2" location="/CBS/nl/dataset/84046NED/table"/>
    <hyperlink ref="F24" r:id="rId3"/>
    <hyperlink ref="F25" r:id="rId4"/>
    <hyperlink ref="F26" r:id="rId5"/>
  </hyperlinks>
  <pageMargins left="0.75" right="0.75" top="1" bottom="1" header="0.5" footer="0.5"/>
  <pageSetup paperSize="9" orientation="portrait" r:id="rId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N70"/>
  <sheetViews>
    <sheetView showGridLines="0" zoomScale="85" zoomScaleNormal="85" workbookViewId="0">
      <pane xSplit="6" ySplit="12" topLeftCell="G13" activePane="bottomRight" state="frozen"/>
      <selection activeCell="O39" sqref="O39"/>
      <selection pane="topRight" activeCell="O39" sqref="O39"/>
      <selection pane="bottomLeft" activeCell="O39" sqref="O39"/>
      <selection pane="bottomRight" activeCell="G13" sqref="G13"/>
    </sheetView>
  </sheetViews>
  <sheetFormatPr defaultRowHeight="12.75" x14ac:dyDescent="0.2"/>
  <cols>
    <col min="1" max="1" width="4.7109375" style="2" customWidth="1"/>
    <col min="2" max="2" width="51.5703125" style="2" customWidth="1"/>
    <col min="3" max="3" width="19" style="2" customWidth="1"/>
    <col min="4" max="5" width="4.7109375" style="2" customWidth="1"/>
    <col min="6" max="6" width="26.7109375" style="2" customWidth="1"/>
    <col min="7" max="7" width="2.7109375" style="2" customWidth="1"/>
    <col min="8" max="8" width="13.7109375" style="2" customWidth="1"/>
    <col min="9" max="9" width="2.7109375" style="2" customWidth="1"/>
    <col min="10" max="10" width="27" style="2" customWidth="1"/>
    <col min="11" max="11" width="2.7109375" style="2" customWidth="1"/>
    <col min="12" max="12" width="16.140625" style="2" customWidth="1"/>
    <col min="13" max="25" width="13.7109375" style="2" customWidth="1"/>
    <col min="26" max="16384" width="9.140625" style="2"/>
  </cols>
  <sheetData>
    <row r="2" spans="2:12" s="22" customFormat="1" ht="18" x14ac:dyDescent="0.2">
      <c r="B2" s="22" t="s">
        <v>29</v>
      </c>
    </row>
    <row r="3" spans="2:12" x14ac:dyDescent="0.2">
      <c r="B3" s="191"/>
      <c r="C3" s="191"/>
      <c r="D3" s="191"/>
      <c r="E3" s="191"/>
    </row>
    <row r="4" spans="2:12" x14ac:dyDescent="0.2">
      <c r="B4" s="32" t="s">
        <v>50</v>
      </c>
      <c r="C4" s="1"/>
      <c r="D4" s="1"/>
    </row>
    <row r="5" spans="2:12" x14ac:dyDescent="0.2">
      <c r="B5" s="27" t="s">
        <v>522</v>
      </c>
      <c r="C5" s="3"/>
      <c r="D5" s="3"/>
      <c r="H5" s="23"/>
    </row>
    <row r="6" spans="2:12" x14ac:dyDescent="0.2">
      <c r="B6" s="27"/>
      <c r="C6" s="3"/>
      <c r="D6" s="3"/>
      <c r="H6" s="23"/>
    </row>
    <row r="7" spans="2:12" x14ac:dyDescent="0.2">
      <c r="B7" s="27" t="s">
        <v>261</v>
      </c>
      <c r="C7" s="3"/>
      <c r="D7" s="3"/>
      <c r="H7" s="23"/>
    </row>
    <row r="8" spans="2:12" x14ac:dyDescent="0.2">
      <c r="B8" s="27" t="s">
        <v>541</v>
      </c>
      <c r="C8" s="3"/>
      <c r="D8" s="3"/>
      <c r="H8" s="23"/>
      <c r="L8" s="23"/>
    </row>
    <row r="9" spans="2:12" x14ac:dyDescent="0.2">
      <c r="B9" s="27"/>
      <c r="C9" s="3"/>
      <c r="D9" s="3"/>
      <c r="H9" s="23"/>
    </row>
    <row r="11" spans="2:12" s="9" customFormat="1" x14ac:dyDescent="0.2">
      <c r="B11" s="9" t="s">
        <v>41</v>
      </c>
      <c r="F11" s="9" t="s">
        <v>23</v>
      </c>
      <c r="H11" s="9" t="s">
        <v>24</v>
      </c>
      <c r="J11" s="9" t="s">
        <v>201</v>
      </c>
      <c r="L11" s="9" t="s">
        <v>43</v>
      </c>
    </row>
    <row r="14" spans="2:12" s="9" customFormat="1" x14ac:dyDescent="0.2">
      <c r="B14" s="9" t="s">
        <v>262</v>
      </c>
    </row>
    <row r="16" spans="2:12" x14ac:dyDescent="0.2">
      <c r="B16" s="1" t="s">
        <v>191</v>
      </c>
    </row>
    <row r="17" spans="2:14" x14ac:dyDescent="0.2">
      <c r="B17" s="2" t="s">
        <v>152</v>
      </c>
      <c r="F17" s="2" t="s">
        <v>264</v>
      </c>
      <c r="H17" s="91">
        <f>'Variabel tarief elektriciteit'!H17</f>
        <v>0.48687247561083319</v>
      </c>
      <c r="J17" s="2" t="s">
        <v>265</v>
      </c>
      <c r="L17" s="2" t="s">
        <v>202</v>
      </c>
      <c r="N17" s="119"/>
    </row>
    <row r="18" spans="2:14" x14ac:dyDescent="0.2">
      <c r="B18" s="2" t="s">
        <v>263</v>
      </c>
      <c r="F18" s="2" t="s">
        <v>264</v>
      </c>
      <c r="H18" s="95">
        <f>'Variabel tarief elektriciteit'!H24</f>
        <v>0.21464621832786021</v>
      </c>
      <c r="J18" s="2" t="s">
        <v>192</v>
      </c>
      <c r="L18" s="2" t="s">
        <v>254</v>
      </c>
      <c r="N18" s="119"/>
    </row>
    <row r="19" spans="2:14" x14ac:dyDescent="0.2">
      <c r="H19" s="101"/>
      <c r="N19" s="119"/>
    </row>
    <row r="20" spans="2:14" x14ac:dyDescent="0.2">
      <c r="B20" s="1" t="s">
        <v>193</v>
      </c>
      <c r="H20" s="101"/>
      <c r="N20" s="119"/>
    </row>
    <row r="21" spans="2:14" x14ac:dyDescent="0.2">
      <c r="B21" s="192" t="s">
        <v>384</v>
      </c>
      <c r="F21" s="2" t="s">
        <v>264</v>
      </c>
      <c r="H21" s="91">
        <f>'Variabel tarief elektriciteit'!H41</f>
        <v>0.25540000000000002</v>
      </c>
      <c r="J21" s="2" t="s">
        <v>266</v>
      </c>
      <c r="N21" s="119"/>
    </row>
    <row r="22" spans="2:14" x14ac:dyDescent="0.2">
      <c r="B22" s="2" t="s">
        <v>168</v>
      </c>
      <c r="F22" s="2" t="s">
        <v>264</v>
      </c>
      <c r="H22" s="91">
        <f>'Vaste tarieven elektriciteit'!H46</f>
        <v>0.458872</v>
      </c>
      <c r="J22" s="2" t="s">
        <v>266</v>
      </c>
      <c r="N22" s="119"/>
    </row>
    <row r="23" spans="2:14" x14ac:dyDescent="0.2">
      <c r="N23" s="116"/>
    </row>
    <row r="24" spans="2:14" x14ac:dyDescent="0.2">
      <c r="B24" s="1" t="s">
        <v>194</v>
      </c>
      <c r="N24" s="116"/>
    </row>
    <row r="25" spans="2:14" x14ac:dyDescent="0.2">
      <c r="B25" s="1" t="s">
        <v>114</v>
      </c>
      <c r="C25" s="1" t="s">
        <v>195</v>
      </c>
      <c r="L25" s="23"/>
      <c r="N25" s="116"/>
    </row>
    <row r="26" spans="2:14" x14ac:dyDescent="0.2">
      <c r="B26" s="2" t="s">
        <v>96</v>
      </c>
      <c r="C26" s="112">
        <v>3.1</v>
      </c>
      <c r="F26" s="2" t="s">
        <v>267</v>
      </c>
      <c r="H26" s="113">
        <f>'Vaste tarieven elektriciteit'!H26</f>
        <v>29.864466790680329</v>
      </c>
      <c r="J26" s="2" t="s">
        <v>265</v>
      </c>
      <c r="N26" s="116"/>
    </row>
    <row r="27" spans="2:14" x14ac:dyDescent="0.2">
      <c r="B27" s="2" t="s">
        <v>98</v>
      </c>
      <c r="C27" s="112">
        <v>4.4000000000000004</v>
      </c>
      <c r="F27" s="2" t="s">
        <v>267</v>
      </c>
      <c r="H27" s="113">
        <f>'Vaste tarieven elektriciteit'!H27</f>
        <v>42.388275444836601</v>
      </c>
      <c r="J27" s="2" t="s">
        <v>265</v>
      </c>
      <c r="N27" s="116"/>
    </row>
    <row r="28" spans="2:14" x14ac:dyDescent="0.2">
      <c r="B28" s="2" t="s">
        <v>99</v>
      </c>
      <c r="C28" s="112">
        <v>4.4000000000000004</v>
      </c>
      <c r="F28" s="2" t="s">
        <v>267</v>
      </c>
      <c r="H28" s="113">
        <f>'Vaste tarieven elektriciteit'!H28</f>
        <v>42.388275444836601</v>
      </c>
      <c r="J28" s="2" t="s">
        <v>265</v>
      </c>
      <c r="N28" s="116"/>
    </row>
    <row r="29" spans="2:14" x14ac:dyDescent="0.2">
      <c r="B29" s="2" t="s">
        <v>100</v>
      </c>
      <c r="C29" s="112">
        <v>11.4</v>
      </c>
      <c r="F29" s="2" t="s">
        <v>267</v>
      </c>
      <c r="H29" s="113">
        <f>'Vaste tarieven elektriciteit'!H29</f>
        <v>109.82416819798573</v>
      </c>
      <c r="J29" s="2" t="s">
        <v>265</v>
      </c>
      <c r="N29" s="116"/>
    </row>
    <row r="30" spans="2:14" x14ac:dyDescent="0.2">
      <c r="B30" s="2" t="s">
        <v>101</v>
      </c>
      <c r="C30" s="112">
        <v>19.2</v>
      </c>
      <c r="F30" s="2" t="s">
        <v>267</v>
      </c>
      <c r="H30" s="113">
        <f>'Vaste tarieven elektriciteit'!H30</f>
        <v>184.96702012292332</v>
      </c>
      <c r="J30" s="2" t="s">
        <v>265</v>
      </c>
      <c r="N30" s="116"/>
    </row>
    <row r="31" spans="2:14" x14ac:dyDescent="0.2">
      <c r="B31" s="2" t="s">
        <v>102</v>
      </c>
      <c r="C31" s="112">
        <v>30.4</v>
      </c>
      <c r="F31" s="2" t="s">
        <v>267</v>
      </c>
      <c r="H31" s="113">
        <f>'Vaste tarieven elektriciteit'!H31</f>
        <v>292.86444852796194</v>
      </c>
      <c r="J31" s="2" t="s">
        <v>265</v>
      </c>
      <c r="N31" s="116"/>
    </row>
    <row r="32" spans="2:14" x14ac:dyDescent="0.2">
      <c r="B32" s="2" t="s">
        <v>103</v>
      </c>
      <c r="C32" s="112">
        <v>38.1</v>
      </c>
      <c r="F32" s="2" t="s">
        <v>267</v>
      </c>
      <c r="H32" s="113">
        <f>'Vaste tarieven elektriciteit'!H32</f>
        <v>367.04393055642601</v>
      </c>
      <c r="J32" s="2" t="s">
        <v>265</v>
      </c>
      <c r="N32" s="116"/>
    </row>
    <row r="33" spans="2:14" x14ac:dyDescent="0.2">
      <c r="B33" s="2" t="s">
        <v>104</v>
      </c>
      <c r="C33" s="112">
        <v>47.6</v>
      </c>
      <c r="F33" s="2" t="s">
        <v>267</v>
      </c>
      <c r="H33" s="113">
        <f>'Vaste tarieven elektriciteit'!H33</f>
        <v>458.56407072141411</v>
      </c>
      <c r="J33" s="2" t="s">
        <v>265</v>
      </c>
      <c r="N33" s="116"/>
    </row>
    <row r="34" spans="2:14" s="191" customFormat="1" x14ac:dyDescent="0.2">
      <c r="B34" s="192" t="s">
        <v>529</v>
      </c>
      <c r="C34" s="112">
        <v>52.5</v>
      </c>
      <c r="F34" s="191" t="s">
        <v>267</v>
      </c>
      <c r="H34" s="113">
        <f>'Vaste tarieven elektriciteit'!H34</f>
        <v>505.76919564861845</v>
      </c>
      <c r="J34" s="191" t="s">
        <v>265</v>
      </c>
      <c r="N34" s="116"/>
    </row>
    <row r="35" spans="2:14" x14ac:dyDescent="0.2">
      <c r="B35" s="192" t="s">
        <v>105</v>
      </c>
      <c r="C35" s="112">
        <v>60.9</v>
      </c>
      <c r="F35" s="2" t="s">
        <v>267</v>
      </c>
      <c r="H35" s="113">
        <f>'Vaste tarieven elektriciteit'!H35</f>
        <v>586.6922669523974</v>
      </c>
      <c r="J35" s="2" t="s">
        <v>265</v>
      </c>
      <c r="N35" s="116"/>
    </row>
    <row r="36" spans="2:14" s="191" customFormat="1" x14ac:dyDescent="0.2">
      <c r="B36" s="192" t="s">
        <v>530</v>
      </c>
      <c r="C36" s="112">
        <v>65.7</v>
      </c>
      <c r="F36" s="191" t="s">
        <v>267</v>
      </c>
      <c r="H36" s="113">
        <f>'Vaste tarieven elektriciteit'!H36</f>
        <v>632.93402198312833</v>
      </c>
      <c r="J36" s="191" t="s">
        <v>265</v>
      </c>
      <c r="N36" s="116"/>
    </row>
    <row r="37" spans="2:14" x14ac:dyDescent="0.2">
      <c r="B37" s="2" t="s">
        <v>106</v>
      </c>
      <c r="C37" s="112">
        <v>76.099999999999994</v>
      </c>
      <c r="F37" s="2" t="s">
        <v>267</v>
      </c>
      <c r="H37" s="113">
        <f>'Vaste tarieven elektriciteit'!H37</f>
        <v>733.12449121637837</v>
      </c>
      <c r="J37" s="2" t="s">
        <v>265</v>
      </c>
      <c r="N37" s="116"/>
    </row>
    <row r="38" spans="2:14" x14ac:dyDescent="0.2">
      <c r="B38" s="2" t="s">
        <v>196</v>
      </c>
      <c r="C38" s="112"/>
      <c r="F38" s="2" t="s">
        <v>268</v>
      </c>
      <c r="H38" s="113">
        <f>'Vaste tarieven elektriciteit'!H38</f>
        <v>9.63369896473559</v>
      </c>
      <c r="J38" s="2" t="s">
        <v>265</v>
      </c>
      <c r="L38" s="2" t="s">
        <v>523</v>
      </c>
      <c r="N38" s="116"/>
    </row>
    <row r="39" spans="2:14" x14ac:dyDescent="0.2">
      <c r="N39" s="116"/>
    </row>
    <row r="40" spans="2:14" x14ac:dyDescent="0.2">
      <c r="B40" s="1" t="s">
        <v>176</v>
      </c>
      <c r="N40" s="116"/>
    </row>
    <row r="41" spans="2:14" x14ac:dyDescent="0.2">
      <c r="B41" s="2" t="s">
        <v>173</v>
      </c>
      <c r="F41" s="2" t="s">
        <v>269</v>
      </c>
      <c r="H41" s="113">
        <f>'Vaste tarieven elektriciteit'!H52</f>
        <v>40</v>
      </c>
      <c r="J41" s="2" t="s">
        <v>265</v>
      </c>
      <c r="N41" s="116"/>
    </row>
    <row r="42" spans="2:14" x14ac:dyDescent="0.2">
      <c r="B42" s="2" t="s">
        <v>197</v>
      </c>
      <c r="F42" s="2" t="s">
        <v>269</v>
      </c>
      <c r="H42" s="113">
        <f>'Vaste tarieven elektriciteit'!H56</f>
        <v>1513.5562399999999</v>
      </c>
      <c r="J42" s="2" t="s">
        <v>265</v>
      </c>
      <c r="N42" s="116"/>
    </row>
    <row r="43" spans="2:14" x14ac:dyDescent="0.2">
      <c r="B43" s="5" t="s">
        <v>198</v>
      </c>
      <c r="N43" s="116"/>
    </row>
    <row r="44" spans="2:14" x14ac:dyDescent="0.2">
      <c r="N44" s="116"/>
    </row>
    <row r="45" spans="2:14" x14ac:dyDescent="0.2">
      <c r="N45" s="116"/>
    </row>
    <row r="46" spans="2:14" s="9" customFormat="1" x14ac:dyDescent="0.2">
      <c r="B46" s="9" t="s">
        <v>270</v>
      </c>
      <c r="N46" s="117"/>
    </row>
    <row r="47" spans="2:14" x14ac:dyDescent="0.2">
      <c r="N47" s="116"/>
    </row>
    <row r="48" spans="2:14" x14ac:dyDescent="0.2">
      <c r="B48" s="1" t="s">
        <v>191</v>
      </c>
      <c r="N48" s="116"/>
    </row>
    <row r="49" spans="2:14" x14ac:dyDescent="0.2">
      <c r="B49" s="27" t="s">
        <v>199</v>
      </c>
      <c r="F49" s="2" t="s">
        <v>271</v>
      </c>
      <c r="H49" s="91">
        <f>'Variabel tarief drinkwater'!H26</f>
        <v>3.3529</v>
      </c>
      <c r="J49" s="2" t="s">
        <v>265</v>
      </c>
      <c r="N49" s="118"/>
    </row>
    <row r="50" spans="2:14" x14ac:dyDescent="0.2">
      <c r="H50" s="101"/>
      <c r="N50" s="118"/>
    </row>
    <row r="51" spans="2:14" x14ac:dyDescent="0.2">
      <c r="B51" s="1" t="s">
        <v>193</v>
      </c>
      <c r="H51" s="101"/>
      <c r="N51" s="118"/>
    </row>
    <row r="52" spans="2:14" x14ac:dyDescent="0.2">
      <c r="B52" s="27" t="s">
        <v>170</v>
      </c>
      <c r="F52" s="2" t="s">
        <v>271</v>
      </c>
      <c r="H52" s="93">
        <f>'Variabel tarief drinkwater'!H35</f>
        <v>3.8119999999999998</v>
      </c>
      <c r="J52" s="2" t="s">
        <v>265</v>
      </c>
      <c r="N52" s="118"/>
    </row>
    <row r="53" spans="2:14" x14ac:dyDescent="0.2">
      <c r="B53" s="2" t="s">
        <v>187</v>
      </c>
      <c r="F53" s="2" t="s">
        <v>271</v>
      </c>
      <c r="H53" s="93">
        <f>'Vaste tarieven drinkwater'!H45</f>
        <v>9.5440000000000005</v>
      </c>
      <c r="J53" s="2" t="s">
        <v>265</v>
      </c>
      <c r="N53" s="118"/>
    </row>
    <row r="54" spans="2:14" x14ac:dyDescent="0.2">
      <c r="N54" s="116"/>
    </row>
    <row r="55" spans="2:14" x14ac:dyDescent="0.2">
      <c r="B55" s="1" t="s">
        <v>200</v>
      </c>
      <c r="N55" s="116"/>
    </row>
    <row r="56" spans="2:14" x14ac:dyDescent="0.2">
      <c r="B56" s="1" t="s">
        <v>114</v>
      </c>
      <c r="N56" s="116"/>
    </row>
    <row r="57" spans="2:14" x14ac:dyDescent="0.2">
      <c r="B57" s="2" t="s">
        <v>108</v>
      </c>
      <c r="F57" s="2" t="s">
        <v>267</v>
      </c>
      <c r="H57" s="113">
        <f>'Vaste tarieven drinkwater'!H26</f>
        <v>42.99931600105328</v>
      </c>
      <c r="J57" s="2" t="s">
        <v>265</v>
      </c>
      <c r="N57" s="116"/>
    </row>
    <row r="58" spans="2:14" x14ac:dyDescent="0.2">
      <c r="B58" s="2" t="s">
        <v>109</v>
      </c>
      <c r="F58" s="2" t="s">
        <v>267</v>
      </c>
      <c r="H58" s="113">
        <f>'Vaste tarieven drinkwater'!H27</f>
        <v>96.748461002369879</v>
      </c>
      <c r="J58" s="2" t="s">
        <v>265</v>
      </c>
      <c r="N58" s="116"/>
    </row>
    <row r="59" spans="2:14" x14ac:dyDescent="0.2">
      <c r="B59" s="2" t="s">
        <v>110</v>
      </c>
      <c r="F59" s="2" t="s">
        <v>267</v>
      </c>
      <c r="H59" s="113">
        <f>'Vaste tarieven drinkwater'!H28</f>
        <v>171.99726400421312</v>
      </c>
      <c r="J59" s="2" t="s">
        <v>265</v>
      </c>
      <c r="N59" s="116"/>
    </row>
    <row r="60" spans="2:14" x14ac:dyDescent="0.2">
      <c r="B60" s="2" t="s">
        <v>111</v>
      </c>
      <c r="F60" s="2" t="s">
        <v>267</v>
      </c>
      <c r="H60" s="113">
        <f>'Vaste tarieven drinkwater'!H29</f>
        <v>687.98905601685249</v>
      </c>
      <c r="J60" s="2" t="s">
        <v>265</v>
      </c>
      <c r="N60" s="116"/>
    </row>
    <row r="61" spans="2:14" x14ac:dyDescent="0.2">
      <c r="B61" s="2" t="s">
        <v>112</v>
      </c>
      <c r="F61" s="2" t="s">
        <v>267</v>
      </c>
      <c r="H61" s="113">
        <f>'Vaste tarieven drinkwater'!H30</f>
        <v>2751.9562240674099</v>
      </c>
      <c r="J61" s="2" t="s">
        <v>265</v>
      </c>
      <c r="N61" s="116"/>
    </row>
    <row r="62" spans="2:14" x14ac:dyDescent="0.2">
      <c r="N62" s="116"/>
    </row>
    <row r="63" spans="2:14" x14ac:dyDescent="0.2">
      <c r="B63" s="1" t="s">
        <v>176</v>
      </c>
      <c r="N63" s="116"/>
    </row>
    <row r="64" spans="2:14" x14ac:dyDescent="0.2">
      <c r="B64" s="2" t="s">
        <v>173</v>
      </c>
      <c r="F64" s="2" t="s">
        <v>269</v>
      </c>
      <c r="H64" s="113">
        <f>'Vaste tarieven drinkwater'!H51</f>
        <v>40</v>
      </c>
      <c r="J64" s="2" t="s">
        <v>265</v>
      </c>
      <c r="N64" s="116"/>
    </row>
    <row r="65" spans="2:14" x14ac:dyDescent="0.2">
      <c r="B65" s="2" t="s">
        <v>197</v>
      </c>
      <c r="F65" s="2" t="s">
        <v>269</v>
      </c>
      <c r="H65" s="113">
        <f>'Vaste tarieven drinkwater'!H55</f>
        <v>1030.48288</v>
      </c>
      <c r="J65" s="2" t="s">
        <v>265</v>
      </c>
      <c r="N65" s="116"/>
    </row>
    <row r="66" spans="2:14" x14ac:dyDescent="0.2">
      <c r="B66" s="5" t="s">
        <v>198</v>
      </c>
    </row>
    <row r="70" spans="2:14" x14ac:dyDescent="0.2">
      <c r="B70" s="2" t="s">
        <v>72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K89"/>
  <sheetViews>
    <sheetView showGridLines="0" zoomScale="85" zoomScaleNormal="85" workbookViewId="0"/>
  </sheetViews>
  <sheetFormatPr defaultRowHeight="12.75" x14ac:dyDescent="0.2"/>
  <cols>
    <col min="1" max="2" width="2.85546875" style="107" customWidth="1"/>
    <col min="3" max="3" width="41" style="107" customWidth="1"/>
    <col min="4" max="4" width="16.140625" style="107" customWidth="1"/>
    <col min="5" max="5" width="4.85546875" style="107" customWidth="1"/>
    <col min="6" max="6" width="24.85546875" style="107" customWidth="1"/>
    <col min="7" max="7" width="13" style="107" customWidth="1"/>
    <col min="8" max="8" width="4.5703125" style="107" customWidth="1"/>
    <col min="9" max="9" width="13" style="107" customWidth="1"/>
    <col min="10" max="10" width="4.85546875" style="107" customWidth="1"/>
    <col min="11" max="15" width="9.140625" style="107"/>
    <col min="16" max="16" width="10.28515625" style="107" bestFit="1" customWidth="1"/>
    <col min="17" max="16384" width="9.140625" style="107"/>
  </cols>
  <sheetData>
    <row r="2" spans="2:9" s="8" customFormat="1" ht="18" x14ac:dyDescent="0.2">
      <c r="C2" s="8" t="s">
        <v>544</v>
      </c>
    </row>
    <row r="3" spans="2:9" x14ac:dyDescent="0.2">
      <c r="C3" s="189"/>
      <c r="D3" s="189"/>
      <c r="E3" s="189"/>
      <c r="F3" s="189"/>
    </row>
    <row r="4" spans="2:9" x14ac:dyDescent="0.2">
      <c r="C4" s="32" t="s">
        <v>13</v>
      </c>
    </row>
    <row r="5" spans="2:9" x14ac:dyDescent="0.2">
      <c r="C5" s="107" t="s">
        <v>272</v>
      </c>
    </row>
    <row r="7" spans="2:9" s="9" customFormat="1" x14ac:dyDescent="0.2">
      <c r="C7" s="9" t="s">
        <v>543</v>
      </c>
      <c r="F7" s="9" t="s">
        <v>23</v>
      </c>
    </row>
    <row r="9" spans="2:9" x14ac:dyDescent="0.2">
      <c r="C9" s="78" t="s">
        <v>223</v>
      </c>
      <c r="D9" s="2"/>
      <c r="E9" s="2"/>
      <c r="F9" s="2" t="s">
        <v>264</v>
      </c>
      <c r="G9" s="164">
        <f>'Resultaat - Tarieven 2021'!H17</f>
        <v>0.48687247561083319</v>
      </c>
    </row>
    <row r="10" spans="2:9" ht="13.5" thickBot="1" x14ac:dyDescent="0.25">
      <c r="G10" s="165"/>
    </row>
    <row r="11" spans="2:9" x14ac:dyDescent="0.2">
      <c r="B11" s="124"/>
      <c r="C11" s="125"/>
      <c r="D11" s="125"/>
      <c r="E11" s="125"/>
      <c r="F11" s="125"/>
      <c r="G11" s="166"/>
      <c r="H11" s="126"/>
    </row>
    <row r="12" spans="2:9" s="128" customFormat="1" x14ac:dyDescent="0.2">
      <c r="B12" s="127"/>
      <c r="C12" s="128" t="s">
        <v>273</v>
      </c>
      <c r="F12" s="128" t="s">
        <v>23</v>
      </c>
      <c r="G12" s="167" t="s">
        <v>234</v>
      </c>
      <c r="H12" s="129"/>
    </row>
    <row r="13" spans="2:9" x14ac:dyDescent="0.2">
      <c r="B13" s="130"/>
      <c r="C13" s="131"/>
      <c r="D13" s="131"/>
      <c r="E13" s="131"/>
      <c r="F13" s="131"/>
      <c r="G13" s="168"/>
      <c r="H13" s="132"/>
    </row>
    <row r="14" spans="2:9" x14ac:dyDescent="0.2">
      <c r="B14" s="130"/>
      <c r="C14" s="135" t="s">
        <v>224</v>
      </c>
      <c r="D14" s="133"/>
      <c r="E14" s="133"/>
      <c r="F14" s="133"/>
      <c r="G14" s="169"/>
      <c r="H14" s="134"/>
      <c r="I14" s="2"/>
    </row>
    <row r="15" spans="2:9" x14ac:dyDescent="0.2">
      <c r="B15" s="130"/>
      <c r="C15" s="171" t="s">
        <v>225</v>
      </c>
      <c r="D15" s="133"/>
      <c r="E15" s="133"/>
      <c r="F15" s="133" t="s">
        <v>264</v>
      </c>
      <c r="G15" s="170">
        <f>'Resultaat - Tarieven 2021'!H21</f>
        <v>0.25540000000000002</v>
      </c>
      <c r="H15" s="134"/>
    </row>
    <row r="16" spans="2:9" x14ac:dyDescent="0.2">
      <c r="B16" s="130"/>
      <c r="C16" s="133" t="s">
        <v>168</v>
      </c>
      <c r="D16" s="133"/>
      <c r="E16" s="133"/>
      <c r="F16" s="133" t="s">
        <v>264</v>
      </c>
      <c r="G16" s="170">
        <f>'Resultaat - Tarieven 2021'!H22</f>
        <v>0.458872</v>
      </c>
      <c r="H16" s="134"/>
    </row>
    <row r="17" spans="2:9" x14ac:dyDescent="0.2">
      <c r="B17" s="130"/>
      <c r="C17" s="133"/>
      <c r="D17" s="133"/>
      <c r="E17" s="133"/>
      <c r="F17" s="133"/>
      <c r="G17" s="163"/>
      <c r="H17" s="134"/>
      <c r="I17" s="2"/>
    </row>
    <row r="18" spans="2:9" x14ac:dyDescent="0.2">
      <c r="B18" s="130"/>
      <c r="C18" s="135" t="s">
        <v>226</v>
      </c>
      <c r="D18" s="133"/>
      <c r="E18" s="133"/>
      <c r="F18" s="133"/>
      <c r="G18" s="163"/>
      <c r="H18" s="134"/>
      <c r="I18" s="2"/>
    </row>
    <row r="19" spans="2:9" x14ac:dyDescent="0.2">
      <c r="B19" s="130"/>
      <c r="C19" s="171" t="s">
        <v>114</v>
      </c>
      <c r="D19" s="175" t="s">
        <v>195</v>
      </c>
      <c r="E19" s="135"/>
      <c r="F19" s="133"/>
      <c r="G19" s="163"/>
      <c r="H19" s="134"/>
      <c r="I19" s="2"/>
    </row>
    <row r="20" spans="2:9" x14ac:dyDescent="0.2">
      <c r="B20" s="130"/>
      <c r="C20" s="191" t="s">
        <v>96</v>
      </c>
      <c r="D20" s="112">
        <v>3.1</v>
      </c>
      <c r="E20" s="161"/>
      <c r="F20" s="133" t="s">
        <v>267</v>
      </c>
      <c r="G20" s="162">
        <f>'Resultaat - Tarieven 2021'!H26</f>
        <v>29.864466790680329</v>
      </c>
      <c r="H20" s="134"/>
    </row>
    <row r="21" spans="2:9" x14ac:dyDescent="0.2">
      <c r="B21" s="130"/>
      <c r="C21" s="191" t="s">
        <v>98</v>
      </c>
      <c r="D21" s="112">
        <v>4.4000000000000004</v>
      </c>
      <c r="E21" s="161"/>
      <c r="F21" s="133" t="s">
        <v>267</v>
      </c>
      <c r="G21" s="162">
        <f>'Resultaat - Tarieven 2021'!H27</f>
        <v>42.388275444836601</v>
      </c>
      <c r="H21" s="134"/>
    </row>
    <row r="22" spans="2:9" x14ac:dyDescent="0.2">
      <c r="B22" s="130"/>
      <c r="C22" s="191" t="s">
        <v>99</v>
      </c>
      <c r="D22" s="112">
        <v>4.4000000000000004</v>
      </c>
      <c r="E22" s="161"/>
      <c r="F22" s="133" t="s">
        <v>267</v>
      </c>
      <c r="G22" s="162">
        <f>'Resultaat - Tarieven 2021'!H28</f>
        <v>42.388275444836601</v>
      </c>
      <c r="H22" s="134"/>
    </row>
    <row r="23" spans="2:9" x14ac:dyDescent="0.2">
      <c r="B23" s="130"/>
      <c r="C23" s="191" t="s">
        <v>100</v>
      </c>
      <c r="D23" s="112">
        <v>11.4</v>
      </c>
      <c r="E23" s="161"/>
      <c r="F23" s="133" t="s">
        <v>267</v>
      </c>
      <c r="G23" s="162">
        <f>'Resultaat - Tarieven 2021'!H29</f>
        <v>109.82416819798573</v>
      </c>
      <c r="H23" s="134"/>
    </row>
    <row r="24" spans="2:9" x14ac:dyDescent="0.2">
      <c r="B24" s="130"/>
      <c r="C24" s="191" t="s">
        <v>101</v>
      </c>
      <c r="D24" s="112">
        <v>19.2</v>
      </c>
      <c r="E24" s="161"/>
      <c r="F24" s="133" t="s">
        <v>267</v>
      </c>
      <c r="G24" s="162">
        <f>'Resultaat - Tarieven 2021'!H30</f>
        <v>184.96702012292332</v>
      </c>
      <c r="H24" s="134"/>
    </row>
    <row r="25" spans="2:9" x14ac:dyDescent="0.2">
      <c r="B25" s="130"/>
      <c r="C25" s="191" t="s">
        <v>102</v>
      </c>
      <c r="D25" s="112">
        <v>30.4</v>
      </c>
      <c r="E25" s="161"/>
      <c r="F25" s="133" t="s">
        <v>267</v>
      </c>
      <c r="G25" s="162">
        <f>'Resultaat - Tarieven 2021'!H31</f>
        <v>292.86444852796194</v>
      </c>
      <c r="H25" s="134"/>
    </row>
    <row r="26" spans="2:9" x14ac:dyDescent="0.2">
      <c r="B26" s="130"/>
      <c r="C26" s="191" t="s">
        <v>103</v>
      </c>
      <c r="D26" s="112">
        <v>38.1</v>
      </c>
      <c r="E26" s="161"/>
      <c r="F26" s="133" t="s">
        <v>267</v>
      </c>
      <c r="G26" s="162">
        <f>'Resultaat - Tarieven 2021'!H32</f>
        <v>367.04393055642601</v>
      </c>
      <c r="H26" s="134"/>
    </row>
    <row r="27" spans="2:9" x14ac:dyDescent="0.2">
      <c r="B27" s="130"/>
      <c r="C27" s="191" t="s">
        <v>104</v>
      </c>
      <c r="D27" s="112">
        <v>47.6</v>
      </c>
      <c r="E27" s="161"/>
      <c r="F27" s="133" t="s">
        <v>267</v>
      </c>
      <c r="G27" s="162">
        <f>'Resultaat - Tarieven 2021'!H33</f>
        <v>458.56407072141411</v>
      </c>
      <c r="H27" s="134"/>
    </row>
    <row r="28" spans="2:9" x14ac:dyDescent="0.2">
      <c r="B28" s="130"/>
      <c r="C28" s="192" t="s">
        <v>529</v>
      </c>
      <c r="D28" s="112">
        <v>52.5</v>
      </c>
      <c r="E28" s="161"/>
      <c r="F28" s="133" t="s">
        <v>267</v>
      </c>
      <c r="G28" s="162">
        <f>'Resultaat - Tarieven 2021'!H34</f>
        <v>505.76919564861845</v>
      </c>
      <c r="H28" s="134"/>
    </row>
    <row r="29" spans="2:9" x14ac:dyDescent="0.2">
      <c r="B29" s="130"/>
      <c r="C29" s="192" t="s">
        <v>105</v>
      </c>
      <c r="D29" s="112">
        <v>60.9</v>
      </c>
      <c r="E29" s="161"/>
      <c r="F29" s="133" t="s">
        <v>267</v>
      </c>
      <c r="G29" s="162">
        <f>'Resultaat - Tarieven 2021'!H35</f>
        <v>586.6922669523974</v>
      </c>
      <c r="H29" s="134"/>
    </row>
    <row r="30" spans="2:9" s="189" customFormat="1" x14ac:dyDescent="0.2">
      <c r="B30" s="130"/>
      <c r="C30" s="192" t="s">
        <v>530</v>
      </c>
      <c r="D30" s="112">
        <v>65.7</v>
      </c>
      <c r="E30" s="161"/>
      <c r="F30" s="133" t="s">
        <v>267</v>
      </c>
      <c r="G30" s="162">
        <f>'Resultaat - Tarieven 2021'!H36</f>
        <v>632.93402198312833</v>
      </c>
      <c r="H30" s="134"/>
    </row>
    <row r="31" spans="2:9" s="189" customFormat="1" x14ac:dyDescent="0.2">
      <c r="B31" s="130"/>
      <c r="C31" s="191" t="s">
        <v>106</v>
      </c>
      <c r="D31" s="112">
        <v>76.099999999999994</v>
      </c>
      <c r="E31" s="161"/>
      <c r="F31" s="133" t="s">
        <v>267</v>
      </c>
      <c r="G31" s="162">
        <f>'Resultaat - Tarieven 2021'!H37</f>
        <v>733.12449121637837</v>
      </c>
      <c r="H31" s="134"/>
    </row>
    <row r="32" spans="2:9" x14ac:dyDescent="0.2">
      <c r="B32" s="130"/>
      <c r="C32" s="133" t="s">
        <v>196</v>
      </c>
      <c r="D32" s="136"/>
      <c r="E32" s="136"/>
      <c r="F32" s="133" t="s">
        <v>268</v>
      </c>
      <c r="G32" s="162">
        <f>'Resultaat - Tarieven 2021'!H38</f>
        <v>9.63369896473559</v>
      </c>
      <c r="H32" s="134"/>
    </row>
    <row r="33" spans="1:11" x14ac:dyDescent="0.2">
      <c r="B33" s="130"/>
      <c r="C33" s="133"/>
      <c r="D33" s="133"/>
      <c r="E33" s="133"/>
      <c r="F33" s="133"/>
      <c r="G33" s="163"/>
      <c r="H33" s="134"/>
    </row>
    <row r="34" spans="1:11" x14ac:dyDescent="0.2">
      <c r="B34" s="130"/>
      <c r="C34" s="135" t="s">
        <v>176</v>
      </c>
      <c r="D34" s="133"/>
      <c r="E34" s="133"/>
      <c r="F34" s="133"/>
      <c r="G34" s="163"/>
      <c r="H34" s="134"/>
    </row>
    <row r="35" spans="1:11" x14ac:dyDescent="0.2">
      <c r="A35" s="159"/>
      <c r="B35" s="130"/>
      <c r="C35" s="133" t="s">
        <v>173</v>
      </c>
      <c r="D35" s="133"/>
      <c r="E35" s="133"/>
      <c r="F35" s="133" t="s">
        <v>269</v>
      </c>
      <c r="G35" s="162">
        <f>'Resultaat - Tarieven 2021'!H41</f>
        <v>40</v>
      </c>
      <c r="H35" s="134"/>
    </row>
    <row r="36" spans="1:11" x14ac:dyDescent="0.2">
      <c r="A36" s="159"/>
      <c r="B36" s="130"/>
      <c r="C36" s="133" t="s">
        <v>197</v>
      </c>
      <c r="D36" s="133"/>
      <c r="E36" s="133"/>
      <c r="F36" s="133" t="s">
        <v>269</v>
      </c>
      <c r="G36" s="162">
        <f>'Resultaat - Tarieven 2021'!H42</f>
        <v>1513.5562399999999</v>
      </c>
      <c r="H36" s="134"/>
    </row>
    <row r="37" spans="1:11" x14ac:dyDescent="0.2">
      <c r="B37" s="130"/>
      <c r="C37" s="172" t="s">
        <v>198</v>
      </c>
      <c r="D37" s="133"/>
      <c r="E37" s="133"/>
      <c r="F37" s="133"/>
      <c r="G37" s="133"/>
      <c r="H37" s="134"/>
      <c r="I37" s="2"/>
    </row>
    <row r="38" spans="1:11" ht="13.5" thickBot="1" x14ac:dyDescent="0.25">
      <c r="B38" s="146"/>
      <c r="C38" s="173"/>
      <c r="D38" s="139"/>
      <c r="E38" s="139"/>
      <c r="F38" s="139"/>
      <c r="G38" s="139"/>
      <c r="H38" s="140"/>
      <c r="I38" s="2"/>
    </row>
    <row r="39" spans="1:11" ht="13.5" thickBot="1" x14ac:dyDescent="0.25"/>
    <row r="40" spans="1:11" x14ac:dyDescent="0.2">
      <c r="B40" s="124"/>
      <c r="C40" s="125"/>
      <c r="D40" s="125"/>
      <c r="E40" s="125"/>
      <c r="F40" s="125"/>
      <c r="G40" s="125"/>
      <c r="H40" s="125"/>
      <c r="I40" s="125"/>
      <c r="J40" s="126"/>
      <c r="K40" s="131"/>
    </row>
    <row r="41" spans="1:11" s="128" customFormat="1" x14ac:dyDescent="0.2">
      <c r="B41" s="127"/>
      <c r="C41" s="128" t="s">
        <v>274</v>
      </c>
      <c r="F41" s="128" t="s">
        <v>227</v>
      </c>
      <c r="J41" s="129"/>
    </row>
    <row r="42" spans="1:11" x14ac:dyDescent="0.2">
      <c r="B42" s="130"/>
      <c r="C42" s="131"/>
      <c r="D42" s="131"/>
      <c r="E42" s="131"/>
      <c r="F42" s="131"/>
      <c r="G42" s="131"/>
      <c r="H42" s="131"/>
      <c r="I42" s="131"/>
      <c r="J42" s="132"/>
      <c r="K42" s="131"/>
    </row>
    <row r="43" spans="1:11" x14ac:dyDescent="0.2">
      <c r="B43" s="130"/>
      <c r="C43" s="174" t="s">
        <v>228</v>
      </c>
      <c r="D43" s="131"/>
      <c r="E43" s="131"/>
      <c r="F43" s="131"/>
      <c r="G43" s="131"/>
      <c r="H43" s="131"/>
      <c r="I43" s="131"/>
      <c r="J43" s="132"/>
      <c r="K43" s="131"/>
    </row>
    <row r="44" spans="1:11" x14ac:dyDescent="0.2">
      <c r="B44" s="130"/>
      <c r="C44" s="158" t="s">
        <v>275</v>
      </c>
      <c r="D44" s="131"/>
      <c r="E44" s="131"/>
      <c r="F44" s="131" t="s">
        <v>71</v>
      </c>
      <c r="G44" s="141">
        <f>Parameters!H23</f>
        <v>6.0100000000000001E-2</v>
      </c>
      <c r="H44" s="131"/>
      <c r="I44" s="131"/>
      <c r="J44" s="132"/>
      <c r="K44" s="131"/>
    </row>
    <row r="45" spans="1:11" x14ac:dyDescent="0.2">
      <c r="B45" s="130"/>
      <c r="C45" s="133" t="s">
        <v>73</v>
      </c>
      <c r="D45" s="131"/>
      <c r="E45" s="131"/>
      <c r="F45" s="131" t="s">
        <v>71</v>
      </c>
      <c r="G45" s="141">
        <f>Parameters!H17</f>
        <v>1.2E-2</v>
      </c>
      <c r="H45" s="131"/>
      <c r="I45" s="131"/>
      <c r="J45" s="132"/>
      <c r="K45" s="131"/>
    </row>
    <row r="46" spans="1:11" x14ac:dyDescent="0.2">
      <c r="B46" s="130"/>
      <c r="C46" s="133" t="s">
        <v>276</v>
      </c>
      <c r="D46" s="131"/>
      <c r="E46" s="131"/>
      <c r="F46" s="131" t="s">
        <v>71</v>
      </c>
      <c r="G46" s="141">
        <f>Parameters!H18</f>
        <v>-4.8000000000000001E-2</v>
      </c>
      <c r="H46" s="131"/>
      <c r="I46" s="131"/>
      <c r="J46" s="132"/>
      <c r="K46" s="131"/>
    </row>
    <row r="47" spans="1:11" x14ac:dyDescent="0.2">
      <c r="B47" s="130"/>
      <c r="C47" s="133" t="s">
        <v>233</v>
      </c>
      <c r="D47" s="131"/>
      <c r="E47" s="131"/>
      <c r="F47" s="131" t="s">
        <v>71</v>
      </c>
      <c r="G47" s="141">
        <v>0.5</v>
      </c>
      <c r="H47" s="131"/>
      <c r="I47" s="131"/>
      <c r="J47" s="132"/>
      <c r="K47" s="131"/>
    </row>
    <row r="48" spans="1:11" x14ac:dyDescent="0.2">
      <c r="B48" s="130"/>
      <c r="C48" s="131"/>
      <c r="D48" s="131"/>
      <c r="E48" s="131"/>
      <c r="F48" s="131"/>
      <c r="G48" s="131"/>
      <c r="H48" s="131"/>
      <c r="I48" s="131"/>
      <c r="J48" s="132"/>
      <c r="K48" s="131"/>
    </row>
    <row r="49" spans="1:11" ht="26.25" customHeight="1" x14ac:dyDescent="0.2">
      <c r="B49" s="130"/>
      <c r="C49" s="176" t="s">
        <v>277</v>
      </c>
      <c r="D49" s="131"/>
      <c r="E49" s="131"/>
      <c r="F49" s="131"/>
      <c r="G49" s="142" t="s">
        <v>229</v>
      </c>
      <c r="H49" s="131"/>
      <c r="I49" s="142" t="s">
        <v>230</v>
      </c>
      <c r="J49" s="132"/>
      <c r="K49" s="131"/>
    </row>
    <row r="50" spans="1:11" x14ac:dyDescent="0.2">
      <c r="B50" s="130"/>
      <c r="C50" s="133" t="s">
        <v>278</v>
      </c>
      <c r="D50" s="131"/>
      <c r="E50" s="131"/>
      <c r="F50" s="133" t="s">
        <v>136</v>
      </c>
      <c r="G50" s="143">
        <f>'Gegevens kosten 2019'!L21</f>
        <v>75047.108533129562</v>
      </c>
      <c r="H50" s="131" t="s">
        <v>235</v>
      </c>
      <c r="I50" s="143">
        <f>'Gegevens kosten 2019'!M21</f>
        <v>6956459.6330684926</v>
      </c>
      <c r="J50" s="132"/>
      <c r="K50" s="131"/>
    </row>
    <row r="51" spans="1:11" x14ac:dyDescent="0.2">
      <c r="B51" s="130"/>
      <c r="C51" s="133" t="s">
        <v>279</v>
      </c>
      <c r="D51" s="131"/>
      <c r="E51" s="131"/>
      <c r="F51" s="133" t="s">
        <v>136</v>
      </c>
      <c r="G51" s="143">
        <f>'Gegevens kosten 2019'!L17</f>
        <v>529433.27152886253</v>
      </c>
      <c r="H51" s="131" t="s">
        <v>235</v>
      </c>
      <c r="I51" s="143">
        <f>'Gegevens kosten 2019'!M17</f>
        <v>33198295.353286088</v>
      </c>
      <c r="J51" s="132"/>
      <c r="K51" s="131"/>
    </row>
    <row r="52" spans="1:11" x14ac:dyDescent="0.2">
      <c r="B52" s="130"/>
      <c r="C52" s="133" t="s">
        <v>280</v>
      </c>
      <c r="D52" s="131"/>
      <c r="E52" s="131"/>
      <c r="F52" s="133" t="s">
        <v>136</v>
      </c>
      <c r="G52" s="143">
        <f>'Gegevens kosten 2019'!L18</f>
        <v>60753.370030546095</v>
      </c>
      <c r="H52" s="131" t="s">
        <v>235</v>
      </c>
      <c r="I52" s="143">
        <f>'Gegevens kosten 2019'!M18</f>
        <v>2430533.1263912036</v>
      </c>
      <c r="J52" s="132"/>
      <c r="K52" s="131"/>
    </row>
    <row r="53" spans="1:11" x14ac:dyDescent="0.2">
      <c r="B53" s="130"/>
      <c r="C53" s="131"/>
      <c r="D53" s="131"/>
      <c r="E53" s="131"/>
      <c r="F53" s="131"/>
      <c r="G53" s="131"/>
      <c r="H53" s="131"/>
      <c r="I53" s="131"/>
      <c r="J53" s="132"/>
      <c r="K53" s="131"/>
    </row>
    <row r="54" spans="1:11" x14ac:dyDescent="0.2">
      <c r="B54" s="130"/>
      <c r="C54" s="135" t="s">
        <v>542</v>
      </c>
      <c r="D54" s="133"/>
      <c r="E54" s="133"/>
      <c r="F54" s="133"/>
      <c r="G54" s="133"/>
      <c r="H54" s="131"/>
      <c r="I54" s="133"/>
      <c r="J54" s="132"/>
      <c r="K54" s="131"/>
    </row>
    <row r="55" spans="1:11" x14ac:dyDescent="0.2">
      <c r="B55" s="130"/>
      <c r="C55" s="133" t="s">
        <v>282</v>
      </c>
      <c r="D55" s="133"/>
      <c r="E55" s="133"/>
      <c r="F55" s="133" t="s">
        <v>136</v>
      </c>
      <c r="G55" s="143">
        <f>'Correcties (incl. berekening)'!L17</f>
        <v>307206.47482387326</v>
      </c>
      <c r="H55" s="131"/>
      <c r="I55" s="143">
        <f>'Correcties (incl. berekening)'!M17</f>
        <v>76715.55348691158</v>
      </c>
      <c r="J55" s="132"/>
      <c r="K55" s="131"/>
    </row>
    <row r="56" spans="1:11" x14ac:dyDescent="0.2">
      <c r="B56" s="130"/>
      <c r="C56" s="133" t="s">
        <v>283</v>
      </c>
      <c r="D56" s="133"/>
      <c r="E56" s="133"/>
      <c r="F56" s="133" t="s">
        <v>136</v>
      </c>
      <c r="G56" s="131"/>
      <c r="H56" s="131"/>
      <c r="I56" s="143">
        <f>'Correcties (incl. berekening)'!M18</f>
        <v>-226269.48178110932</v>
      </c>
      <c r="J56" s="132"/>
      <c r="K56" s="131"/>
    </row>
    <row r="57" spans="1:11" s="189" customFormat="1" x14ac:dyDescent="0.2">
      <c r="B57" s="130"/>
      <c r="C57" s="192" t="s">
        <v>418</v>
      </c>
      <c r="D57" s="133"/>
      <c r="E57" s="133"/>
      <c r="F57" s="133" t="s">
        <v>136</v>
      </c>
      <c r="G57" s="131"/>
      <c r="H57" s="131"/>
      <c r="I57" s="143">
        <f>'Correcties (incl. berekening)'!M21</f>
        <v>14618.057961057499</v>
      </c>
      <c r="J57" s="132"/>
      <c r="K57" s="131"/>
    </row>
    <row r="58" spans="1:11" x14ac:dyDescent="0.2">
      <c r="B58" s="130"/>
      <c r="C58" s="133" t="s">
        <v>284</v>
      </c>
      <c r="D58" s="133"/>
      <c r="E58" s="133"/>
      <c r="F58" s="133" t="s">
        <v>136</v>
      </c>
      <c r="G58" s="143">
        <f>'Correcties (incl. berekening)'!L22</f>
        <v>530437.92163147638</v>
      </c>
      <c r="H58" s="131"/>
      <c r="I58" s="143">
        <f>'Correcties (incl. berekening)'!M22</f>
        <v>38159.523612765595</v>
      </c>
      <c r="J58" s="132"/>
      <c r="K58" s="131"/>
    </row>
    <row r="59" spans="1:11" x14ac:dyDescent="0.2">
      <c r="B59" s="130"/>
      <c r="C59" s="133" t="s">
        <v>285</v>
      </c>
      <c r="D59" s="133"/>
      <c r="E59" s="133"/>
      <c r="F59" s="133" t="s">
        <v>136</v>
      </c>
      <c r="G59" s="131"/>
      <c r="H59" s="131"/>
      <c r="I59" s="143">
        <f>'Correcties (incl. berekening)'!M23</f>
        <v>-275059.85089068889</v>
      </c>
      <c r="J59" s="132"/>
      <c r="K59" s="131"/>
    </row>
    <row r="60" spans="1:11" x14ac:dyDescent="0.2">
      <c r="B60" s="130"/>
      <c r="C60" s="27" t="s">
        <v>286</v>
      </c>
      <c r="D60" s="133"/>
      <c r="E60" s="133"/>
      <c r="F60" s="133" t="s">
        <v>136</v>
      </c>
      <c r="G60" s="143">
        <f>'Correcties (incl. berekening)'!L26</f>
        <v>24296.899561444035</v>
      </c>
      <c r="H60" s="131"/>
      <c r="I60" s="131"/>
      <c r="J60" s="132"/>
      <c r="K60" s="131"/>
    </row>
    <row r="61" spans="1:11" x14ac:dyDescent="0.2">
      <c r="A61" s="159"/>
      <c r="B61" s="130"/>
      <c r="C61" s="27" t="s">
        <v>287</v>
      </c>
      <c r="D61" s="133"/>
      <c r="E61" s="133"/>
      <c r="F61" s="133" t="s">
        <v>118</v>
      </c>
      <c r="G61" s="131"/>
      <c r="H61" s="131"/>
      <c r="I61" s="143">
        <f>'Correcties (incl. berekening)'!M27</f>
        <v>863022.85508593405</v>
      </c>
      <c r="J61" s="132"/>
      <c r="K61" s="131"/>
    </row>
    <row r="62" spans="1:11" x14ac:dyDescent="0.2">
      <c r="B62" s="130"/>
      <c r="C62" s="131"/>
      <c r="D62" s="131"/>
      <c r="E62" s="131"/>
      <c r="F62" s="131"/>
      <c r="G62" s="131"/>
      <c r="H62" s="131"/>
      <c r="I62" s="131"/>
      <c r="J62" s="132"/>
      <c r="K62" s="131"/>
    </row>
    <row r="63" spans="1:11" x14ac:dyDescent="0.2">
      <c r="B63" s="130"/>
      <c r="C63" s="177" t="s">
        <v>236</v>
      </c>
      <c r="D63" s="131"/>
      <c r="E63" s="131"/>
      <c r="F63" s="131"/>
      <c r="G63" s="131"/>
      <c r="H63" s="131"/>
      <c r="I63" s="131"/>
      <c r="J63" s="132"/>
      <c r="K63" s="131"/>
    </row>
    <row r="64" spans="1:11" x14ac:dyDescent="0.2">
      <c r="B64" s="130"/>
      <c r="C64" s="27" t="s">
        <v>288</v>
      </c>
      <c r="D64" s="131"/>
      <c r="E64" s="131"/>
      <c r="F64" s="2" t="s">
        <v>269</v>
      </c>
      <c r="G64" s="131"/>
      <c r="H64" s="131"/>
      <c r="I64" s="143">
        <f>'Correcties (incl. berekening)'!M68</f>
        <v>347422.2201736889</v>
      </c>
      <c r="J64" s="132"/>
      <c r="K64" s="131"/>
    </row>
    <row r="65" spans="2:11" x14ac:dyDescent="0.2">
      <c r="B65" s="130"/>
      <c r="C65" s="27" t="s">
        <v>289</v>
      </c>
      <c r="D65" s="131"/>
      <c r="E65" s="131"/>
      <c r="F65" s="2" t="s">
        <v>269</v>
      </c>
      <c r="G65" s="131"/>
      <c r="H65" s="131"/>
      <c r="I65" s="143">
        <f>'Correcties (incl. berekening)'!M69</f>
        <v>821597.7580418092</v>
      </c>
      <c r="J65" s="132"/>
      <c r="K65" s="131"/>
    </row>
    <row r="66" spans="2:11" x14ac:dyDescent="0.2">
      <c r="B66" s="130"/>
      <c r="C66" s="27" t="s">
        <v>142</v>
      </c>
      <c r="D66" s="131"/>
      <c r="E66" s="131"/>
      <c r="F66" s="2" t="s">
        <v>269</v>
      </c>
      <c r="G66" s="131"/>
      <c r="H66" s="131"/>
      <c r="I66" s="143">
        <f>'Correcties (incl. berekening)'!M70</f>
        <v>124756.79415275322</v>
      </c>
      <c r="J66" s="132"/>
      <c r="K66" s="131"/>
    </row>
    <row r="67" spans="2:11" x14ac:dyDescent="0.2">
      <c r="B67" s="130"/>
      <c r="C67" s="131"/>
      <c r="D67" s="131"/>
      <c r="E67" s="131"/>
      <c r="F67" s="131"/>
      <c r="G67" s="131"/>
      <c r="H67" s="131"/>
      <c r="I67" s="131"/>
      <c r="J67" s="132"/>
      <c r="K67" s="131"/>
    </row>
    <row r="68" spans="2:11" x14ac:dyDescent="0.2">
      <c r="B68" s="130"/>
      <c r="C68" s="135" t="s">
        <v>290</v>
      </c>
      <c r="D68" s="133"/>
      <c r="E68" s="133"/>
      <c r="F68" s="131"/>
      <c r="G68" s="131"/>
      <c r="H68" s="131"/>
      <c r="I68" s="131"/>
      <c r="J68" s="132"/>
      <c r="K68" s="131"/>
    </row>
    <row r="69" spans="2:11" x14ac:dyDescent="0.2">
      <c r="B69" s="130"/>
      <c r="C69" s="133" t="s">
        <v>291</v>
      </c>
      <c r="D69" s="131"/>
      <c r="E69" s="131"/>
      <c r="F69" s="2" t="s">
        <v>269</v>
      </c>
      <c r="G69" s="143">
        <f>'Berekening kostenbasis 2021'!L87</f>
        <v>164874.49514085255</v>
      </c>
      <c r="H69" s="131"/>
      <c r="I69" s="143">
        <f>'Berekening kostenbasis 2021'!M87</f>
        <v>11290860.879080836</v>
      </c>
      <c r="J69" s="132"/>
      <c r="K69" s="131"/>
    </row>
    <row r="70" spans="2:11" x14ac:dyDescent="0.2">
      <c r="B70" s="130"/>
      <c r="C70" s="133" t="s">
        <v>239</v>
      </c>
      <c r="D70" s="133"/>
      <c r="E70" s="133"/>
      <c r="F70" s="2" t="s">
        <v>269</v>
      </c>
      <c r="G70" s="143">
        <f>'Berekening kostenbasis 2021'!L86</f>
        <v>0</v>
      </c>
      <c r="H70" s="131"/>
      <c r="I70" s="143">
        <f>'Berekening kostenbasis 2021'!M86</f>
        <v>3280738.0973360729</v>
      </c>
      <c r="J70" s="132"/>
      <c r="K70" s="131"/>
    </row>
    <row r="71" spans="2:11" x14ac:dyDescent="0.2">
      <c r="B71" s="130"/>
      <c r="C71" s="133" t="s">
        <v>292</v>
      </c>
      <c r="D71" s="133"/>
      <c r="E71" s="133"/>
      <c r="F71" s="2" t="s">
        <v>269</v>
      </c>
      <c r="G71" s="143">
        <f>'Variabel tarief elektriciteit'!H14</f>
        <v>164874.49514085255</v>
      </c>
      <c r="H71" s="131"/>
      <c r="I71" s="143">
        <f>'Vaste tarieven elektriciteit'!H19</f>
        <v>11415617.673233589</v>
      </c>
      <c r="J71" s="132"/>
      <c r="K71" s="131"/>
    </row>
    <row r="72" spans="2:11" x14ac:dyDescent="0.2">
      <c r="B72" s="130"/>
      <c r="C72" s="131"/>
      <c r="D72" s="131"/>
      <c r="E72" s="131"/>
      <c r="F72" s="131"/>
      <c r="G72" s="131"/>
      <c r="H72" s="131"/>
      <c r="I72" s="178"/>
      <c r="J72" s="132"/>
      <c r="K72" s="131"/>
    </row>
    <row r="73" spans="2:11" x14ac:dyDescent="0.2">
      <c r="B73" s="130"/>
      <c r="C73" s="174" t="s">
        <v>293</v>
      </c>
      <c r="D73" s="131"/>
      <c r="E73" s="131"/>
      <c r="F73" s="131"/>
      <c r="G73" s="131"/>
      <c r="H73" s="131"/>
      <c r="I73" s="131"/>
      <c r="J73" s="132"/>
      <c r="K73" s="131"/>
    </row>
    <row r="74" spans="2:11" x14ac:dyDescent="0.2">
      <c r="B74" s="130"/>
      <c r="C74" s="131" t="s">
        <v>294</v>
      </c>
      <c r="D74" s="131"/>
      <c r="E74" s="131"/>
      <c r="F74" s="131" t="s">
        <v>83</v>
      </c>
      <c r="G74" s="143">
        <f>'Variabel tarief elektriciteit'!H16</f>
        <v>338640</v>
      </c>
      <c r="H74" s="131"/>
      <c r="I74" s="131"/>
      <c r="J74" s="132"/>
      <c r="K74" s="131"/>
    </row>
    <row r="75" spans="2:11" x14ac:dyDescent="0.2">
      <c r="B75" s="130"/>
      <c r="C75" s="131" t="s">
        <v>295</v>
      </c>
      <c r="D75" s="131"/>
      <c r="E75" s="131"/>
      <c r="F75" s="131" t="s">
        <v>83</v>
      </c>
      <c r="G75" s="143">
        <f>'Variabel tarief elektriciteit'!H25</f>
        <v>123889640</v>
      </c>
      <c r="H75" s="131"/>
      <c r="I75" s="131"/>
      <c r="J75" s="132"/>
      <c r="K75" s="131"/>
    </row>
    <row r="76" spans="2:11" s="159" customFormat="1" x14ac:dyDescent="0.2">
      <c r="B76" s="130"/>
      <c r="C76" s="131" t="s">
        <v>240</v>
      </c>
      <c r="D76" s="131"/>
      <c r="E76" s="131"/>
      <c r="F76" s="131" t="s">
        <v>122</v>
      </c>
      <c r="G76" s="131"/>
      <c r="H76" s="131"/>
      <c r="I76" s="143">
        <f>'Vaste tarieven elektriciteit'!H21</f>
        <v>98747.27</v>
      </c>
      <c r="J76" s="132"/>
      <c r="K76" s="131"/>
    </row>
    <row r="77" spans="2:11" x14ac:dyDescent="0.2">
      <c r="B77" s="130"/>
      <c r="C77" s="133" t="s">
        <v>296</v>
      </c>
      <c r="D77" s="133"/>
      <c r="E77" s="133"/>
      <c r="F77" s="133" t="s">
        <v>71</v>
      </c>
      <c r="H77" s="131"/>
      <c r="I77" s="145">
        <f>'Variabel tarief elektriciteit'!H38</f>
        <v>9.3295691356145738E-2</v>
      </c>
      <c r="J77" s="132"/>
      <c r="K77" s="131"/>
    </row>
    <row r="78" spans="2:11" s="159" customFormat="1" x14ac:dyDescent="0.2">
      <c r="B78" s="130"/>
      <c r="C78" s="133" t="s">
        <v>241</v>
      </c>
      <c r="D78" s="133"/>
      <c r="E78" s="133"/>
      <c r="F78" s="133" t="s">
        <v>93</v>
      </c>
      <c r="H78" s="131"/>
      <c r="I78" s="160">
        <f>'Vaste tarieven elektriciteit'!H43</f>
        <v>208.33333333333334</v>
      </c>
      <c r="J78" s="132"/>
      <c r="K78" s="131"/>
    </row>
    <row r="79" spans="2:11" x14ac:dyDescent="0.2">
      <c r="B79" s="130"/>
      <c r="C79" s="133"/>
      <c r="D79" s="133"/>
      <c r="E79" s="133"/>
      <c r="F79" s="133"/>
      <c r="G79" s="133"/>
      <c r="H79" s="131"/>
      <c r="I79" s="131"/>
      <c r="J79" s="132"/>
      <c r="K79" s="131"/>
    </row>
    <row r="80" spans="2:11" x14ac:dyDescent="0.2">
      <c r="B80" s="130"/>
      <c r="C80" s="133" t="s">
        <v>237</v>
      </c>
      <c r="D80" s="133"/>
      <c r="E80" s="133"/>
      <c r="F80" s="133"/>
      <c r="G80" s="133"/>
      <c r="H80" s="131"/>
      <c r="I80" s="131"/>
      <c r="J80" s="132"/>
      <c r="K80" s="131"/>
    </row>
    <row r="81" spans="2:11" x14ac:dyDescent="0.2">
      <c r="B81" s="130"/>
      <c r="C81" s="133" t="s">
        <v>238</v>
      </c>
      <c r="D81" s="133"/>
      <c r="E81" s="133"/>
      <c r="F81" s="133"/>
      <c r="G81" s="133"/>
      <c r="H81" s="133"/>
      <c r="I81" s="131"/>
      <c r="J81" s="132"/>
      <c r="K81" s="131"/>
    </row>
    <row r="82" spans="2:11" x14ac:dyDescent="0.2">
      <c r="B82" s="130"/>
      <c r="C82" s="158" t="s">
        <v>297</v>
      </c>
      <c r="D82" s="131"/>
      <c r="E82" s="131"/>
      <c r="F82" s="131"/>
      <c r="G82" s="131"/>
      <c r="H82" s="131"/>
      <c r="I82" s="131"/>
      <c r="J82" s="132"/>
      <c r="K82" s="131"/>
    </row>
    <row r="83" spans="2:11" x14ac:dyDescent="0.2">
      <c r="B83" s="130"/>
      <c r="C83" s="158" t="s">
        <v>546</v>
      </c>
      <c r="D83" s="131"/>
      <c r="E83" s="131"/>
      <c r="F83" s="131"/>
      <c r="G83" s="131"/>
      <c r="H83" s="131"/>
      <c r="I83" s="131"/>
      <c r="J83" s="132"/>
      <c r="K83" s="131"/>
    </row>
    <row r="84" spans="2:11" x14ac:dyDescent="0.2">
      <c r="B84" s="130"/>
      <c r="C84" s="158"/>
      <c r="D84" s="131"/>
      <c r="E84" s="131"/>
      <c r="F84" s="131"/>
      <c r="G84" s="131"/>
      <c r="H84" s="131"/>
      <c r="I84" s="131"/>
      <c r="J84" s="132"/>
      <c r="K84" s="131"/>
    </row>
    <row r="85" spans="2:11" ht="13.5" thickBot="1" x14ac:dyDescent="0.25">
      <c r="B85" s="146"/>
      <c r="C85" s="147"/>
      <c r="D85" s="147"/>
      <c r="E85" s="147"/>
      <c r="F85" s="147"/>
      <c r="G85" s="147"/>
      <c r="H85" s="147"/>
      <c r="I85" s="147"/>
      <c r="J85" s="148"/>
      <c r="K85" s="131"/>
    </row>
    <row r="86" spans="2:11" x14ac:dyDescent="0.2">
      <c r="C86" s="159"/>
      <c r="D86" s="159"/>
      <c r="E86" s="159"/>
      <c r="F86" s="159"/>
      <c r="G86" s="159"/>
      <c r="H86" s="159"/>
      <c r="I86" s="131"/>
      <c r="J86" s="131"/>
      <c r="K86" s="131"/>
    </row>
    <row r="87" spans="2:11" x14ac:dyDescent="0.2">
      <c r="C87" s="159"/>
      <c r="D87" s="159"/>
      <c r="E87" s="159"/>
      <c r="F87" s="159"/>
      <c r="G87" s="159"/>
      <c r="H87" s="159"/>
    </row>
    <row r="88" spans="2:11" x14ac:dyDescent="0.2">
      <c r="C88" s="192"/>
      <c r="D88" s="159"/>
      <c r="E88" s="159"/>
      <c r="F88" s="159"/>
      <c r="G88" s="159"/>
      <c r="H88" s="159"/>
    </row>
    <row r="89" spans="2:11" x14ac:dyDescent="0.2">
      <c r="C89" s="159"/>
      <c r="D89" s="159"/>
      <c r="E89" s="159"/>
      <c r="F89" s="159"/>
      <c r="G89" s="159"/>
      <c r="H89" s="15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N73"/>
  <sheetViews>
    <sheetView showGridLines="0" zoomScale="85" zoomScaleNormal="85" workbookViewId="0"/>
  </sheetViews>
  <sheetFormatPr defaultRowHeight="12.75" x14ac:dyDescent="0.2"/>
  <cols>
    <col min="1" max="1" width="2.85546875" style="107" customWidth="1"/>
    <col min="2" max="2" width="3.7109375" style="159" customWidth="1"/>
    <col min="3" max="3" width="64.28515625" style="107" customWidth="1"/>
    <col min="4" max="4" width="3.7109375" style="107" customWidth="1"/>
    <col min="5" max="5" width="20.7109375" style="107" customWidth="1"/>
    <col min="6" max="6" width="12.28515625" style="107" customWidth="1"/>
    <col min="7" max="7" width="2.85546875" style="107" customWidth="1"/>
    <col min="8" max="8" width="12.85546875" style="107" customWidth="1"/>
    <col min="9" max="9" width="2.5703125" style="159" customWidth="1"/>
    <col min="10" max="10" width="14.28515625" style="107" customWidth="1"/>
    <col min="11" max="11" width="3.7109375" style="107" customWidth="1"/>
    <col min="12" max="15" width="9.140625" style="107"/>
    <col min="16" max="16" width="10.28515625" style="107" bestFit="1" customWidth="1"/>
    <col min="17" max="16384" width="9.140625" style="107"/>
  </cols>
  <sheetData>
    <row r="2" spans="2:11" s="8" customFormat="1" ht="18" x14ac:dyDescent="0.2">
      <c r="C2" s="8" t="s">
        <v>545</v>
      </c>
    </row>
    <row r="3" spans="2:11" x14ac:dyDescent="0.2">
      <c r="B3" s="189"/>
      <c r="C3" s="189"/>
      <c r="D3" s="189"/>
      <c r="E3" s="189"/>
      <c r="F3" s="189"/>
      <c r="G3" s="189"/>
    </row>
    <row r="4" spans="2:11" x14ac:dyDescent="0.2">
      <c r="C4" s="32" t="s">
        <v>13</v>
      </c>
    </row>
    <row r="5" spans="2:11" x14ac:dyDescent="0.2">
      <c r="C5" s="107" t="s">
        <v>272</v>
      </c>
    </row>
    <row r="7" spans="2:11" s="9" customFormat="1" x14ac:dyDescent="0.2">
      <c r="C7" s="9" t="s">
        <v>543</v>
      </c>
      <c r="E7" s="9" t="s">
        <v>23</v>
      </c>
    </row>
    <row r="9" spans="2:11" x14ac:dyDescent="0.2">
      <c r="C9" s="1" t="s">
        <v>180</v>
      </c>
      <c r="D9" s="2"/>
      <c r="E9" s="2" t="s">
        <v>271</v>
      </c>
      <c r="F9" s="144">
        <f>'Variabel tarief drinkwater'!H26</f>
        <v>3.3529</v>
      </c>
      <c r="G9" s="159"/>
    </row>
    <row r="10" spans="2:11" ht="13.5" thickBot="1" x14ac:dyDescent="0.25">
      <c r="C10" s="1"/>
      <c r="D10" s="2"/>
      <c r="E10" s="2"/>
      <c r="F10" s="2"/>
      <c r="G10" s="2"/>
    </row>
    <row r="11" spans="2:11" x14ac:dyDescent="0.2">
      <c r="B11" s="124"/>
      <c r="C11" s="125"/>
      <c r="D11" s="125"/>
      <c r="E11" s="125"/>
      <c r="F11" s="125"/>
      <c r="G11" s="125"/>
      <c r="H11" s="150"/>
      <c r="I11" s="151"/>
      <c r="J11" s="131"/>
      <c r="K11" s="131"/>
    </row>
    <row r="12" spans="2:11" s="128" customFormat="1" x14ac:dyDescent="0.2">
      <c r="B12" s="127"/>
      <c r="C12" s="128" t="s">
        <v>298</v>
      </c>
      <c r="E12" s="128" t="s">
        <v>23</v>
      </c>
      <c r="H12" s="152" t="s">
        <v>234</v>
      </c>
      <c r="I12" s="153"/>
    </row>
    <row r="13" spans="2:11" x14ac:dyDescent="0.2">
      <c r="B13" s="130"/>
      <c r="C13" s="131"/>
      <c r="D13" s="131"/>
      <c r="E13" s="131"/>
      <c r="F13" s="131"/>
      <c r="G13" s="131"/>
      <c r="H13" s="154"/>
      <c r="I13" s="155"/>
      <c r="J13" s="131"/>
      <c r="K13" s="131"/>
    </row>
    <row r="14" spans="2:11" x14ac:dyDescent="0.2">
      <c r="B14" s="130"/>
      <c r="C14" s="135" t="s">
        <v>224</v>
      </c>
      <c r="D14" s="133"/>
      <c r="E14" s="133"/>
      <c r="F14" s="131"/>
      <c r="G14" s="131"/>
      <c r="H14" s="137"/>
      <c r="I14" s="138"/>
      <c r="J14" s="131"/>
      <c r="K14" s="131"/>
    </row>
    <row r="15" spans="2:11" x14ac:dyDescent="0.2">
      <c r="B15" s="130"/>
      <c r="C15" s="171" t="s">
        <v>225</v>
      </c>
      <c r="D15" s="133"/>
      <c r="E15" s="133" t="s">
        <v>271</v>
      </c>
      <c r="F15" s="131"/>
      <c r="G15" s="131"/>
      <c r="H15" s="144">
        <f>'Variabel tarief drinkwater'!H35</f>
        <v>3.8119999999999998</v>
      </c>
      <c r="I15" s="138"/>
      <c r="J15" s="131"/>
      <c r="K15" s="131"/>
    </row>
    <row r="16" spans="2:11" x14ac:dyDescent="0.2">
      <c r="B16" s="130"/>
      <c r="C16" s="133" t="s">
        <v>187</v>
      </c>
      <c r="D16" s="133"/>
      <c r="E16" s="133" t="s">
        <v>271</v>
      </c>
      <c r="F16" s="131"/>
      <c r="G16" s="131"/>
      <c r="H16" s="144">
        <f>'Vaste tarieven drinkwater'!H45</f>
        <v>9.5440000000000005</v>
      </c>
      <c r="I16" s="138"/>
      <c r="J16" s="131"/>
      <c r="K16" s="131"/>
    </row>
    <row r="17" spans="2:11" x14ac:dyDescent="0.2">
      <c r="B17" s="130"/>
      <c r="C17" s="133"/>
      <c r="D17" s="133"/>
      <c r="E17" s="133"/>
      <c r="F17" s="131"/>
      <c r="G17" s="131"/>
      <c r="H17" s="137"/>
      <c r="I17" s="138"/>
      <c r="J17" s="131"/>
      <c r="K17" s="131"/>
    </row>
    <row r="18" spans="2:11" x14ac:dyDescent="0.2">
      <c r="B18" s="130"/>
      <c r="C18" s="135" t="s">
        <v>232</v>
      </c>
      <c r="D18" s="133"/>
      <c r="E18" s="133"/>
      <c r="F18" s="131"/>
      <c r="G18" s="131"/>
      <c r="H18" s="137"/>
      <c r="I18" s="138"/>
      <c r="J18" s="131"/>
      <c r="K18" s="131"/>
    </row>
    <row r="19" spans="2:11" x14ac:dyDescent="0.2">
      <c r="B19" s="130"/>
      <c r="C19" s="135" t="s">
        <v>114</v>
      </c>
      <c r="D19" s="133"/>
      <c r="E19" s="133"/>
      <c r="F19" s="131"/>
      <c r="G19" s="131"/>
      <c r="H19" s="137"/>
      <c r="I19" s="138"/>
      <c r="J19" s="131"/>
      <c r="K19" s="131"/>
    </row>
    <row r="20" spans="2:11" x14ac:dyDescent="0.2">
      <c r="B20" s="130"/>
      <c r="C20" s="133" t="s">
        <v>108</v>
      </c>
      <c r="D20" s="133"/>
      <c r="E20" s="133" t="s">
        <v>267</v>
      </c>
      <c r="F20" s="131"/>
      <c r="G20" s="131"/>
      <c r="H20" s="162">
        <f>'Vaste tarieven drinkwater'!H26</f>
        <v>42.99931600105328</v>
      </c>
      <c r="I20" s="138"/>
      <c r="J20" s="131"/>
      <c r="K20" s="131"/>
    </row>
    <row r="21" spans="2:11" x14ac:dyDescent="0.2">
      <c r="B21" s="130"/>
      <c r="C21" s="133" t="s">
        <v>109</v>
      </c>
      <c r="D21" s="133"/>
      <c r="E21" s="133" t="s">
        <v>267</v>
      </c>
      <c r="F21" s="131"/>
      <c r="G21" s="131"/>
      <c r="H21" s="162">
        <f>'Vaste tarieven drinkwater'!H27</f>
        <v>96.748461002369879</v>
      </c>
      <c r="I21" s="138"/>
      <c r="J21" s="131"/>
      <c r="K21" s="131"/>
    </row>
    <row r="22" spans="2:11" x14ac:dyDescent="0.2">
      <c r="B22" s="130"/>
      <c r="C22" s="133" t="s">
        <v>110</v>
      </c>
      <c r="D22" s="133"/>
      <c r="E22" s="133" t="s">
        <v>267</v>
      </c>
      <c r="F22" s="131"/>
      <c r="G22" s="131"/>
      <c r="H22" s="162">
        <f>'Vaste tarieven drinkwater'!H28</f>
        <v>171.99726400421312</v>
      </c>
      <c r="I22" s="138"/>
      <c r="J22" s="131"/>
      <c r="K22" s="131"/>
    </row>
    <row r="23" spans="2:11" x14ac:dyDescent="0.2">
      <c r="B23" s="130"/>
      <c r="C23" s="133" t="s">
        <v>111</v>
      </c>
      <c r="D23" s="133"/>
      <c r="E23" s="133" t="s">
        <v>267</v>
      </c>
      <c r="F23" s="131"/>
      <c r="G23" s="131"/>
      <c r="H23" s="162">
        <f>'Vaste tarieven drinkwater'!H29</f>
        <v>687.98905601685249</v>
      </c>
      <c r="I23" s="138"/>
      <c r="J23" s="131"/>
      <c r="K23" s="131"/>
    </row>
    <row r="24" spans="2:11" x14ac:dyDescent="0.2">
      <c r="B24" s="130"/>
      <c r="C24" s="133" t="s">
        <v>112</v>
      </c>
      <c r="D24" s="133"/>
      <c r="E24" s="133" t="s">
        <v>267</v>
      </c>
      <c r="F24" s="131"/>
      <c r="G24" s="131"/>
      <c r="H24" s="162">
        <f>'Vaste tarieven drinkwater'!H30</f>
        <v>2751.9562240674099</v>
      </c>
      <c r="I24" s="138"/>
      <c r="J24" s="131"/>
      <c r="K24" s="131"/>
    </row>
    <row r="25" spans="2:11" x14ac:dyDescent="0.2">
      <c r="B25" s="130"/>
      <c r="C25" s="133"/>
      <c r="D25" s="133"/>
      <c r="E25" s="133"/>
      <c r="F25" s="131"/>
      <c r="G25" s="131"/>
      <c r="H25" s="137"/>
      <c r="I25" s="138"/>
      <c r="J25" s="131"/>
      <c r="K25" s="131"/>
    </row>
    <row r="26" spans="2:11" x14ac:dyDescent="0.2">
      <c r="B26" s="130"/>
      <c r="C26" s="135" t="s">
        <v>176</v>
      </c>
      <c r="D26" s="133"/>
      <c r="E26" s="133"/>
      <c r="F26" s="131"/>
      <c r="G26" s="131"/>
      <c r="H26" s="137"/>
      <c r="I26" s="138"/>
      <c r="J26" s="131"/>
      <c r="K26" s="131"/>
    </row>
    <row r="27" spans="2:11" x14ac:dyDescent="0.2">
      <c r="B27" s="130"/>
      <c r="C27" s="133" t="s">
        <v>173</v>
      </c>
      <c r="D27" s="133"/>
      <c r="E27" s="133" t="s">
        <v>269</v>
      </c>
      <c r="F27" s="131"/>
      <c r="G27" s="131"/>
      <c r="H27" s="149">
        <f>'Vaste tarieven drinkwater'!H51</f>
        <v>40</v>
      </c>
      <c r="I27" s="138"/>
      <c r="J27" s="131"/>
      <c r="K27" s="131"/>
    </row>
    <row r="28" spans="2:11" x14ac:dyDescent="0.2">
      <c r="B28" s="130"/>
      <c r="C28" s="133" t="s">
        <v>197</v>
      </c>
      <c r="D28" s="133"/>
      <c r="E28" s="133" t="s">
        <v>269</v>
      </c>
      <c r="F28" s="131"/>
      <c r="G28" s="131"/>
      <c r="H28" s="149">
        <f>'Vaste tarieven drinkwater'!H55</f>
        <v>1030.48288</v>
      </c>
      <c r="I28" s="138"/>
      <c r="J28" s="131"/>
      <c r="K28" s="131"/>
    </row>
    <row r="29" spans="2:11" x14ac:dyDescent="0.2">
      <c r="B29" s="130"/>
      <c r="C29" s="172" t="s">
        <v>198</v>
      </c>
      <c r="D29" s="133"/>
      <c r="E29" s="133"/>
      <c r="F29" s="131"/>
      <c r="G29" s="131"/>
      <c r="H29" s="133"/>
      <c r="I29" s="138"/>
      <c r="J29" s="131"/>
      <c r="K29" s="131"/>
    </row>
    <row r="30" spans="2:11" ht="13.5" thickBot="1" x14ac:dyDescent="0.25">
      <c r="B30" s="146"/>
      <c r="C30" s="139"/>
      <c r="D30" s="139"/>
      <c r="E30" s="139"/>
      <c r="F30" s="147"/>
      <c r="G30" s="147"/>
      <c r="H30" s="156"/>
      <c r="I30" s="157"/>
      <c r="J30" s="131"/>
      <c r="K30" s="131"/>
    </row>
    <row r="31" spans="2:11" ht="13.5" thickBot="1" x14ac:dyDescent="0.25">
      <c r="C31" s="131"/>
      <c r="D31" s="131"/>
      <c r="E31" s="131"/>
      <c r="F31" s="131"/>
      <c r="G31" s="131"/>
      <c r="H31" s="131"/>
      <c r="I31" s="131"/>
      <c r="J31" s="131"/>
      <c r="K31" s="131"/>
    </row>
    <row r="32" spans="2:11" x14ac:dyDescent="0.2">
      <c r="B32" s="124"/>
      <c r="C32" s="125"/>
      <c r="D32" s="125"/>
      <c r="E32" s="125"/>
      <c r="F32" s="125"/>
      <c r="G32" s="125"/>
      <c r="H32" s="125"/>
      <c r="I32" s="125"/>
      <c r="J32" s="125"/>
      <c r="K32" s="126"/>
    </row>
    <row r="33" spans="2:14" s="128" customFormat="1" x14ac:dyDescent="0.2">
      <c r="B33" s="127"/>
      <c r="C33" s="128" t="s">
        <v>299</v>
      </c>
      <c r="E33" s="128" t="s">
        <v>227</v>
      </c>
      <c r="K33" s="129"/>
    </row>
    <row r="34" spans="2:14" x14ac:dyDescent="0.2">
      <c r="B34" s="130"/>
      <c r="C34" s="131"/>
      <c r="D34" s="131"/>
      <c r="E34" s="131"/>
      <c r="F34" s="131"/>
      <c r="G34" s="131"/>
      <c r="H34" s="131"/>
      <c r="I34" s="131"/>
      <c r="J34" s="131"/>
      <c r="K34" s="132"/>
    </row>
    <row r="35" spans="2:14" x14ac:dyDescent="0.2">
      <c r="B35" s="130"/>
      <c r="C35" s="174" t="s">
        <v>228</v>
      </c>
      <c r="D35" s="131"/>
      <c r="E35" s="131"/>
      <c r="F35" s="131"/>
      <c r="G35" s="131"/>
      <c r="H35" s="131"/>
      <c r="I35" s="131"/>
      <c r="J35" s="131"/>
      <c r="K35" s="132"/>
    </row>
    <row r="36" spans="2:14" x14ac:dyDescent="0.2">
      <c r="B36" s="130"/>
      <c r="C36" s="158" t="s">
        <v>275</v>
      </c>
      <c r="D36" s="131"/>
      <c r="E36" s="131" t="s">
        <v>71</v>
      </c>
      <c r="F36" s="141">
        <f>Parameters!H23</f>
        <v>6.0100000000000001E-2</v>
      </c>
      <c r="H36" s="131"/>
      <c r="I36" s="131"/>
      <c r="J36" s="131"/>
      <c r="K36" s="132"/>
    </row>
    <row r="37" spans="2:14" x14ac:dyDescent="0.2">
      <c r="B37" s="130"/>
      <c r="C37" s="133" t="s">
        <v>73</v>
      </c>
      <c r="D37" s="131"/>
      <c r="E37" s="131" t="s">
        <v>71</v>
      </c>
      <c r="F37" s="141">
        <f>Parameters!H17</f>
        <v>1.2E-2</v>
      </c>
      <c r="H37" s="131"/>
      <c r="I37" s="131"/>
      <c r="J37" s="131"/>
      <c r="K37" s="132"/>
    </row>
    <row r="38" spans="2:14" x14ac:dyDescent="0.2">
      <c r="B38" s="130"/>
      <c r="C38" s="133" t="s">
        <v>276</v>
      </c>
      <c r="D38" s="131"/>
      <c r="E38" s="131" t="s">
        <v>71</v>
      </c>
      <c r="F38" s="141">
        <f>Parameters!H18</f>
        <v>-4.8000000000000001E-2</v>
      </c>
      <c r="H38" s="131"/>
      <c r="I38" s="131"/>
      <c r="J38" s="131"/>
      <c r="K38" s="132"/>
    </row>
    <row r="39" spans="2:14" x14ac:dyDescent="0.2">
      <c r="B39" s="130"/>
      <c r="C39" s="133" t="s">
        <v>233</v>
      </c>
      <c r="D39" s="131"/>
      <c r="E39" s="131" t="s">
        <v>71</v>
      </c>
      <c r="F39" s="141">
        <v>0.5</v>
      </c>
      <c r="H39" s="131"/>
      <c r="I39" s="131"/>
      <c r="J39" s="131"/>
      <c r="K39" s="132"/>
    </row>
    <row r="40" spans="2:14" x14ac:dyDescent="0.2">
      <c r="B40" s="130"/>
      <c r="C40" s="131"/>
      <c r="D40" s="131"/>
      <c r="E40" s="131"/>
      <c r="F40" s="131"/>
      <c r="G40" s="131"/>
      <c r="H40" s="131"/>
      <c r="I40" s="131"/>
      <c r="J40" s="131"/>
      <c r="K40" s="132"/>
    </row>
    <row r="41" spans="2:14" ht="25.5" x14ac:dyDescent="0.2">
      <c r="B41" s="130"/>
      <c r="C41" s="176" t="s">
        <v>277</v>
      </c>
      <c r="D41" s="131"/>
      <c r="E41" s="131"/>
      <c r="F41" s="142" t="s">
        <v>242</v>
      </c>
      <c r="G41" s="131"/>
      <c r="H41" s="142" t="s">
        <v>243</v>
      </c>
      <c r="I41" s="142"/>
      <c r="J41" s="142" t="s">
        <v>244</v>
      </c>
      <c r="K41" s="132"/>
    </row>
    <row r="42" spans="2:14" x14ac:dyDescent="0.2">
      <c r="B42" s="130"/>
      <c r="C42" s="133" t="s">
        <v>278</v>
      </c>
      <c r="D42" s="131"/>
      <c r="E42" s="133" t="s">
        <v>136</v>
      </c>
      <c r="F42" s="143">
        <f>'Gegevens kosten 2019'!N21</f>
        <v>4244620.9031950878</v>
      </c>
      <c r="G42" s="131"/>
      <c r="H42" s="143">
        <f>'Gegevens kosten 2019'!O21</f>
        <v>3344279.1720128148</v>
      </c>
      <c r="I42" s="142"/>
      <c r="J42" s="143">
        <f>'Gegevens kosten 2019'!P21</f>
        <v>82619.068566835398</v>
      </c>
      <c r="K42" s="132"/>
      <c r="N42" s="192"/>
    </row>
    <row r="43" spans="2:14" x14ac:dyDescent="0.2">
      <c r="B43" s="130"/>
      <c r="C43" s="133" t="s">
        <v>279</v>
      </c>
      <c r="D43" s="131"/>
      <c r="E43" s="133" t="s">
        <v>136</v>
      </c>
      <c r="F43" s="143">
        <f>'Gegevens kosten 2019'!N17</f>
        <v>3014164.722756159</v>
      </c>
      <c r="G43" s="131"/>
      <c r="H43" s="143">
        <f>'Gegevens kosten 2019'!O17</f>
        <v>13170123.094164904</v>
      </c>
      <c r="I43" s="142"/>
      <c r="J43" s="143">
        <f>'Gegevens kosten 2019'!P17</f>
        <v>35642.401529502626</v>
      </c>
      <c r="K43" s="132"/>
    </row>
    <row r="44" spans="2:14" x14ac:dyDescent="0.2">
      <c r="B44" s="130"/>
      <c r="C44" s="133" t="s">
        <v>280</v>
      </c>
      <c r="D44" s="131"/>
      <c r="E44" s="133" t="s">
        <v>136</v>
      </c>
      <c r="F44" s="143">
        <f>'Gegevens kosten 2019'!N18</f>
        <v>261019.84658276825</v>
      </c>
      <c r="G44" s="131"/>
      <c r="H44" s="143">
        <f>'Gegevens kosten 2019'!O18</f>
        <v>1703007.8785878734</v>
      </c>
      <c r="I44" s="142"/>
      <c r="J44" s="143">
        <f>'Gegevens kosten 2019'!P18</f>
        <v>10020.994199613922</v>
      </c>
      <c r="K44" s="132"/>
    </row>
    <row r="45" spans="2:14" x14ac:dyDescent="0.2">
      <c r="B45" s="130"/>
      <c r="C45" s="131"/>
      <c r="D45" s="131"/>
      <c r="E45" s="131"/>
      <c r="F45" s="131"/>
      <c r="G45" s="131"/>
      <c r="H45" s="131"/>
      <c r="I45" s="142"/>
      <c r="J45" s="131"/>
      <c r="K45" s="132"/>
    </row>
    <row r="46" spans="2:14" x14ac:dyDescent="0.2">
      <c r="B46" s="130"/>
      <c r="C46" s="135" t="s">
        <v>281</v>
      </c>
      <c r="D46" s="131"/>
      <c r="E46" s="131"/>
      <c r="F46" s="131"/>
      <c r="G46" s="131"/>
      <c r="H46" s="131"/>
      <c r="I46" s="142"/>
      <c r="J46" s="131"/>
      <c r="K46" s="132"/>
    </row>
    <row r="47" spans="2:14" x14ac:dyDescent="0.2">
      <c r="B47" s="130"/>
      <c r="C47" s="133" t="s">
        <v>282</v>
      </c>
      <c r="D47" s="133"/>
      <c r="E47" s="133" t="s">
        <v>136</v>
      </c>
      <c r="F47" s="143">
        <f>'Correcties (incl. berekening)'!N17</f>
        <v>-249896.85717477836</v>
      </c>
      <c r="G47" s="131"/>
      <c r="H47" s="143">
        <f>'Correcties (incl. berekening)'!O17</f>
        <v>-299.68489462732396</v>
      </c>
      <c r="I47" s="142"/>
      <c r="J47" s="143">
        <f>'Correcties (incl. berekening)'!P17</f>
        <v>6474.2992826153531</v>
      </c>
      <c r="K47" s="132"/>
    </row>
    <row r="48" spans="2:14" s="189" customFormat="1" x14ac:dyDescent="0.2">
      <c r="B48" s="130"/>
      <c r="C48" s="192" t="s">
        <v>418</v>
      </c>
      <c r="D48" s="133"/>
      <c r="E48" s="133" t="s">
        <v>136</v>
      </c>
      <c r="F48" s="143">
        <f>'Correcties (incl. berekening)'!N21</f>
        <v>55875.277066084403</v>
      </c>
      <c r="G48" s="131"/>
      <c r="H48" s="143">
        <f>'Correcties (incl. berekening)'!O21</f>
        <v>16919.657642744354</v>
      </c>
      <c r="I48" s="142"/>
      <c r="J48" s="143">
        <f>'Correcties (incl. berekening)'!P21</f>
        <v>4.3595437675315845</v>
      </c>
      <c r="K48" s="132"/>
    </row>
    <row r="49" spans="1:11" x14ac:dyDescent="0.2">
      <c r="B49" s="130"/>
      <c r="C49" s="133" t="s">
        <v>284</v>
      </c>
      <c r="D49" s="133"/>
      <c r="E49" s="133" t="s">
        <v>136</v>
      </c>
      <c r="F49" s="143">
        <f>'Correcties (incl. berekening)'!N22</f>
        <v>320463.87523023225</v>
      </c>
      <c r="G49" s="131"/>
      <c r="H49" s="143">
        <f>'Correcties (incl. berekening)'!O22</f>
        <v>141937.39473302383</v>
      </c>
      <c r="I49" s="142"/>
      <c r="J49" s="143">
        <f>'Correcties (incl. berekening)'!P22</f>
        <v>-22754.81878845788</v>
      </c>
      <c r="K49" s="132"/>
    </row>
    <row r="50" spans="1:11" x14ac:dyDescent="0.2">
      <c r="B50" s="130"/>
      <c r="C50" s="133" t="s">
        <v>300</v>
      </c>
      <c r="D50" s="133"/>
      <c r="E50" s="133" t="s">
        <v>136</v>
      </c>
      <c r="F50" s="131"/>
      <c r="G50" s="131"/>
      <c r="H50" s="143">
        <f>'Correcties (incl. berekening)'!O23</f>
        <v>-67046.09574171828</v>
      </c>
      <c r="I50" s="142"/>
      <c r="J50" s="131"/>
      <c r="K50" s="132"/>
    </row>
    <row r="51" spans="1:11" x14ac:dyDescent="0.2">
      <c r="A51" s="159"/>
      <c r="B51" s="130"/>
      <c r="C51" s="27" t="s">
        <v>158</v>
      </c>
      <c r="D51" s="133"/>
      <c r="E51" s="133" t="s">
        <v>118</v>
      </c>
      <c r="F51" s="143">
        <f>'Correcties (incl. berekening)'!N42</f>
        <v>22125.894920644103</v>
      </c>
      <c r="G51" s="131"/>
      <c r="H51" s="131"/>
      <c r="I51" s="131"/>
      <c r="J51" s="131"/>
      <c r="K51" s="132"/>
    </row>
    <row r="52" spans="1:11" x14ac:dyDescent="0.2">
      <c r="B52" s="130"/>
      <c r="C52" s="131"/>
      <c r="D52" s="133"/>
      <c r="E52" s="133"/>
      <c r="F52" s="133"/>
      <c r="G52" s="133"/>
      <c r="H52" s="133"/>
      <c r="I52" s="133"/>
      <c r="J52" s="133"/>
      <c r="K52" s="132"/>
    </row>
    <row r="53" spans="1:11" x14ac:dyDescent="0.2">
      <c r="B53" s="130"/>
      <c r="C53" s="177" t="s">
        <v>236</v>
      </c>
      <c r="D53" s="133"/>
      <c r="E53" s="133"/>
      <c r="F53" s="133"/>
      <c r="G53" s="131"/>
      <c r="H53" s="133"/>
      <c r="I53" s="142"/>
      <c r="J53" s="133"/>
      <c r="K53" s="132"/>
    </row>
    <row r="54" spans="1:11" s="159" customFormat="1" x14ac:dyDescent="0.2">
      <c r="B54" s="130"/>
      <c r="C54" s="27" t="s">
        <v>161</v>
      </c>
      <c r="D54" s="133"/>
      <c r="E54" s="2" t="s">
        <v>269</v>
      </c>
      <c r="F54" s="143">
        <f>'Correcties (incl. berekening)'!N67</f>
        <v>142881.39369962606</v>
      </c>
      <c r="G54" s="131"/>
      <c r="H54" s="133"/>
      <c r="I54" s="142"/>
      <c r="J54" s="133"/>
      <c r="K54" s="132"/>
    </row>
    <row r="55" spans="1:11" x14ac:dyDescent="0.2">
      <c r="B55" s="130"/>
      <c r="C55" s="27" t="s">
        <v>141</v>
      </c>
      <c r="D55" s="133"/>
      <c r="E55" s="2" t="s">
        <v>269</v>
      </c>
      <c r="F55" s="133"/>
      <c r="G55" s="131"/>
      <c r="H55" s="143">
        <f>'Correcties (incl. berekening)'!O68</f>
        <v>-64593.817743869193</v>
      </c>
      <c r="I55" s="142"/>
      <c r="J55" s="143">
        <f>'Correcties (incl. berekening)'!P68</f>
        <v>-15680.843135302139</v>
      </c>
      <c r="K55" s="132"/>
    </row>
    <row r="56" spans="1:11" x14ac:dyDescent="0.2">
      <c r="B56" s="130"/>
      <c r="C56" s="27" t="s">
        <v>142</v>
      </c>
      <c r="D56" s="133"/>
      <c r="E56" s="2" t="s">
        <v>269</v>
      </c>
      <c r="F56" s="133"/>
      <c r="G56" s="131"/>
      <c r="H56" s="143">
        <f>'Correcties (incl. berekening)'!O70</f>
        <v>152757.97320815068</v>
      </c>
      <c r="I56" s="142"/>
      <c r="J56" s="133"/>
      <c r="K56" s="132"/>
    </row>
    <row r="57" spans="1:11" x14ac:dyDescent="0.2">
      <c r="B57" s="130"/>
      <c r="C57" s="133"/>
      <c r="D57" s="133"/>
      <c r="E57" s="158"/>
      <c r="F57" s="158"/>
      <c r="G57" s="131"/>
      <c r="H57" s="158"/>
      <c r="I57" s="142"/>
      <c r="J57" s="131"/>
      <c r="K57" s="132"/>
    </row>
    <row r="58" spans="1:11" x14ac:dyDescent="0.2">
      <c r="B58" s="130"/>
      <c r="C58" s="135" t="s">
        <v>290</v>
      </c>
      <c r="D58" s="133"/>
      <c r="E58" s="131"/>
      <c r="F58" s="131"/>
      <c r="G58" s="131"/>
      <c r="H58" s="131"/>
      <c r="I58" s="142"/>
      <c r="J58" s="131"/>
      <c r="K58" s="132"/>
    </row>
    <row r="59" spans="1:11" x14ac:dyDescent="0.2">
      <c r="B59" s="130"/>
      <c r="C59" s="133" t="s">
        <v>291</v>
      </c>
      <c r="D59" s="133"/>
      <c r="E59" s="2" t="s">
        <v>269</v>
      </c>
      <c r="F59" s="143">
        <f>'Berekening kostenbasis 2021'!N87</f>
        <v>4757555.1767175775</v>
      </c>
      <c r="G59" s="131"/>
      <c r="H59" s="143">
        <f>'Berekening kostenbasis 2021'!O87</f>
        <v>5886151.9646117743</v>
      </c>
      <c r="I59" s="142"/>
      <c r="J59" s="143">
        <f>'Berekening kostenbasis 2021'!P87</f>
        <v>91760.296046471849</v>
      </c>
      <c r="K59" s="132"/>
    </row>
    <row r="60" spans="1:11" x14ac:dyDescent="0.2">
      <c r="B60" s="130"/>
      <c r="C60" s="133" t="s">
        <v>239</v>
      </c>
      <c r="D60" s="131"/>
      <c r="E60" s="2" t="s">
        <v>269</v>
      </c>
      <c r="F60" s="143">
        <f>'Berekening kostenbasis 2021'!N86</f>
        <v>596425.59287579358</v>
      </c>
      <c r="G60" s="131"/>
      <c r="H60" s="143">
        <f>'Berekening kostenbasis 2021'!O86</f>
        <v>1922774.5435926204</v>
      </c>
      <c r="I60" s="142"/>
      <c r="J60" s="143">
        <f>'Berekening kostenbasis 2021'!P86</f>
        <v>18578.310647613282</v>
      </c>
      <c r="K60" s="132"/>
    </row>
    <row r="61" spans="1:11" x14ac:dyDescent="0.2">
      <c r="B61" s="130"/>
      <c r="C61" s="133" t="s">
        <v>292</v>
      </c>
      <c r="D61" s="131"/>
      <c r="E61" s="2" t="s">
        <v>269</v>
      </c>
      <c r="F61" s="143">
        <f>'Variabel tarief drinkwater'!H19</f>
        <v>4900436.5704172039</v>
      </c>
      <c r="G61" s="131"/>
      <c r="H61" s="143">
        <f>'Vaste tarieven drinkwater'!H19</f>
        <v>6038909.9378199251</v>
      </c>
      <c r="I61" s="142"/>
      <c r="J61" s="143">
        <f>'Vaste tarieven drinkwater'!H38</f>
        <v>76079.452911169705</v>
      </c>
      <c r="K61" s="132"/>
    </row>
    <row r="62" spans="1:11" x14ac:dyDescent="0.2">
      <c r="B62" s="130"/>
      <c r="C62" s="133" t="s">
        <v>245</v>
      </c>
      <c r="D62" s="133"/>
      <c r="E62" s="2" t="s">
        <v>269</v>
      </c>
      <c r="F62" s="143">
        <f>'Variabel tarief drinkwater'!H23</f>
        <v>1988169.1693848001</v>
      </c>
      <c r="G62" s="131"/>
      <c r="H62" s="131"/>
      <c r="I62" s="131"/>
      <c r="J62" s="131"/>
      <c r="K62" s="132"/>
    </row>
    <row r="63" spans="1:11" x14ac:dyDescent="0.2">
      <c r="B63" s="130"/>
      <c r="C63" s="131"/>
      <c r="D63" s="131"/>
      <c r="E63" s="131"/>
      <c r="F63" s="131"/>
      <c r="G63" s="131"/>
      <c r="H63" s="131"/>
      <c r="I63" s="131"/>
      <c r="J63" s="131"/>
      <c r="K63" s="132"/>
    </row>
    <row r="64" spans="1:11" x14ac:dyDescent="0.2">
      <c r="B64" s="130"/>
      <c r="C64" s="174" t="s">
        <v>293</v>
      </c>
      <c r="D64" s="131"/>
      <c r="E64" s="131"/>
      <c r="F64" s="131"/>
      <c r="G64" s="131"/>
      <c r="H64" s="131"/>
      <c r="I64" s="131"/>
      <c r="J64" s="131"/>
      <c r="K64" s="132"/>
    </row>
    <row r="65" spans="2:11" x14ac:dyDescent="0.2">
      <c r="B65" s="130"/>
      <c r="C65" s="133" t="s">
        <v>301</v>
      </c>
      <c r="D65" s="133"/>
      <c r="E65" s="104" t="s">
        <v>85</v>
      </c>
      <c r="F65" s="143">
        <f>'Variabel tarief drinkwater'!H14</f>
        <v>2054508</v>
      </c>
      <c r="G65" s="131"/>
      <c r="H65" s="131"/>
      <c r="I65" s="131"/>
      <c r="J65" s="131"/>
      <c r="K65" s="132"/>
    </row>
    <row r="66" spans="2:11" x14ac:dyDescent="0.2">
      <c r="B66" s="130"/>
      <c r="C66" s="133" t="s">
        <v>246</v>
      </c>
      <c r="D66" s="133"/>
      <c r="E66" s="133" t="s">
        <v>147</v>
      </c>
      <c r="F66" s="144">
        <f>'Variabel tarief drinkwater'!H22</f>
        <v>3.7890000000000001</v>
      </c>
      <c r="G66" s="131"/>
      <c r="H66" s="131"/>
      <c r="I66" s="131"/>
      <c r="J66" s="131"/>
      <c r="K66" s="132"/>
    </row>
    <row r="67" spans="2:11" s="159" customFormat="1" x14ac:dyDescent="0.2">
      <c r="B67" s="130"/>
      <c r="C67" s="133" t="s">
        <v>247</v>
      </c>
      <c r="D67" s="133"/>
      <c r="E67" s="133" t="s">
        <v>123</v>
      </c>
      <c r="F67" s="133"/>
      <c r="G67" s="131"/>
      <c r="H67" s="149">
        <f>'Vaste tarieven drinkwater'!H21</f>
        <v>2925.875</v>
      </c>
      <c r="I67" s="131"/>
      <c r="J67" s="131"/>
      <c r="K67" s="132"/>
    </row>
    <row r="68" spans="2:11" x14ac:dyDescent="0.2">
      <c r="B68" s="130"/>
      <c r="C68" s="133" t="s">
        <v>248</v>
      </c>
      <c r="D68" s="131"/>
      <c r="E68" s="131" t="s">
        <v>85</v>
      </c>
      <c r="F68" s="131"/>
      <c r="G68" s="131"/>
      <c r="H68" s="131"/>
      <c r="I68" s="131"/>
      <c r="J68" s="143">
        <f>'Vaste tarieven drinkwater'!H40</f>
        <v>12289</v>
      </c>
      <c r="K68" s="132"/>
    </row>
    <row r="69" spans="2:11" x14ac:dyDescent="0.2">
      <c r="B69" s="130"/>
      <c r="C69" s="133" t="s">
        <v>302</v>
      </c>
      <c r="D69" s="133"/>
      <c r="E69" s="133" t="s">
        <v>71</v>
      </c>
      <c r="F69" s="131"/>
      <c r="G69" s="131"/>
      <c r="H69" s="145">
        <f>'Variabel tarief drinkwater'!H33</f>
        <v>0.1287825974298388</v>
      </c>
      <c r="I69" s="131"/>
      <c r="J69" s="131"/>
      <c r="K69" s="132"/>
    </row>
    <row r="70" spans="2:11" x14ac:dyDescent="0.2">
      <c r="B70" s="130"/>
      <c r="C70" s="133"/>
      <c r="D70" s="133"/>
      <c r="E70" s="133"/>
      <c r="F70" s="133"/>
      <c r="G70" s="131"/>
      <c r="H70" s="131"/>
      <c r="I70" s="131"/>
      <c r="J70" s="131"/>
      <c r="K70" s="132"/>
    </row>
    <row r="71" spans="2:11" x14ac:dyDescent="0.2">
      <c r="B71" s="130"/>
      <c r="C71" s="133" t="s">
        <v>231</v>
      </c>
      <c r="D71" s="133"/>
      <c r="E71" s="133"/>
      <c r="F71" s="133"/>
      <c r="G71" s="133"/>
      <c r="H71" s="131"/>
      <c r="I71" s="131"/>
      <c r="J71" s="131"/>
      <c r="K71" s="132"/>
    </row>
    <row r="72" spans="2:11" x14ac:dyDescent="0.2">
      <c r="B72" s="130"/>
      <c r="C72" s="131"/>
      <c r="D72" s="131"/>
      <c r="E72" s="131"/>
      <c r="F72" s="131"/>
      <c r="G72" s="131"/>
      <c r="H72" s="131"/>
      <c r="I72" s="131"/>
      <c r="J72" s="131"/>
      <c r="K72" s="132"/>
    </row>
    <row r="73" spans="2:11" ht="13.5" thickBot="1" x14ac:dyDescent="0.25">
      <c r="B73" s="146"/>
      <c r="C73" s="147"/>
      <c r="D73" s="147"/>
      <c r="E73" s="147"/>
      <c r="F73" s="147"/>
      <c r="G73" s="147"/>
      <c r="H73" s="147"/>
      <c r="I73" s="147"/>
      <c r="J73" s="147"/>
      <c r="K73" s="14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L26"/>
  <sheetViews>
    <sheetView showGridLines="0" zoomScale="85" zoomScaleNormal="85" workbookViewId="0">
      <pane xSplit="6" ySplit="13" topLeftCell="G14" activePane="bottomRight" state="frozen"/>
      <selection pane="topRight" activeCell="G1" sqref="G1"/>
      <selection pane="bottomLeft" activeCell="A11" sqref="A11"/>
      <selection pane="bottomRight" activeCell="G14" sqref="G14"/>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40.7109375" style="2" customWidth="1"/>
    <col min="11" max="11" width="2.7109375" style="2" customWidth="1"/>
    <col min="12"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12" s="22" customFormat="1" ht="18" x14ac:dyDescent="0.2">
      <c r="B2" s="22" t="s">
        <v>68</v>
      </c>
    </row>
    <row r="4" spans="2:12" x14ac:dyDescent="0.2">
      <c r="B4" s="32" t="s">
        <v>25</v>
      </c>
      <c r="C4" s="1"/>
      <c r="D4" s="1"/>
    </row>
    <row r="5" spans="2:12" x14ac:dyDescent="0.2">
      <c r="B5" s="27" t="s">
        <v>69</v>
      </c>
      <c r="C5" s="27"/>
      <c r="D5" s="27"/>
      <c r="H5" s="23"/>
    </row>
    <row r="6" spans="2:12" x14ac:dyDescent="0.2">
      <c r="B6" s="27"/>
      <c r="C6" s="27"/>
      <c r="D6" s="27"/>
      <c r="H6" s="23"/>
    </row>
    <row r="7" spans="2:12" x14ac:dyDescent="0.2">
      <c r="B7" s="33" t="s">
        <v>26</v>
      </c>
      <c r="C7" s="27"/>
      <c r="D7" s="27"/>
      <c r="H7" s="23"/>
    </row>
    <row r="8" spans="2:12" x14ac:dyDescent="0.2">
      <c r="B8" s="5" t="s">
        <v>203</v>
      </c>
      <c r="C8" s="27"/>
      <c r="D8" s="27"/>
    </row>
    <row r="9" spans="2:12" x14ac:dyDescent="0.2">
      <c r="B9" s="5" t="s">
        <v>428</v>
      </c>
      <c r="C9" s="27"/>
      <c r="D9" s="27"/>
    </row>
    <row r="10" spans="2:12" x14ac:dyDescent="0.2">
      <c r="B10" s="5"/>
    </row>
    <row r="12" spans="2:12" s="9" customFormat="1" x14ac:dyDescent="0.2">
      <c r="B12" s="9" t="s">
        <v>41</v>
      </c>
      <c r="F12" s="9" t="s">
        <v>23</v>
      </c>
      <c r="H12" s="9" t="s">
        <v>24</v>
      </c>
      <c r="J12" s="9" t="s">
        <v>42</v>
      </c>
      <c r="L12" s="9" t="s">
        <v>43</v>
      </c>
    </row>
    <row r="15" spans="2:12" s="9" customFormat="1" x14ac:dyDescent="0.2">
      <c r="B15" s="9" t="s">
        <v>70</v>
      </c>
    </row>
    <row r="17" spans="2:12" x14ac:dyDescent="0.2">
      <c r="B17" s="2" t="s">
        <v>73</v>
      </c>
      <c r="F17" s="2" t="s">
        <v>71</v>
      </c>
      <c r="H17" s="47">
        <v>1.2E-2</v>
      </c>
      <c r="J17" s="48" t="s">
        <v>429</v>
      </c>
    </row>
    <row r="18" spans="2:12" x14ac:dyDescent="0.2">
      <c r="B18" s="2" t="s">
        <v>276</v>
      </c>
      <c r="F18" s="2" t="s">
        <v>71</v>
      </c>
      <c r="G18" s="191"/>
      <c r="H18" s="47">
        <v>-4.8000000000000001E-2</v>
      </c>
      <c r="J18" s="48" t="s">
        <v>429</v>
      </c>
      <c r="L18" s="199" t="s">
        <v>540</v>
      </c>
    </row>
    <row r="21" spans="2:12" s="9" customFormat="1" x14ac:dyDescent="0.2">
      <c r="B21" s="9" t="s">
        <v>130</v>
      </c>
    </row>
    <row r="23" spans="2:12" x14ac:dyDescent="0.2">
      <c r="B23" s="2" t="s">
        <v>275</v>
      </c>
      <c r="F23" s="2" t="s">
        <v>71</v>
      </c>
      <c r="H23" s="47">
        <v>6.0100000000000001E-2</v>
      </c>
      <c r="J23" s="133" t="s">
        <v>423</v>
      </c>
    </row>
    <row r="26" spans="2:12" x14ac:dyDescent="0.2">
      <c r="B26" s="2" t="s">
        <v>72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FFE1"/>
  </sheetPr>
  <dimension ref="B2:X35"/>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55.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42578125" style="2" customWidth="1"/>
    <col min="17" max="17" width="2.7109375" style="2" customWidth="1"/>
    <col min="18" max="18" width="34.425781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303</v>
      </c>
    </row>
    <row r="4" spans="2:20" x14ac:dyDescent="0.2">
      <c r="B4" s="32" t="s">
        <v>25</v>
      </c>
      <c r="C4" s="1"/>
      <c r="D4" s="1"/>
      <c r="L4"/>
    </row>
    <row r="5" spans="2:20" x14ac:dyDescent="0.2">
      <c r="B5" s="27" t="s">
        <v>304</v>
      </c>
      <c r="C5" s="3"/>
      <c r="D5" s="3"/>
      <c r="H5" s="23"/>
    </row>
    <row r="6" spans="2:20" x14ac:dyDescent="0.2">
      <c r="C6" s="3"/>
      <c r="D6" s="3"/>
      <c r="H6" s="23"/>
    </row>
    <row r="7" spans="2:20" x14ac:dyDescent="0.2">
      <c r="B7" s="27" t="s">
        <v>305</v>
      </c>
      <c r="C7" s="3"/>
      <c r="D7" s="3"/>
      <c r="H7" s="23"/>
      <c r="T7" s="23"/>
    </row>
    <row r="8" spans="2:20" x14ac:dyDescent="0.2">
      <c r="B8" s="27" t="s">
        <v>204</v>
      </c>
      <c r="C8" s="3"/>
      <c r="D8" s="3"/>
      <c r="T8" s="23"/>
    </row>
    <row r="11" spans="2:20" s="9" customFormat="1" ht="25.5" x14ac:dyDescent="0.2">
      <c r="B11" s="9" t="s">
        <v>41</v>
      </c>
      <c r="F11" s="9" t="s">
        <v>23</v>
      </c>
      <c r="H11" s="9" t="s">
        <v>24</v>
      </c>
      <c r="J11" s="9" t="s">
        <v>45</v>
      </c>
      <c r="L11" s="49" t="s">
        <v>74</v>
      </c>
      <c r="M11" s="49" t="s">
        <v>75</v>
      </c>
      <c r="N11" s="49" t="s">
        <v>76</v>
      </c>
      <c r="O11" s="49" t="s">
        <v>77</v>
      </c>
      <c r="P11" s="49" t="s">
        <v>78</v>
      </c>
      <c r="R11" s="9" t="s">
        <v>42</v>
      </c>
      <c r="T11" s="9" t="s">
        <v>43</v>
      </c>
    </row>
    <row r="14" spans="2:20" s="9" customFormat="1" x14ac:dyDescent="0.2">
      <c r="B14" s="9" t="s">
        <v>306</v>
      </c>
    </row>
    <row r="15" spans="2:20" x14ac:dyDescent="0.2">
      <c r="L15" s="120"/>
      <c r="M15" s="120"/>
      <c r="N15" s="120"/>
      <c r="O15" s="120"/>
      <c r="P15" s="120"/>
    </row>
    <row r="16" spans="2:20" x14ac:dyDescent="0.2">
      <c r="B16" s="32" t="s">
        <v>79</v>
      </c>
      <c r="L16" s="120"/>
      <c r="M16" s="120"/>
      <c r="N16" s="120"/>
      <c r="O16" s="120"/>
      <c r="P16" s="120"/>
    </row>
    <row r="17" spans="2:24" x14ac:dyDescent="0.2">
      <c r="B17" s="2" t="s">
        <v>307</v>
      </c>
      <c r="F17" s="2" t="s">
        <v>136</v>
      </c>
      <c r="J17" s="50">
        <f>SUM(L17:P17)</f>
        <v>49947658.843265519</v>
      </c>
      <c r="L17" s="40">
        <v>529433.27152886253</v>
      </c>
      <c r="M17" s="40">
        <v>33198295.353286088</v>
      </c>
      <c r="N17" s="40">
        <v>3014164.722756159</v>
      </c>
      <c r="O17" s="40">
        <v>13170123.094164904</v>
      </c>
      <c r="P17" s="40">
        <v>35642.401529502626</v>
      </c>
      <c r="R17" s="2" t="s">
        <v>559</v>
      </c>
      <c r="T17" s="27"/>
    </row>
    <row r="18" spans="2:24" x14ac:dyDescent="0.2">
      <c r="B18" s="2" t="s">
        <v>308</v>
      </c>
      <c r="F18" s="2" t="s">
        <v>136</v>
      </c>
      <c r="J18" s="50">
        <f>SUM(L18:P18)</f>
        <v>4465335.2157920059</v>
      </c>
      <c r="L18" s="40">
        <v>60753.370030546095</v>
      </c>
      <c r="M18" s="40">
        <v>2430533.1263912036</v>
      </c>
      <c r="N18" s="40">
        <v>261019.84658276825</v>
      </c>
      <c r="O18" s="40">
        <v>1703007.8785878734</v>
      </c>
      <c r="P18" s="40">
        <v>10020.994199613922</v>
      </c>
      <c r="R18" s="191" t="s">
        <v>559</v>
      </c>
      <c r="T18" s="27" t="s">
        <v>412</v>
      </c>
    </row>
    <row r="20" spans="2:24" x14ac:dyDescent="0.2">
      <c r="B20" s="1" t="s">
        <v>80</v>
      </c>
    </row>
    <row r="21" spans="2:24" x14ac:dyDescent="0.2">
      <c r="B21" s="27" t="s">
        <v>309</v>
      </c>
      <c r="F21" s="2" t="s">
        <v>136</v>
      </c>
      <c r="J21" s="50">
        <f>SUM(L21:P21)</f>
        <v>14703025.88537636</v>
      </c>
      <c r="L21" s="40">
        <v>75047.108533129562</v>
      </c>
      <c r="M21" s="40">
        <v>6956459.6330684926</v>
      </c>
      <c r="N21" s="40">
        <v>4244620.9031950878</v>
      </c>
      <c r="O21" s="40">
        <v>3344279.1720128148</v>
      </c>
      <c r="P21" s="40">
        <v>82619.068566835398</v>
      </c>
      <c r="R21" s="2" t="s">
        <v>558</v>
      </c>
      <c r="T21" s="107" t="s">
        <v>413</v>
      </c>
    </row>
    <row r="22" spans="2:24" x14ac:dyDescent="0.2">
      <c r="B22" s="27" t="s">
        <v>431</v>
      </c>
      <c r="F22" s="2" t="s">
        <v>136</v>
      </c>
      <c r="N22" s="40">
        <v>2446771.09</v>
      </c>
      <c r="O22" s="120"/>
      <c r="P22" s="120"/>
      <c r="R22" s="191" t="s">
        <v>558</v>
      </c>
      <c r="T22" s="159"/>
    </row>
    <row r="23" spans="2:24" x14ac:dyDescent="0.2">
      <c r="L23" s="120"/>
      <c r="M23" s="120"/>
      <c r="N23" s="120"/>
      <c r="O23" s="120"/>
      <c r="P23" s="120"/>
    </row>
    <row r="25" spans="2:24" s="9" customFormat="1" x14ac:dyDescent="0.2">
      <c r="B25" s="9" t="s">
        <v>476</v>
      </c>
    </row>
    <row r="27" spans="2:24" x14ac:dyDescent="0.2">
      <c r="B27" s="1" t="s">
        <v>310</v>
      </c>
    </row>
    <row r="28" spans="2:24" x14ac:dyDescent="0.2">
      <c r="B28" s="2" t="s">
        <v>358</v>
      </c>
      <c r="F28" s="2" t="s">
        <v>71</v>
      </c>
      <c r="L28" s="79">
        <v>0</v>
      </c>
      <c r="M28" s="79">
        <v>0.5</v>
      </c>
      <c r="N28" s="79">
        <v>0</v>
      </c>
      <c r="O28" s="79">
        <v>0.5</v>
      </c>
      <c r="P28" s="79">
        <v>0.5</v>
      </c>
      <c r="R28" s="2" t="s">
        <v>477</v>
      </c>
    </row>
    <row r="29" spans="2:24" x14ac:dyDescent="0.2">
      <c r="B29" s="2" t="s">
        <v>359</v>
      </c>
      <c r="F29" s="2" t="s">
        <v>71</v>
      </c>
      <c r="L29" s="79">
        <v>0</v>
      </c>
      <c r="M29" s="79">
        <v>0.5</v>
      </c>
      <c r="N29" s="79">
        <v>0</v>
      </c>
      <c r="O29" s="79">
        <v>0.5</v>
      </c>
      <c r="P29" s="79">
        <v>0.5</v>
      </c>
      <c r="R29" s="191" t="s">
        <v>477</v>
      </c>
    </row>
    <row r="30" spans="2:24" x14ac:dyDescent="0.2">
      <c r="B30" s="2" t="s">
        <v>131</v>
      </c>
      <c r="F30" s="2" t="s">
        <v>71</v>
      </c>
      <c r="L30" s="186">
        <v>0</v>
      </c>
      <c r="M30" s="187">
        <v>0.13500000000000001</v>
      </c>
      <c r="N30" s="187">
        <v>0.32600000000000001</v>
      </c>
      <c r="O30" s="187">
        <v>0.157</v>
      </c>
      <c r="P30" s="200">
        <f>O30</f>
        <v>0.157</v>
      </c>
      <c r="R30" s="191" t="s">
        <v>558</v>
      </c>
      <c r="T30" s="70" t="s">
        <v>504</v>
      </c>
      <c r="X30" s="23"/>
    </row>
    <row r="31" spans="2:24" x14ac:dyDescent="0.2">
      <c r="T31" s="31"/>
    </row>
    <row r="35" spans="2:2" x14ac:dyDescent="0.2">
      <c r="B35" s="2" t="s">
        <v>72</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18</vt:i4>
      </vt:variant>
    </vt:vector>
  </HeadingPairs>
  <TitlesOfParts>
    <vt:vector size="18" baseType="lpstr">
      <vt:lpstr>Titelblad</vt:lpstr>
      <vt:lpstr>Toelichting</vt:lpstr>
      <vt:lpstr>Bronnen en toepassingen</vt:lpstr>
      <vt:lpstr>Resultaat - Tarieven 2021</vt:lpstr>
      <vt:lpstr>Dictum &amp; Bijlagen Elektriciteit</vt:lpstr>
      <vt:lpstr>Dictum &amp; Bijlagen Drinkwater</vt:lpstr>
      <vt:lpstr>Input --&gt;</vt:lpstr>
      <vt:lpstr>Parameters</vt:lpstr>
      <vt:lpstr>Gegevens kosten 2019</vt:lpstr>
      <vt:lpstr>Gegevens volumes 2019</vt:lpstr>
      <vt:lpstr>Gegevens raming 2021</vt:lpstr>
      <vt:lpstr>Correcties (incl. berekening)</vt:lpstr>
      <vt:lpstr>Berekeningen --&gt;</vt:lpstr>
      <vt:lpstr>Berekening kostenbasis 2021</vt:lpstr>
      <vt:lpstr>Variabel tarief elektriciteit</vt:lpstr>
      <vt:lpstr>Vaste tarieven elektriciteit</vt:lpstr>
      <vt:lpstr>Variabel tarief drinkwater</vt:lpstr>
      <vt:lpstr>Vaste tarieven drinkwater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2020-12-15T13:47:33Z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