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tabRatio="836"/>
  </bookViews>
  <sheets>
    <sheet name="Cover sheet" sheetId="9" r:id="rId1"/>
    <sheet name="Explanation" sheetId="10" r:id="rId2"/>
    <sheet name="Sources and applications" sheetId="11" r:id="rId3"/>
    <sheet name="Tariffs electricity" sheetId="21" r:id="rId4"/>
    <sheet name="Tariffs drinking water" sheetId="33" r:id="rId5"/>
    <sheet name="Input --&gt;" sheetId="13" r:id="rId6"/>
    <sheet name="Parameters" sheetId="30" r:id="rId7"/>
    <sheet name="Data on costs" sheetId="18" r:id="rId8"/>
    <sheet name="Data on volumes and tariffs" sheetId="25" r:id="rId9"/>
    <sheet name="Data on corrections" sheetId="26" r:id="rId10"/>
    <sheet name="Calculations --&gt;" sheetId="15" r:id="rId11"/>
    <sheet name="Fixed-variable costs" sheetId="32" r:id="rId12"/>
    <sheet name="Calculation income level" sheetId="22" r:id="rId13"/>
    <sheet name="Dictum&amp;Bijlage 1 Electricity EN" sheetId="35" r:id="rId14"/>
    <sheet name="Dictum&amp;Bijlage 1 Water EN" sheetId="36" r:id="rId15"/>
  </sheets>
  <calcPr calcId="145621"/>
</workbook>
</file>

<file path=xl/calcChain.xml><?xml version="1.0" encoding="utf-8"?>
<calcChain xmlns="http://schemas.openxmlformats.org/spreadsheetml/2006/main">
  <c r="O38" i="33" l="1"/>
  <c r="O19" i="22" l="1"/>
  <c r="O76" i="32"/>
  <c r="O75" i="32"/>
  <c r="M85" i="21" l="1"/>
  <c r="M28" i="21"/>
  <c r="H17" i="33" l="1"/>
  <c r="F65" i="35"/>
  <c r="H15" i="33"/>
  <c r="O27" i="33"/>
  <c r="M27" i="21"/>
  <c r="H15" i="21"/>
  <c r="J15" i="18" l="1"/>
  <c r="O38" i="18" l="1"/>
  <c r="N29" i="18"/>
  <c r="N28" i="18"/>
  <c r="N39" i="32" l="1"/>
  <c r="E45" i="36" s="1"/>
  <c r="O36" i="18" l="1"/>
  <c r="O37" i="18" s="1"/>
  <c r="J34" i="18"/>
  <c r="J42" i="18"/>
  <c r="J43" i="18"/>
  <c r="N27" i="18"/>
  <c r="J28" i="18" l="1"/>
  <c r="J37" i="18"/>
  <c r="O39" i="18"/>
  <c r="O43" i="32"/>
  <c r="J36" i="18"/>
  <c r="O52" i="25"/>
  <c r="J43" i="32" l="1"/>
  <c r="F45" i="36"/>
  <c r="O44" i="32"/>
  <c r="J39" i="18"/>
  <c r="J38" i="18"/>
  <c r="N32" i="25"/>
  <c r="J44" i="32" l="1"/>
  <c r="F44" i="36"/>
  <c r="L24" i="25"/>
  <c r="P56" i="25" l="1"/>
  <c r="J16" i="26" l="1"/>
  <c r="O25" i="32" l="1"/>
  <c r="O32" i="32" s="1"/>
  <c r="J32" i="32" s="1"/>
  <c r="J25" i="32" l="1"/>
  <c r="E33" i="36" l="1"/>
  <c r="E32" i="36"/>
  <c r="E31" i="36"/>
  <c r="E77" i="35"/>
  <c r="E75" i="35"/>
  <c r="E74" i="35"/>
  <c r="E49" i="35" l="1"/>
  <c r="E48" i="35"/>
  <c r="E47" i="35"/>
  <c r="N32" i="22" l="1"/>
  <c r="J32" i="22" s="1"/>
  <c r="N48" i="22" l="1"/>
  <c r="N25" i="33" l="1"/>
  <c r="E53" i="36" s="1"/>
  <c r="J48" i="22"/>
  <c r="O25" i="22"/>
  <c r="L39" i="21" l="1"/>
  <c r="M80" i="21" s="1"/>
  <c r="M79" i="25" l="1"/>
  <c r="L18" i="25" l="1"/>
  <c r="L20" i="25" s="1"/>
  <c r="E73" i="35" l="1"/>
  <c r="J20" i="26"/>
  <c r="J19" i="26"/>
  <c r="J15" i="26"/>
  <c r="J14" i="26"/>
  <c r="J13" i="26"/>
  <c r="J19" i="18"/>
  <c r="J18" i="18"/>
  <c r="J14" i="18"/>
  <c r="J13" i="18"/>
  <c r="J25" i="18"/>
  <c r="J27" i="18" l="1"/>
  <c r="N30" i="18" l="1"/>
  <c r="N40" i="32" s="1"/>
  <c r="J29" i="18"/>
  <c r="J39" i="32"/>
  <c r="J30" i="18"/>
  <c r="N42" i="33"/>
  <c r="E67" i="36" s="1"/>
  <c r="E44" i="36" l="1"/>
  <c r="J40" i="32"/>
  <c r="O53" i="32"/>
  <c r="P52" i="32"/>
  <c r="O52" i="32"/>
  <c r="O66" i="33" l="1"/>
  <c r="E19" i="36" s="1"/>
  <c r="O49" i="33"/>
  <c r="O48" i="33"/>
  <c r="F70" i="36" l="1"/>
  <c r="M104" i="21"/>
  <c r="E35" i="35" s="1"/>
  <c r="M64" i="21" l="1"/>
  <c r="M63" i="21"/>
  <c r="M62" i="21"/>
  <c r="M59" i="21"/>
  <c r="M58" i="21"/>
  <c r="M57" i="21"/>
  <c r="M56" i="21"/>
  <c r="M55" i="21"/>
  <c r="M54" i="21"/>
  <c r="M53" i="21"/>
  <c r="M52" i="21"/>
  <c r="M51" i="21"/>
  <c r="M50" i="21"/>
  <c r="M49" i="21"/>
  <c r="M48" i="21"/>
  <c r="M47" i="21"/>
  <c r="M46" i="21"/>
  <c r="P30" i="22" l="1"/>
  <c r="P44" i="22" s="1"/>
  <c r="P23" i="33" s="1"/>
  <c r="G51" i="36" s="1"/>
  <c r="P29" i="22"/>
  <c r="P43" i="22" s="1"/>
  <c r="P22" i="33" s="1"/>
  <c r="G50" i="36" s="1"/>
  <c r="P24" i="22"/>
  <c r="P36" i="33" s="1"/>
  <c r="O24" i="22"/>
  <c r="O36" i="33" s="1"/>
  <c r="N24" i="22"/>
  <c r="N36" i="33" s="1"/>
  <c r="E34" i="36" l="1"/>
  <c r="E65" i="36"/>
  <c r="F71" i="36"/>
  <c r="G66" i="36"/>
  <c r="F80" i="35"/>
  <c r="P35" i="32"/>
  <c r="P34" i="32"/>
  <c r="O48" i="32"/>
  <c r="O47" i="32"/>
  <c r="H18" i="32"/>
  <c r="O24" i="32"/>
  <c r="N24" i="32"/>
  <c r="N31" i="32" s="1"/>
  <c r="E39" i="36" s="1"/>
  <c r="M24" i="32"/>
  <c r="M31" i="32" s="1"/>
  <c r="F54" i="35" s="1"/>
  <c r="L24" i="32"/>
  <c r="L31" i="32" s="1"/>
  <c r="E54" i="35" s="1"/>
  <c r="O23" i="32"/>
  <c r="N23" i="32"/>
  <c r="N30" i="32" s="1"/>
  <c r="E38" i="36" s="1"/>
  <c r="M23" i="32"/>
  <c r="M30" i="32" s="1"/>
  <c r="F53" i="35" s="1"/>
  <c r="L23" i="32"/>
  <c r="L30" i="32" s="1"/>
  <c r="E53" i="35" s="1"/>
  <c r="O22" i="32"/>
  <c r="N22" i="32"/>
  <c r="N29" i="32" s="1"/>
  <c r="E41" i="36" s="1"/>
  <c r="M22" i="32"/>
  <c r="M29" i="32" s="1"/>
  <c r="F56" i="35" s="1"/>
  <c r="L22" i="32"/>
  <c r="L29" i="32" s="1"/>
  <c r="E56" i="35" s="1"/>
  <c r="M21" i="32"/>
  <c r="M28" i="32" s="1"/>
  <c r="F55" i="35" s="1"/>
  <c r="N21" i="32"/>
  <c r="N28" i="32" s="1"/>
  <c r="E40" i="36" s="1"/>
  <c r="O21" i="32"/>
  <c r="L21" i="32"/>
  <c r="F46" i="36" l="1"/>
  <c r="O29" i="32"/>
  <c r="F41" i="36" s="1"/>
  <c r="J48" i="32"/>
  <c r="F47" i="36"/>
  <c r="L28" i="32"/>
  <c r="E55" i="35" s="1"/>
  <c r="J21" i="32"/>
  <c r="P28" i="32"/>
  <c r="G40" i="36" s="1"/>
  <c r="O28" i="32"/>
  <c r="F40" i="36" s="1"/>
  <c r="J47" i="32"/>
  <c r="P29" i="32"/>
  <c r="G41" i="36" s="1"/>
  <c r="O30" i="32"/>
  <c r="P30" i="32"/>
  <c r="G38" i="36" s="1"/>
  <c r="J23" i="32"/>
  <c r="J22" i="32"/>
  <c r="J24" i="32"/>
  <c r="P31" i="32"/>
  <c r="G39" i="36" s="1"/>
  <c r="O31" i="32"/>
  <c r="F39" i="36" s="1"/>
  <c r="F38" i="36" l="1"/>
  <c r="J30" i="32"/>
  <c r="J29" i="32"/>
  <c r="J31" i="32"/>
  <c r="J28" i="32"/>
  <c r="P59" i="32"/>
  <c r="P60" i="32" s="1"/>
  <c r="P58" i="32"/>
  <c r="E76" i="35" l="1"/>
  <c r="H16" i="33" l="1"/>
  <c r="P28" i="33" l="1"/>
  <c r="G55" i="36" s="1"/>
  <c r="O28" i="33"/>
  <c r="F55" i="36" s="1"/>
  <c r="O70" i="33"/>
  <c r="E21" i="36" s="1"/>
  <c r="O69" i="33"/>
  <c r="E20" i="36" s="1"/>
  <c r="O31" i="22"/>
  <c r="O45" i="22" s="1"/>
  <c r="O24" i="33" s="1"/>
  <c r="O30" i="22"/>
  <c r="O44" i="22" s="1"/>
  <c r="O23" i="33" s="1"/>
  <c r="F51" i="36" s="1"/>
  <c r="N30" i="22"/>
  <c r="N44" i="22" s="1"/>
  <c r="N23" i="33" s="1"/>
  <c r="E51" i="36" s="1"/>
  <c r="O29" i="22"/>
  <c r="O43" i="22" s="1"/>
  <c r="O22" i="33" s="1"/>
  <c r="F50" i="36" s="1"/>
  <c r="N29" i="22"/>
  <c r="N43" i="22" s="1"/>
  <c r="N22" i="33" s="1"/>
  <c r="E50" i="36" s="1"/>
  <c r="N52" i="32"/>
  <c r="O35" i="32"/>
  <c r="N35" i="32"/>
  <c r="O34" i="32"/>
  <c r="N34" i="32"/>
  <c r="O58" i="33" l="1"/>
  <c r="F52" i="36"/>
  <c r="O58" i="32"/>
  <c r="O59" i="32"/>
  <c r="O60" i="32" s="1"/>
  <c r="N58" i="32"/>
  <c r="N59" i="32"/>
  <c r="N60" i="32" s="1"/>
  <c r="B47" i="21"/>
  <c r="B48" i="21"/>
  <c r="B49" i="21"/>
  <c r="B50" i="21"/>
  <c r="B51" i="21"/>
  <c r="B52" i="21"/>
  <c r="B53" i="21"/>
  <c r="B54" i="21"/>
  <c r="B55" i="21"/>
  <c r="B56" i="21"/>
  <c r="B57" i="21"/>
  <c r="B58" i="21"/>
  <c r="B59" i="21"/>
  <c r="B46" i="21"/>
  <c r="B88" i="21" s="1"/>
  <c r="O59" i="33" l="1"/>
  <c r="M24" i="22"/>
  <c r="L24" i="22"/>
  <c r="M35" i="32"/>
  <c r="L35" i="32"/>
  <c r="M34" i="32"/>
  <c r="M58" i="32" s="1"/>
  <c r="L34" i="32"/>
  <c r="M52" i="32"/>
  <c r="L52" i="32"/>
  <c r="H16" i="32"/>
  <c r="H15" i="32"/>
  <c r="H17" i="32"/>
  <c r="O67" i="32" s="1"/>
  <c r="O64" i="32" l="1"/>
  <c r="N64" i="32"/>
  <c r="P63" i="32"/>
  <c r="O63" i="32"/>
  <c r="O66" i="32" s="1"/>
  <c r="N63" i="32"/>
  <c r="M63" i="32"/>
  <c r="M66" i="32" s="1"/>
  <c r="M68" i="32" s="1"/>
  <c r="L63" i="32"/>
  <c r="L58" i="32"/>
  <c r="L59" i="32"/>
  <c r="M59" i="32"/>
  <c r="M60" i="32" s="1"/>
  <c r="O73" i="32" l="1"/>
  <c r="O65" i="32"/>
  <c r="O69" i="32"/>
  <c r="O20" i="22" s="1"/>
  <c r="F60" i="36" s="1"/>
  <c r="J67" i="32"/>
  <c r="J64" i="32"/>
  <c r="N65" i="32"/>
  <c r="N72" i="32" s="1"/>
  <c r="N16" i="22" s="1"/>
  <c r="J58" i="32"/>
  <c r="P66" i="32"/>
  <c r="P68" i="32" s="1"/>
  <c r="P74" i="32" s="1"/>
  <c r="P18" i="22" s="1"/>
  <c r="G59" i="36" s="1"/>
  <c r="P65" i="32"/>
  <c r="P72" i="32" s="1"/>
  <c r="P16" i="22" s="1"/>
  <c r="J63" i="32"/>
  <c r="L60" i="32"/>
  <c r="J59" i="32"/>
  <c r="M74" i="32"/>
  <c r="M18" i="22" s="1"/>
  <c r="F69" i="35" s="1"/>
  <c r="N66" i="32"/>
  <c r="M65" i="32"/>
  <c r="M72" i="32" s="1"/>
  <c r="M16" i="22" s="1"/>
  <c r="L65" i="32"/>
  <c r="L72" i="32" s="1"/>
  <c r="L66" i="32"/>
  <c r="M31" i="22"/>
  <c r="M30" i="22"/>
  <c r="M44" i="22" s="1"/>
  <c r="M22" i="21" s="1"/>
  <c r="F60" i="35" s="1"/>
  <c r="L30" i="22"/>
  <c r="M29" i="22"/>
  <c r="M43" i="22" s="1"/>
  <c r="M21" i="21" s="1"/>
  <c r="L29" i="22"/>
  <c r="O17" i="22" l="1"/>
  <c r="J73" i="32"/>
  <c r="F59" i="35"/>
  <c r="L43" i="22"/>
  <c r="J29" i="22"/>
  <c r="L44" i="22"/>
  <c r="J30" i="22"/>
  <c r="M45" i="22"/>
  <c r="J31" i="22"/>
  <c r="P41" i="22"/>
  <c r="L68" i="32"/>
  <c r="L74" i="32" s="1"/>
  <c r="L18" i="22" s="1"/>
  <c r="E69" i="35" s="1"/>
  <c r="M41" i="22"/>
  <c r="N68" i="32"/>
  <c r="N74" i="32" s="1"/>
  <c r="N18" i="22" s="1"/>
  <c r="L16" i="22"/>
  <c r="O72" i="32"/>
  <c r="J65" i="32"/>
  <c r="F59" i="36"/>
  <c r="J66" i="32"/>
  <c r="P20" i="33" l="1"/>
  <c r="P32" i="33" s="1"/>
  <c r="N41" i="22"/>
  <c r="E59" i="36"/>
  <c r="L22" i="21"/>
  <c r="E60" i="35" s="1"/>
  <c r="J44" i="22"/>
  <c r="M23" i="21"/>
  <c r="F61" i="35" s="1"/>
  <c r="J45" i="22"/>
  <c r="L21" i="21"/>
  <c r="E59" i="35" s="1"/>
  <c r="J43" i="22"/>
  <c r="L41" i="22"/>
  <c r="M19" i="21"/>
  <c r="M31" i="21" s="1"/>
  <c r="O16" i="22"/>
  <c r="O41" i="22" s="1"/>
  <c r="J72" i="32"/>
  <c r="L38" i="21"/>
  <c r="G58" i="36" l="1"/>
  <c r="F68" i="35"/>
  <c r="G61" i="36"/>
  <c r="N20" i="33"/>
  <c r="E58" i="36" s="1"/>
  <c r="M75" i="21"/>
  <c r="L19" i="21"/>
  <c r="E68" i="35" s="1"/>
  <c r="J16" i="22"/>
  <c r="L36" i="21"/>
  <c r="P73" i="33" l="1"/>
  <c r="J41" i="22"/>
  <c r="O20" i="33"/>
  <c r="O31" i="33" s="1"/>
  <c r="H16" i="21"/>
  <c r="M108" i="21" l="1"/>
  <c r="F58" i="36"/>
  <c r="H13" i="22"/>
  <c r="H12" i="22"/>
  <c r="M36" i="22"/>
  <c r="O63" i="33" l="1"/>
  <c r="E16" i="36" s="1"/>
  <c r="F61" i="36"/>
  <c r="M47" i="22"/>
  <c r="J36" i="22"/>
  <c r="M76" i="21"/>
  <c r="B14" i="10"/>
  <c r="J47" i="22" l="1"/>
  <c r="F70" i="35"/>
  <c r="N30" i="33"/>
  <c r="M25" i="21"/>
  <c r="F63" i="35" s="1"/>
  <c r="B21" i="10"/>
  <c r="B15" i="10"/>
  <c r="B16" i="10" s="1"/>
  <c r="B20" i="10" s="1"/>
  <c r="M86" i="21" l="1"/>
  <c r="N54" i="33"/>
  <c r="E61" i="36"/>
  <c r="M79" i="21"/>
  <c r="M81" i="21" s="1"/>
  <c r="L35" i="22"/>
  <c r="M90" i="21" l="1"/>
  <c r="M94" i="21"/>
  <c r="E25" i="35" s="1"/>
  <c r="M98" i="21"/>
  <c r="E29" i="35" s="1"/>
  <c r="M88" i="21"/>
  <c r="E19" i="35" s="1"/>
  <c r="M91" i="21"/>
  <c r="M95" i="21"/>
  <c r="E26" i="35" s="1"/>
  <c r="M99" i="21"/>
  <c r="E30" i="35" s="1"/>
  <c r="M92" i="21"/>
  <c r="E23" i="35" s="1"/>
  <c r="M96" i="21"/>
  <c r="M100" i="21"/>
  <c r="M89" i="21"/>
  <c r="M93" i="21"/>
  <c r="E24" i="35" s="1"/>
  <c r="M97" i="21"/>
  <c r="M101" i="21"/>
  <c r="E32" i="35" s="1"/>
  <c r="E17" i="35"/>
  <c r="E22" i="35"/>
  <c r="E27" i="35"/>
  <c r="E28" i="35"/>
  <c r="E21" i="35"/>
  <c r="L46" i="22"/>
  <c r="J46" i="22" s="1"/>
  <c r="J35" i="22"/>
  <c r="M43" i="21"/>
  <c r="L37" i="21"/>
  <c r="L35" i="21"/>
  <c r="B89" i="21"/>
  <c r="B90" i="21"/>
  <c r="B91" i="21"/>
  <c r="B92" i="21"/>
  <c r="B93" i="21"/>
  <c r="B94" i="21"/>
  <c r="B95" i="21"/>
  <c r="B96" i="21"/>
  <c r="B97" i="21"/>
  <c r="B98" i="21"/>
  <c r="B99" i="21"/>
  <c r="B100" i="21"/>
  <c r="B101" i="21"/>
  <c r="L24" i="21" l="1"/>
  <c r="E62" i="35" s="1"/>
  <c r="E20" i="35"/>
  <c r="F79" i="35"/>
  <c r="E31" i="35"/>
  <c r="L30" i="21"/>
  <c r="L71" i="21"/>
  <c r="E39" i="35"/>
  <c r="M107" i="21"/>
  <c r="E36" i="35" s="1"/>
  <c r="M109" i="21"/>
  <c r="E40" i="35" s="1"/>
  <c r="L70" i="21" l="1"/>
  <c r="E9" i="35" s="1"/>
  <c r="E70" i="35"/>
  <c r="L72" i="21" l="1"/>
  <c r="M77" i="21" s="1"/>
  <c r="M82" i="21" s="1"/>
  <c r="E14" i="35" l="1"/>
  <c r="N41" i="33"/>
  <c r="N44" i="33" s="1"/>
  <c r="N45" i="33" l="1"/>
  <c r="N55" i="33" s="1"/>
  <c r="N56" i="33" s="1"/>
  <c r="P74" i="33" s="1"/>
  <c r="E62" i="36"/>
  <c r="O57" i="33" l="1"/>
  <c r="O60" i="33" s="1"/>
  <c r="E9" i="36"/>
  <c r="E14" i="36" l="1"/>
  <c r="P75" i="33"/>
  <c r="E24" i="36" l="1"/>
</calcChain>
</file>

<file path=xl/comments1.xml><?xml version="1.0" encoding="utf-8"?>
<comments xmlns="http://schemas.openxmlformats.org/spreadsheetml/2006/main">
  <authors>
    <author>Auteur</author>
  </authors>
  <commentList>
    <comment ref="B20" authorId="0">
      <text>
        <r>
          <rPr>
            <sz val="8"/>
            <color indexed="81"/>
            <rFont val="Tahoma"/>
            <family val="2"/>
          </rPr>
          <t>notes to exceptions</t>
        </r>
      </text>
    </comment>
  </commentList>
</comments>
</file>

<file path=xl/comments2.xml><?xml version="1.0" encoding="utf-8"?>
<comments xmlns="http://schemas.openxmlformats.org/spreadsheetml/2006/main">
  <authors>
    <author>Auteur</author>
  </authors>
  <commentList>
    <comment ref="M15" authorId="0">
      <text>
        <r>
          <rPr>
            <sz val="8"/>
            <color indexed="81"/>
            <rFont val="Tahoma"/>
            <family val="2"/>
          </rPr>
          <t>Sum of bad debt for production and distribution</t>
        </r>
      </text>
    </comment>
  </commentList>
</comments>
</file>

<file path=xl/comments3.xml><?xml version="1.0" encoding="utf-8"?>
<comments xmlns="http://schemas.openxmlformats.org/spreadsheetml/2006/main">
  <authors>
    <author>Auteur</author>
  </authors>
  <commentList>
    <comment ref="O58" authorId="0">
      <text>
        <r>
          <rPr>
            <sz val="8"/>
            <color indexed="81"/>
            <rFont val="Tahoma"/>
            <family val="2"/>
          </rPr>
          <t>Income related to new connections is deducted from fixed operational costs</t>
        </r>
      </text>
    </comment>
  </commentList>
</comments>
</file>

<file path=xl/comments4.xml><?xml version="1.0" encoding="utf-8"?>
<comments xmlns="http://schemas.openxmlformats.org/spreadsheetml/2006/main">
  <authors>
    <author>Auteur</author>
  </authors>
  <commentList>
    <comment ref="O41" authorId="0">
      <text>
        <r>
          <rPr>
            <sz val="8"/>
            <color indexed="81"/>
            <rFont val="Tahoma"/>
            <family val="2"/>
          </rPr>
          <t>Including estimate extra capital costs for new water connections compared to the number of connections in 2018.</t>
        </r>
      </text>
    </comment>
  </commentList>
</comments>
</file>

<file path=xl/sharedStrings.xml><?xml version="1.0" encoding="utf-8"?>
<sst xmlns="http://schemas.openxmlformats.org/spreadsheetml/2006/main" count="1053" uniqueCount="486">
  <si>
    <t>Over de status van dit bestand</t>
  </si>
  <si>
    <t>Data</t>
  </si>
  <si>
    <t>Input --&gt;</t>
  </si>
  <si>
    <t xml:space="preserve">Description data </t>
  </si>
  <si>
    <t xml:space="preserve">Description </t>
  </si>
  <si>
    <t xml:space="preserve">Unit </t>
  </si>
  <si>
    <t>Constant</t>
  </si>
  <si>
    <t>Row total</t>
  </si>
  <si>
    <t>%</t>
  </si>
  <si>
    <t xml:space="preserve">Constant </t>
  </si>
  <si>
    <t xml:space="preserve">Row total </t>
  </si>
  <si>
    <t xml:space="preserve">Estimated total production </t>
  </si>
  <si>
    <t xml:space="preserve">Parameters on production and distribution </t>
  </si>
  <si>
    <t xml:space="preserve">kWh </t>
  </si>
  <si>
    <t>liters/kWh</t>
  </si>
  <si>
    <t>USD/liter</t>
  </si>
  <si>
    <t>#</t>
  </si>
  <si>
    <t>kVA</t>
  </si>
  <si>
    <t>Number of connections per kVA</t>
  </si>
  <si>
    <t>Calculation income level</t>
  </si>
  <si>
    <t xml:space="preserve">Description calculation </t>
  </si>
  <si>
    <t>Source</t>
  </si>
  <si>
    <t xml:space="preserve">Neccesary input parameters </t>
  </si>
  <si>
    <t>kWh</t>
  </si>
  <si>
    <t>Production price excl fuel</t>
  </si>
  <si>
    <t xml:space="preserve">Variable distribution tariff </t>
  </si>
  <si>
    <t xml:space="preserve">Production price incl fuel </t>
  </si>
  <si>
    <t>Variable distribution tariff</t>
  </si>
  <si>
    <t>Fixed distribution tariff per kVA category</t>
  </si>
  <si>
    <t>Income per kVA per month</t>
  </si>
  <si>
    <t>Tariff for reconnection</t>
  </si>
  <si>
    <t>USD, pl 2019</t>
  </si>
  <si>
    <t xml:space="preserve">CPI </t>
  </si>
  <si>
    <t>Tariff for connection</t>
  </si>
  <si>
    <t>Data on corrections</t>
  </si>
  <si>
    <t>Data corrections</t>
  </si>
  <si>
    <t xml:space="preserve">Data on corrections </t>
  </si>
  <si>
    <t>Description</t>
  </si>
  <si>
    <t>Unit</t>
  </si>
  <si>
    <t>Remarks</t>
  </si>
  <si>
    <t>Result</t>
  </si>
  <si>
    <t>Production price</t>
  </si>
  <si>
    <t xml:space="preserve">Electricity production </t>
  </si>
  <si>
    <t>Electricity distribution</t>
  </si>
  <si>
    <t>Description results</t>
  </si>
  <si>
    <t>Description data</t>
  </si>
  <si>
    <t>Explanatory notes</t>
  </si>
  <si>
    <t xml:space="preserve">The development of the CPI of Q3 year T and Q3 year T-1 will be used as the estimated inflation for the year T+1. The estimated inflation is rounded to one decimal. </t>
  </si>
  <si>
    <t>As of the development of the CPI between Q3 2017 and Q3 2018, the 2017 = 100 serie is used. Before this, the 2010 = 100 serie has been used.</t>
  </si>
  <si>
    <t>Comments</t>
  </si>
  <si>
    <t xml:space="preserve">WACC </t>
  </si>
  <si>
    <t>Data on costs</t>
  </si>
  <si>
    <t>Data on volumes and tariffs</t>
  </si>
  <si>
    <t>Most recent fuel price</t>
  </si>
  <si>
    <t>About this file</t>
  </si>
  <si>
    <t>Source overview and specifications</t>
  </si>
  <si>
    <t>List of sources</t>
  </si>
  <si>
    <t>On this sheet, an overview can be found in which the ACM describes the sources used for data and calculations in this file.</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</si>
  <si>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</si>
  <si>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</si>
  <si>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</si>
  <si>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</si>
  <si>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</si>
  <si>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</si>
  <si>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Additional information on this source</t>
  </si>
  <si>
    <t>Date received, email, file location</t>
  </si>
  <si>
    <t>Explanation to this file</t>
  </si>
  <si>
    <t>Legend to cell coloring</t>
  </si>
  <si>
    <t>Cellcolor numbers</t>
  </si>
  <si>
    <t>Data and input (source required)</t>
  </si>
  <si>
    <t>Value that is drawn from another sheet or cell without calculation</t>
  </si>
  <si>
    <t>Calculated value</t>
  </si>
  <si>
    <t>Result/calculated value that is referred to on another sheet</t>
  </si>
  <si>
    <t>Empty cell (not zero) used in a formula range</t>
  </si>
  <si>
    <t>Exceptional cells</t>
  </si>
  <si>
    <t>Value or calculation that needs special attention or explanation</t>
  </si>
  <si>
    <t>Input or calculation that is not yet up to date, pro memori or work in progress</t>
  </si>
  <si>
    <t>Sheet colors</t>
  </si>
  <si>
    <t>Model sheets</t>
  </si>
  <si>
    <t>Sheet with result/output</t>
  </si>
  <si>
    <t>Sheet with input</t>
  </si>
  <si>
    <t>Calculation</t>
  </si>
  <si>
    <t>Sheet with calculations</t>
  </si>
  <si>
    <t>Sheet that is not yet up to date/work in progress</t>
  </si>
  <si>
    <t>Explanatory sheets</t>
  </si>
  <si>
    <t>Empty sheet used for indexing</t>
  </si>
  <si>
    <t>Explanation</t>
  </si>
  <si>
    <t>Standardized sheets with information on the file</t>
  </si>
  <si>
    <t>Case number</t>
  </si>
  <si>
    <t>Title</t>
  </si>
  <si>
    <t>Coherence with other calculation files</t>
  </si>
  <si>
    <t>Other remarks</t>
  </si>
  <si>
    <t>Final version?</t>
  </si>
  <si>
    <t>Published?</t>
  </si>
  <si>
    <t>Is this file legally part of the decision(s) listed above?</t>
  </si>
  <si>
    <t>Contains business confidential information?</t>
  </si>
  <si>
    <t>Calculation of tariffs</t>
  </si>
  <si>
    <t>Estimated inflation 2020</t>
  </si>
  <si>
    <t>USD</t>
  </si>
  <si>
    <t>Fuel component correction</t>
  </si>
  <si>
    <t>In the profit sharing model, ACM has calculated the corrections for volume and profit sharing.</t>
  </si>
  <si>
    <t>In the fuel model, ACM has calculated the fuel price correction for the producer and the fuel component correction for the distributor.</t>
  </si>
  <si>
    <t>USD, pl 2020</t>
  </si>
  <si>
    <t>On this sheet the tariffs are calculated by ACM.</t>
  </si>
  <si>
    <t>ACM WACC decision 2019</t>
  </si>
  <si>
    <t>Input calculation production price</t>
  </si>
  <si>
    <t>Input calculation distribution tariffs</t>
  </si>
  <si>
    <t>Estimated fuel efficiency</t>
  </si>
  <si>
    <t>Estimated share production with fuel</t>
  </si>
  <si>
    <t>Fuel cost correction</t>
  </si>
  <si>
    <t>Fuel component</t>
  </si>
  <si>
    <t>Corrections as calculated in fuel model</t>
  </si>
  <si>
    <t>Corrections as calculated in profit sharing model</t>
  </si>
  <si>
    <t>Calculated in profit sharing model</t>
  </si>
  <si>
    <t>Calculated in fuel model</t>
  </si>
  <si>
    <t>CPI CBS</t>
  </si>
  <si>
    <t>Fixed/variable costs</t>
  </si>
  <si>
    <t>Variable part of OPEX</t>
  </si>
  <si>
    <t>(see column)</t>
  </si>
  <si>
    <t>Calculation Fixed vs. Variable costs</t>
  </si>
  <si>
    <t>On this sheet ACM makes a split of the costs per department in a fixed and a variable part.</t>
  </si>
  <si>
    <t>Electricity production</t>
  </si>
  <si>
    <t>Relevant data</t>
  </si>
  <si>
    <t>Volume</t>
  </si>
  <si>
    <t>Calculation fixed-variable costs</t>
  </si>
  <si>
    <t>Capital cost (RAB*WACC+ depreciation)</t>
  </si>
  <si>
    <t>Input from the OPEX-model</t>
  </si>
  <si>
    <t>Input from the RAB-model</t>
  </si>
  <si>
    <t>Data on volumes</t>
  </si>
  <si>
    <t>Total estimated volume</t>
  </si>
  <si>
    <t>Estimated volume</t>
  </si>
  <si>
    <t>Corrections per kWh</t>
  </si>
  <si>
    <t>Fuel component correction per kWh</t>
  </si>
  <si>
    <t>Expected number of connections per kVA</t>
  </si>
  <si>
    <t>Variable part of capital costs</t>
  </si>
  <si>
    <t>Based on analysis by ACM on fixed/variable costs in the Caribbean Netherlands</t>
  </si>
  <si>
    <t>Depreciation does not relate to any price level due to the use of a nominal WACC.</t>
  </si>
  <si>
    <t>RAB-value does not relate to any price level due to the use of a nominal WACC.</t>
  </si>
  <si>
    <t>Income level before corrections</t>
  </si>
  <si>
    <t>Tariffs associated with connection activities</t>
  </si>
  <si>
    <t>Column "Remarks" explains which correction will be included in which tariff. As the fuel component correction is calculated every six months, this correction will only be added to the variable usage tariff for the upcoming six months.</t>
  </si>
  <si>
    <t>Total corrections to be added on variable usage tariff 2020</t>
  </si>
  <si>
    <t>Estimated distribution data</t>
  </si>
  <si>
    <t>Realized volumes</t>
  </si>
  <si>
    <t>Based on assumption by ACM on fixed/variable costs in the Caribbean Netherlands</t>
  </si>
  <si>
    <t>OPEX-model</t>
  </si>
  <si>
    <t>RAB-model</t>
  </si>
  <si>
    <t>Fuel model</t>
  </si>
  <si>
    <t>Fuel model, sheet "Fuel component correction", row 26</t>
  </si>
  <si>
    <t>Parameters</t>
  </si>
  <si>
    <t>ACM has determined the operational costs and other income, by using the annual account and division keys provided by STUCO.</t>
  </si>
  <si>
    <t>This sheet shows the percentages used for the CPI, WACC and fixed/variable costs.</t>
  </si>
  <si>
    <t>Rekenmodel STUCO 2019</t>
  </si>
  <si>
    <t>Water production</t>
  </si>
  <si>
    <t>Water distribution</t>
  </si>
  <si>
    <t>m3</t>
  </si>
  <si>
    <t xml:space="preserve">Water production </t>
  </si>
  <si>
    <t>Water truck delivery</t>
  </si>
  <si>
    <t>Additional investments</t>
  </si>
  <si>
    <t>Net investment</t>
  </si>
  <si>
    <t>Weighted average depreciation rate</t>
  </si>
  <si>
    <t>Investment date</t>
  </si>
  <si>
    <t>liters</t>
  </si>
  <si>
    <t>Production yield based on fuel</t>
  </si>
  <si>
    <t>Production yield based on electricity</t>
  </si>
  <si>
    <t>kWh/m3</t>
  </si>
  <si>
    <t>Connection 3,2 and 7,7 kVA (incl. up to 25 meters)</t>
  </si>
  <si>
    <t>Tariff for road crossing for 3,2 kVA connection, per meter</t>
  </si>
  <si>
    <t>Tariff for road crossing for 7,7 kVA connection, per meter</t>
  </si>
  <si>
    <t>Tariff for road crossing, per meter</t>
  </si>
  <si>
    <t>Delivery of drinking water by truck</t>
  </si>
  <si>
    <t>Number of connections for water</t>
  </si>
  <si>
    <t># connections</t>
  </si>
  <si>
    <t>Fuel model, sheet "Fuel cost correction", row 21</t>
  </si>
  <si>
    <t>Estimated costs (before split water distribution)</t>
  </si>
  <si>
    <t>Estimated costs (after split water distribution)</t>
  </si>
  <si>
    <t>connections</t>
  </si>
  <si>
    <t>Fixed electricity costs for water production facility</t>
  </si>
  <si>
    <t>Network loss</t>
  </si>
  <si>
    <t>Electricity costs for water production</t>
  </si>
  <si>
    <t>Standard connection (incl. up to 25 meters)</t>
  </si>
  <si>
    <t>Tariff for road crossing for standard connection, per meter</t>
  </si>
  <si>
    <t>Distribution by truck</t>
  </si>
  <si>
    <t>Costs distribution water by truck</t>
  </si>
  <si>
    <t>Regular variable distribution tariff</t>
  </si>
  <si>
    <t>Price drinking water by truck</t>
  </si>
  <si>
    <t>New connection tariff 2020</t>
  </si>
  <si>
    <t>Fixed/variable operational costs</t>
  </si>
  <si>
    <t>USD / #</t>
  </si>
  <si>
    <t>The reconnection fee is set fixed at USD 40.</t>
  </si>
  <si>
    <t>Corrections per distributed m3</t>
  </si>
  <si>
    <t>FIN</t>
  </si>
  <si>
    <t>date</t>
  </si>
  <si>
    <t>Estimated production data electricity</t>
  </si>
  <si>
    <t>Production price per m3 (excl electricity costs)</t>
  </si>
  <si>
    <t>Electricity costs per m3</t>
  </si>
  <si>
    <t>Production price per m3 (incl electricity costs)</t>
  </si>
  <si>
    <t>Fixed distribution tariff</t>
  </si>
  <si>
    <t>For electricity, the tariff category is determined by the kVA of the connection.</t>
  </si>
  <si>
    <t>Fixed/variable capital costs</t>
  </si>
  <si>
    <t>These additonal investments are assumed to be fixed costs.</t>
  </si>
  <si>
    <t>On this sheet, the ACM calculates the income for each task, by bringing all relevant data to the same price level.</t>
  </si>
  <si>
    <t>Estimate bad debts</t>
  </si>
  <si>
    <t xml:space="preserve">Note: 'pl' means price level </t>
  </si>
  <si>
    <t>Liter/kWh</t>
  </si>
  <si>
    <t>Estimated production yield for fuel</t>
  </si>
  <si>
    <t xml:space="preserve">   Production by fuel</t>
  </si>
  <si>
    <t xml:space="preserve">   Production by solar</t>
  </si>
  <si>
    <t>Total estimated production volume</t>
  </si>
  <si>
    <t>Data on developments</t>
  </si>
  <si>
    <t xml:space="preserve">Additional tariff for road crossing </t>
  </si>
  <si>
    <t xml:space="preserve">Connections tariffs electricity </t>
  </si>
  <si>
    <t xml:space="preserve">  85,5 kVA</t>
  </si>
  <si>
    <t xml:space="preserve">  76 kVA</t>
  </si>
  <si>
    <t xml:space="preserve">  60,8 kVA</t>
  </si>
  <si>
    <t xml:space="preserve">  47,5 kVA</t>
  </si>
  <si>
    <t xml:space="preserve">  38 kVA</t>
  </si>
  <si>
    <t xml:space="preserve">  30,4 kVA</t>
  </si>
  <si>
    <t xml:space="preserve">  19 kVA</t>
  </si>
  <si>
    <t xml:space="preserve">  13,3 kVA</t>
  </si>
  <si>
    <t xml:space="preserve">  11 kVA</t>
  </si>
  <si>
    <t xml:space="preserve">  7,7 kVA</t>
  </si>
  <si>
    <t xml:space="preserve">  3,2 kVA</t>
  </si>
  <si>
    <t xml:space="preserve">Tariff category </t>
  </si>
  <si>
    <t>Tariff per kVA</t>
  </si>
  <si>
    <t xml:space="preserve">Fixed distribution tariff electricity </t>
  </si>
  <si>
    <t xml:space="preserve">Variable distribution tariff electricity </t>
  </si>
  <si>
    <t xml:space="preserve">Production price electricity excl. fuel </t>
  </si>
  <si>
    <t>Tariffs to include in Dictum production price decision</t>
  </si>
  <si>
    <t>Dictum en Bijlage 1 Besluit: tariffs and key figures Electricity</t>
  </si>
  <si>
    <t>kVA-connection for water production</t>
  </si>
  <si>
    <t>Required electricity for drinking water</t>
  </si>
  <si>
    <t xml:space="preserve">   of which distributed by truck</t>
  </si>
  <si>
    <t xml:space="preserve">Water distribution </t>
  </si>
  <si>
    <t>Connection tariffs drinking water</t>
  </si>
  <si>
    <t xml:space="preserve">Variable distribution tariff drinking water </t>
  </si>
  <si>
    <t>Production price drinking water</t>
  </si>
  <si>
    <t>Dictum en Bijlage 1 Besluit: tariffs and key figures Drinking Water</t>
  </si>
  <si>
    <t>Percentage for profit sharing</t>
  </si>
  <si>
    <t xml:space="preserve">  95 kVA</t>
  </si>
  <si>
    <t>Profit sharing percentage</t>
  </si>
  <si>
    <t xml:space="preserve">  23,94 kVA</t>
  </si>
  <si>
    <t xml:space="preserve">  13,86 kVA</t>
  </si>
  <si>
    <t>Additional: total electricity costs for production of drinking water</t>
  </si>
  <si>
    <t xml:space="preserve">  of which are the estimated variable costs per unit</t>
  </si>
  <si>
    <t xml:space="preserve">Income associated with new connections </t>
  </si>
  <si>
    <t>Income related to new connections</t>
  </si>
  <si>
    <t>For water distribution, income related to new connections is deducted from the fixed operational costs.</t>
  </si>
  <si>
    <t>Tariff new electricity connection 3,2 and 7,7 kVA (incl. up to 25 meters)</t>
  </si>
  <si>
    <t>Costs associated with new water connections</t>
  </si>
  <si>
    <t>ACM has requested STUCO to provide historic data and forward looking information. This sheet summarizes the information provided by STUCO relevant to the tariff determination.</t>
  </si>
  <si>
    <t>Extra estimated variable capital costs due to network growth</t>
  </si>
  <si>
    <t>Extra estimated variable capital costs per unit for network growth</t>
  </si>
  <si>
    <t>Calculation fixed and variable costs</t>
  </si>
  <si>
    <t>Input for calculation new connection tariff</t>
  </si>
  <si>
    <t>Bad debt allowance</t>
  </si>
  <si>
    <t>Maximum allowance for bad debts</t>
  </si>
  <si>
    <t xml:space="preserve">Column "Remarks" explains which correction will be included in which tariff. </t>
  </si>
  <si>
    <t xml:space="preserve">Fixed distribution tariff drinking water </t>
  </si>
  <si>
    <t>Allowance for bad debts</t>
  </si>
  <si>
    <t xml:space="preserve">  plus extra variable capital costs per new water connection</t>
  </si>
  <si>
    <t>Price fuel (most recent)</t>
  </si>
  <si>
    <t>ACM/20/040016</t>
  </si>
  <si>
    <t>This file uses input from OPEX calculation over 2019, RAB-model ultimo 2019, Profit sharing model and fuel model.</t>
  </si>
  <si>
    <t>This file contains the tariff calculation for 2021 for STUCO.</t>
  </si>
  <si>
    <t xml:space="preserve">On this sheet all the relevant information to include in the appendix of the decision on the tariffs of 2021 is shown. </t>
  </si>
  <si>
    <t>USD, pl 2021 / kWh</t>
  </si>
  <si>
    <t>Distribution tariffs 2021</t>
  </si>
  <si>
    <t>USD, pl 2021 / month</t>
  </si>
  <si>
    <t>USD, pl 2021</t>
  </si>
  <si>
    <t xml:space="preserve">Key figures Tariff decisions STUCO 2021 - Electricity </t>
  </si>
  <si>
    <t>WACC 2021</t>
  </si>
  <si>
    <t>Estimated inflation 2021</t>
  </si>
  <si>
    <t>Summary of cost data 2019</t>
  </si>
  <si>
    <t>Operational costs 2019 (excl fuel)</t>
  </si>
  <si>
    <t>Other income 2019</t>
  </si>
  <si>
    <t>Regulated Asset Value (ultimo 2019)</t>
  </si>
  <si>
    <t>Depreciation over 2019</t>
  </si>
  <si>
    <t>Volume-effect 2019</t>
  </si>
  <si>
    <t>Profit sharing: regular costs 2019</t>
  </si>
  <si>
    <t>Profit sharing: network losses 2019</t>
  </si>
  <si>
    <t>Fuel cost correction 2019</t>
  </si>
  <si>
    <t>Fuel component correction May-October 2020</t>
  </si>
  <si>
    <t>Income level 2021</t>
  </si>
  <si>
    <t>USD, pl 2021 / #</t>
  </si>
  <si>
    <t>Income level 2021 after corrections</t>
  </si>
  <si>
    <t>Other parameters (expectations 2021 electricity)</t>
  </si>
  <si>
    <t>Network loss (estimate for 2021)</t>
  </si>
  <si>
    <t>Total capacity of the network (estimate for 2021)</t>
  </si>
  <si>
    <t>USD, pp 2021 / m3</t>
  </si>
  <si>
    <t xml:space="preserve">USD, pp 2021 / month </t>
  </si>
  <si>
    <t>Key figures Tariff decisions STUCO 2021 - Drinking Water</t>
  </si>
  <si>
    <t>Expected percentage of drinking water delivered by truck in 2021</t>
  </si>
  <si>
    <t>Addition in RAB in 2021 due to growth of the water network</t>
  </si>
  <si>
    <t>Addition in depreciation in 2021 due to growth of the water network</t>
  </si>
  <si>
    <t>Energy costs correction 2020</t>
  </si>
  <si>
    <t>Other parameters (expectations 2021 drinking water)</t>
  </si>
  <si>
    <t>Network loss (estimated for 2021)</t>
  </si>
  <si>
    <t>Expected number of connections 2021 (standard category)</t>
  </si>
  <si>
    <t>Tariffs STUCO 2021 electricity</t>
  </si>
  <si>
    <t>Income level and corrections for tariffs 2021</t>
  </si>
  <si>
    <t>Income level for production price 2021</t>
  </si>
  <si>
    <t>Income level for fixed usage tariff 2021</t>
  </si>
  <si>
    <t>Volume-effect correction of 2019 will be applied to the production price resp. fixed usage tariff in 2021.</t>
  </si>
  <si>
    <t>Profit sharing correction for regular costs in 2019 will be applied to the production price resp. fixed usage tariff in 2021.</t>
  </si>
  <si>
    <t>Profit sharing correction for network losses in 2019 will be applied to the variable usage tariff in 2021.</t>
  </si>
  <si>
    <t>Fuel cost correction 2019 will be applied to the production price in 2021.</t>
  </si>
  <si>
    <t>Fuel component correction will be applied to the variable usage tariff in the first half of 2021.</t>
  </si>
  <si>
    <t>Costs of bad debts are added to the fixed usage tariff in 2021</t>
  </si>
  <si>
    <t>Estimated total production first half 2021</t>
  </si>
  <si>
    <t>Expected network losses 2021</t>
  </si>
  <si>
    <t>USD/kWh, pl 2021</t>
  </si>
  <si>
    <t>Expected sales 1st half of 2021</t>
  </si>
  <si>
    <t>Total expected kVA connected to the network in 2020</t>
  </si>
  <si>
    <t>USD/kVA/month, pl 2021</t>
  </si>
  <si>
    <t>USD/month, pl 2021</t>
  </si>
  <si>
    <t>The fuel correction takes place every six months. Therefore, the fuel correction of May-October 2020 will only be included in the variable usage tariff of January-June 2021.</t>
  </si>
  <si>
    <t>Valid for January - June 2021</t>
  </si>
  <si>
    <t>Tariffs STUCO 2021 water</t>
  </si>
  <si>
    <t>Volume-effect correction of 2019 will be applied to the production price, fixed usage tariff, resp. truck delivery tariff in 2021.</t>
  </si>
  <si>
    <t>Profit sharing correction for regular costs of 2019 will be applied to the production price, fixed usage tariff, resp. truck delivery tariff in 2021.</t>
  </si>
  <si>
    <t>The correction for changes in the variable usage tariff in 2020 that impacted the costs of water production will be applied to the production price in 2021.</t>
  </si>
  <si>
    <t>Income level for truck delivery tariff 2021</t>
  </si>
  <si>
    <t>Variable distribution tariff electricity 2021</t>
  </si>
  <si>
    <t>USD/m3, pl 2021</t>
  </si>
  <si>
    <t>Standard connection (incl. up to 25 meters) - tariff 2020</t>
  </si>
  <si>
    <t>Tariff for road crossing for standard connection, per meter - tariff 2020</t>
  </si>
  <si>
    <t>Total corrections to be added on variable usage tariff 2021</t>
  </si>
  <si>
    <t>Tariff for reconnection 2021</t>
  </si>
  <si>
    <t>ACM has determined the RAB, by calculating the value of the Initial RAB (up until 2015) and the RAB of new investments in 2016, 2017, 2018 and 2019.</t>
  </si>
  <si>
    <t>Cost data 2019</t>
  </si>
  <si>
    <t>Operational costs (excl fuel) 2019</t>
  </si>
  <si>
    <t>RAB-value ultimo 2019</t>
  </si>
  <si>
    <t>Depreciation 2019</t>
  </si>
  <si>
    <t>Additional costs 2021</t>
  </si>
  <si>
    <t>Depreciation in 2021</t>
  </si>
  <si>
    <t>RAB ultimo 2021</t>
  </si>
  <si>
    <t>Average RAB in 2021</t>
  </si>
  <si>
    <t>Addition related to new water connections 2021</t>
  </si>
  <si>
    <t>Addition in RAB due to new water connections 2021</t>
  </si>
  <si>
    <t>Addition in depreciation due to new water connections 2021</t>
  </si>
  <si>
    <t>Realized volume 2019</t>
  </si>
  <si>
    <t>Estimated production by solar in 2021</t>
  </si>
  <si>
    <t>Estimated production by fuel in 2021</t>
  </si>
  <si>
    <t>Estimated total production in 2021</t>
  </si>
  <si>
    <t>Estimated share of production with fuel in 2021</t>
  </si>
  <si>
    <t>Liters of fuel consumed for production in 2019</t>
  </si>
  <si>
    <t>Total production volume by fuel in 2019</t>
  </si>
  <si>
    <t>Total electricity used for production in 2019</t>
  </si>
  <si>
    <t>Electricity production 2019; Electricity connections 2019; Water production 2019; Water connections 2019; Distributed water 2019</t>
  </si>
  <si>
    <t>Estimated electricity production 2021</t>
  </si>
  <si>
    <t>The realized production yield of 2019 will be used as the estimation for 2021.</t>
  </si>
  <si>
    <t>Estimated water production 2021</t>
  </si>
  <si>
    <t>Electricity used for water production 2019</t>
  </si>
  <si>
    <t>Tariff for new connection in 2020</t>
  </si>
  <si>
    <t>Tariff for new water connection in 2020</t>
  </si>
  <si>
    <t>Number of new connections in 2019</t>
  </si>
  <si>
    <t>Tariff for new connections in 2019</t>
  </si>
  <si>
    <t>Expected drinking water delivered in 2021</t>
  </si>
  <si>
    <t>Rekenmodel STUCO 2020</t>
  </si>
  <si>
    <t>New water connnections 2019</t>
  </si>
  <si>
    <t>Distributed water 2021</t>
  </si>
  <si>
    <t>Tariff categories and volumes 2021</t>
  </si>
  <si>
    <t>Calculation kVA 2021</t>
  </si>
  <si>
    <t>Expected number of connections in 2021</t>
  </si>
  <si>
    <t>Water connections 2021</t>
  </si>
  <si>
    <t>Energy cost correction 2020</t>
  </si>
  <si>
    <t>Volume-effect correction will be applied to the production price resp. fixed usage tariff in 2021.</t>
  </si>
  <si>
    <t>Profit sharing correction for regular costs will be applied to the production price resp. fixed usage tariff in 2021.</t>
  </si>
  <si>
    <t>Profit sharing correction for network losses will be applied to the variable usage tariff in 2021.</t>
  </si>
  <si>
    <t>Depreciation in 2019</t>
  </si>
  <si>
    <t>Operational costs 2019 (excl fuel and other income)</t>
  </si>
  <si>
    <t>Other income 2019 (excl. income new connections for water distribution)</t>
  </si>
  <si>
    <t>Variable part of operational costs 2019</t>
  </si>
  <si>
    <t>Variable part of capital costs 2019</t>
  </si>
  <si>
    <t>Addition related to growth in water connections 2021</t>
  </si>
  <si>
    <t>Addition in RAB due to growth in water connections 2021</t>
  </si>
  <si>
    <t>Addition in depreciation due to growth in water connections 2021</t>
  </si>
  <si>
    <t>Realised volume 2019</t>
  </si>
  <si>
    <t>Estimated volume 2021 (for water distribution only)</t>
  </si>
  <si>
    <t>Estimated fixed operational costs 2019</t>
  </si>
  <si>
    <t>Estimated variable operational costs 2019</t>
  </si>
  <si>
    <t>Estimated variable operational costs 2019 per unit</t>
  </si>
  <si>
    <t>USD, pl 2019 / #</t>
  </si>
  <si>
    <t>Estimated variable capital costs 2019 (excl. addition new water connections)</t>
  </si>
  <si>
    <t>Estimated variable capital costs 2019 per unit (excl. addition for network growth)</t>
  </si>
  <si>
    <t>Total estimated fixed costs 2021</t>
  </si>
  <si>
    <t>Total estimated variable costs 2021 per unit (excl. addition for network growth)</t>
  </si>
  <si>
    <t>Extra estimated variable costs 2021 for network growth per new water connection</t>
  </si>
  <si>
    <t>These extra variable costs apply to network growth for accomodating new water connections above the number of connections in 2019.</t>
  </si>
  <si>
    <t>Estimated variable costs 2021 per unit</t>
  </si>
  <si>
    <t>Estimated volume for 2021</t>
  </si>
  <si>
    <t>Realised volume 2019 (for water distribution only)</t>
  </si>
  <si>
    <t>Income for 2021</t>
  </si>
  <si>
    <t>Income level 2021 before corrections</t>
  </si>
  <si>
    <t>The income level before corrections is equal to the expected costs in 2021 including a reasonable return (WACC).</t>
  </si>
  <si>
    <t>Estimated production volume 2021</t>
  </si>
  <si>
    <t xml:space="preserve">https://opendata.cbs.nl/statline/#/CBS/nl/dataset/84046NED/table?ts=1600788763622 </t>
  </si>
  <si>
    <t xml:space="preserve">https://www.acm.nl/nl/publicaties/wacc-elektriciteit-en-drinkwater-caribisch-nederland-2020-2022 </t>
  </si>
  <si>
    <t>OPEX-model, sheet "Result"; row 18</t>
  </si>
  <si>
    <t>OPEX-model, sheet "Result"; row 19</t>
  </si>
  <si>
    <t>RAB-model, sheet "Output"; row 36</t>
  </si>
  <si>
    <t>RAB-model, sheet "Output"; row 37</t>
  </si>
  <si>
    <t>Electricity production 2019</t>
  </si>
  <si>
    <t>Electricity connections 2019</t>
  </si>
  <si>
    <t>Water production 2019</t>
  </si>
  <si>
    <t>Water connections 2019</t>
  </si>
  <si>
    <t>Distributed water 2019</t>
  </si>
  <si>
    <t>Fuel model, sheet "Data production"; row 17</t>
  </si>
  <si>
    <t>Fuel model, sheet "Data production"; row 18</t>
  </si>
  <si>
    <t>Net losses electricity 2021</t>
  </si>
  <si>
    <t>Net losses water 2021</t>
  </si>
  <si>
    <t>Rekenmodel STUCO 2020, sheet "Tariffs drinking water"; row 72</t>
  </si>
  <si>
    <t>Rekenmodel STUCO 2020, sheet "Tariffs drinking water"; row 73</t>
  </si>
  <si>
    <t>Rekenmodel STUCO 2020, sheet "Tariffs electricity"; row 108</t>
  </si>
  <si>
    <t>Rekenmodel STUCO 2020, sheet "Tariffs electricity"; row 109</t>
  </si>
  <si>
    <t>Rekenmodel STUCO 2020, sheet "Tariffs electricity"; row 110</t>
  </si>
  <si>
    <t>Rekenmodel STUCO 2020, sheet "Tariffs electricity"; row 105;  sheet "Tariffs drinking water"; row 69</t>
  </si>
  <si>
    <t>This calculation is added, since the income from new drinking water connections is lower than the associated costs, due to a specific tariff arrangement.</t>
  </si>
  <si>
    <t>Excluding mark-up for road crossings.</t>
  </si>
  <si>
    <t>Rekenmodel STUCO 2019, sheet "Tariffs STUCO 2019"; row 59</t>
  </si>
  <si>
    <t>In this file STUCO introduces the assumption of 2% of total distributed water (so m3 after network losses) delivered by truck.</t>
  </si>
  <si>
    <t>PS-model, sheet "Result"; row 24</t>
  </si>
  <si>
    <t>PS-model, sheet "Result"; row 25</t>
  </si>
  <si>
    <t>PS-model, sheet "Result"; row 26</t>
  </si>
  <si>
    <t>PS-model, sheet "Result"; row 27</t>
  </si>
  <si>
    <t>PS-model</t>
  </si>
  <si>
    <t>ACM analysis RAB and depreciation calculation</t>
  </si>
  <si>
    <t xml:space="preserve">https://www.acm.nl/nl/publicaties/beschikking-productieprijzen-drinkwater-2019-sint-eustatius-caribisch-nederland </t>
  </si>
  <si>
    <t xml:space="preserve">https://www.acm.nl/nl/publicaties/beschikking-distributietarieven-drinkwater-2020-sint-eustatius-stuco-caribisch-nederland </t>
  </si>
  <si>
    <t>Response 1st information request STUCO: Question 25 #2</t>
  </si>
  <si>
    <t>Response 1st information request STUCO: Question 25 #1</t>
  </si>
  <si>
    <t>As determined by ACM.</t>
  </si>
  <si>
    <t>Last update input CBS: October 21, 2020</t>
  </si>
  <si>
    <t>Depreciation in 2021 (full year)</t>
  </si>
  <si>
    <t>RAB ultimo 2020</t>
  </si>
  <si>
    <t>STUCO</t>
  </si>
  <si>
    <t>Estimated lifecycle of 25 years as discussed in VC on October 29, 2020</t>
  </si>
  <si>
    <t>Estimated investment date as discussed in VC on October 29, 2020</t>
  </si>
  <si>
    <t>Expected increase of RAB 2021, in relation to increase in number of conections. Calculation based on trend in RAB per connection over 2016 - 2019.</t>
  </si>
  <si>
    <t>Expected increase of depreciation costs in 2021, in relation to increase in number of conections. Calculated based on trend in RAB per connection (and depreciaition as a result) over 2016- 2019.</t>
  </si>
  <si>
    <t>Net losses electricity 2019; Net losses water 2019</t>
  </si>
  <si>
    <t>Realized network losses 2019 in %</t>
  </si>
  <si>
    <t>Reconnection fee</t>
  </si>
  <si>
    <t>Monthly fixed usage fee for electricity is fully subsidized in 2021.</t>
  </si>
  <si>
    <t>Estimated fixed capital costs 2021</t>
  </si>
  <si>
    <t>Additional fixed capital costs 2021</t>
  </si>
  <si>
    <t>Invoice STUCO November 3, 2020</t>
  </si>
  <si>
    <t>Additional RAB related to new investment</t>
  </si>
  <si>
    <t>Additional deprecation related to new investment</t>
  </si>
  <si>
    <t>Estimated lifecycle of 20 years as discussed in VC on October 29, 2020</t>
  </si>
  <si>
    <t>Cover sheet</t>
  </si>
  <si>
    <t>Objections and appeals can be filed against the decision to which this file belongs.</t>
  </si>
  <si>
    <t>Disclaimer</t>
  </si>
  <si>
    <t xml:space="preserve">If there are any substantive differences between the calculation in this file and the calculation that follows from the relevant decision, the decision's calculation is authentic. </t>
  </si>
  <si>
    <t>For 2021, estimated bad debt is added to the variable usage tariff.</t>
  </si>
  <si>
    <t>Bad debt</t>
  </si>
  <si>
    <t>OPEX-model, sheet "Assessment OPEX"; row 243</t>
  </si>
  <si>
    <t>Variable distribution tariff before fuel correction and network losses</t>
  </si>
  <si>
    <t>Water production facility</t>
  </si>
  <si>
    <t>Water storage tank</t>
  </si>
  <si>
    <t>Expected percentage of water by truck 2021</t>
  </si>
  <si>
    <t>Expected percentage of water delivered by truck in 2021</t>
  </si>
  <si>
    <t>Total electricity costs for production of water</t>
  </si>
  <si>
    <t>Variable distribution tariff water 2021</t>
  </si>
  <si>
    <t>Variable distribution tariff water before corrections</t>
  </si>
  <si>
    <t>Fixed distribution tariff water 2021</t>
  </si>
  <si>
    <t>Price water by truck</t>
  </si>
  <si>
    <t>Estimation production data water</t>
  </si>
  <si>
    <t>ACM assumes other income to be relatex to fixed costs.</t>
  </si>
  <si>
    <t>Estimated variable operational costs 2021 per unit (excl. addition for network growth)</t>
  </si>
  <si>
    <t>Total estimated regular variable capital costs 20121 (excl. addition new water connections)</t>
  </si>
  <si>
    <t>Total estimated regular variable capital costs includes all regular variable capital costs up to the realised volume of 2019.</t>
  </si>
  <si>
    <t>Total estimated costs 2021 based on estimated volume 2021</t>
  </si>
  <si>
    <t>Belongs to decision(s)</t>
  </si>
  <si>
    <t>Reference number of decision(s)</t>
  </si>
  <si>
    <t>Beschikking productieprijs elektriciteit 2021 STUCO
Beschikking productieprijs drinkwater 2021 STUCO
Beschikking distributietarieven elektriciteit 2021 STUCO
Beschikking distributietarieven drinkwater 2021 STUCO</t>
  </si>
  <si>
    <t xml:space="preserve"> ACM/UIT/544864
 ACM/UIT/544865
 ACM/UIT/544900
 ACM/UIT/544902</t>
  </si>
  <si>
    <t>Berekening tarieven STUCO 2021</t>
  </si>
  <si>
    <t>Yes</t>
  </si>
  <si>
    <t>RAB STUCO ultimo 2019 t.b.v. tarieven 2021</t>
  </si>
  <si>
    <t>OPEX STUCO t.b.v. tarieven 2021</t>
  </si>
  <si>
    <t>Fuel model STUCO t.b.v. tarieven 2021</t>
  </si>
  <si>
    <t>Berekening profit sharing correcties voor tarieven STUCO 2021</t>
  </si>
  <si>
    <t>E-mail STUCO to ACM</t>
  </si>
  <si>
    <t>Analysis ACM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</si>
</sst>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000_ ;_ * \-#,##0.000_ ;_ * &quot;-&quot;??_ ;_ @_ "/>
    <numFmt numFmtId="166" formatCode="_ * #,##0_ ;_ * \-#,##0_ ;_ * &quot;-&quot;??_ ;_ @_ "/>
    <numFmt numFmtId="167" formatCode="_ * #,##0.0_ ;_ * \-#,##0.0_ ;_ * &quot;-&quot;??_ ;_ @_ "/>
    <numFmt numFmtId="168" formatCode="0.0%"/>
    <numFmt numFmtId="169" formatCode="0.0000"/>
    <numFmt numFmtId="170" formatCode="0.000"/>
    <numFmt numFmtId="171" formatCode="_ * #,##0.00000_ ;_ * \-#,##0.00000_ ;_ * &quot;-&quot;??_ ;_ @_ "/>
  </numFmts>
  <fonts count="31" x14ac:knownFonts="1">
    <font>
      <sz val="11"/>
      <color theme="1"/>
      <name val="Calibri"/>
      <family val="2"/>
      <scheme val="minor"/>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u/>
      <sz val="10"/>
      <color theme="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69">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10" fillId="5" borderId="1">
      <alignment vertical="top"/>
    </xf>
    <xf numFmtId="49" fontId="7" fillId="21" borderId="1">
      <alignment vertical="top"/>
    </xf>
    <xf numFmtId="49" fontId="7" fillId="0" borderId="0">
      <alignment vertical="top"/>
    </xf>
    <xf numFmtId="43" fontId="6" fillId="14" borderId="0">
      <alignment vertical="top"/>
    </xf>
    <xf numFmtId="43" fontId="6" fillId="13" borderId="0">
      <alignment vertical="top"/>
    </xf>
    <xf numFmtId="43" fontId="6" fillId="11" borderId="0">
      <alignment vertical="top"/>
    </xf>
    <xf numFmtId="43" fontId="6" fillId="6" borderId="0">
      <alignment vertical="top"/>
    </xf>
    <xf numFmtId="43" fontId="6" fillId="8" borderId="0">
      <alignment vertical="top"/>
    </xf>
    <xf numFmtId="43" fontId="6" fillId="15" borderId="0">
      <alignment vertical="top"/>
    </xf>
    <xf numFmtId="49" fontId="12" fillId="0" borderId="0">
      <alignment vertical="top"/>
    </xf>
    <xf numFmtId="49" fontId="11" fillId="0" borderId="0">
      <alignment vertical="top"/>
    </xf>
    <xf numFmtId="0" fontId="17" fillId="17" borderId="3" applyNumberFormat="0" applyAlignment="0" applyProtection="0"/>
    <xf numFmtId="0" fontId="18" fillId="18" borderId="4" applyNumberFormat="0" applyAlignment="0" applyProtection="0"/>
    <xf numFmtId="0" fontId="19" fillId="18" borderId="3" applyNumberFormat="0" applyAlignment="0" applyProtection="0"/>
    <xf numFmtId="0" fontId="20" fillId="0" borderId="5" applyNumberFormat="0" applyFill="0" applyAlignment="0" applyProtection="0"/>
    <xf numFmtId="0" fontId="14" fillId="19" borderId="6" applyNumberFormat="0" applyAlignment="0" applyProtection="0"/>
    <xf numFmtId="0" fontId="16" fillId="20"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8" fillId="45" borderId="0" applyNumberFormat="0" applyBorder="0" applyAlignment="0" applyProtection="0"/>
    <xf numFmtId="0" fontId="29" fillId="0" borderId="0" applyNumberFormat="0" applyFill="0" applyBorder="0" applyAlignment="0" applyProtection="0"/>
    <xf numFmtId="43" fontId="16" fillId="0" borderId="0" applyFont="0" applyFill="0" applyBorder="0" applyAlignment="0" applyProtection="0"/>
    <xf numFmtId="49" fontId="30" fillId="0" borderId="0" applyFill="0" applyBorder="0" applyAlignment="0" applyProtection="0"/>
    <xf numFmtId="43" fontId="6" fillId="46" borderId="0" applyNumberFormat="0">
      <alignment vertical="top"/>
    </xf>
    <xf numFmtId="10" fontId="6" fillId="0" borderId="0" applyFont="0" applyFill="0" applyBorder="0" applyAlignment="0" applyProtection="0">
      <alignment vertical="top"/>
    </xf>
    <xf numFmtId="0" fontId="21" fillId="0" borderId="0" applyNumberFormat="0" applyFill="0" applyBorder="0" applyAlignment="0" applyProtection="0"/>
    <xf numFmtId="10" fontId="6" fillId="0" borderId="0" applyFont="0" applyFill="0" applyBorder="0" applyAlignment="0" applyProtection="0">
      <alignment vertical="top"/>
    </xf>
    <xf numFmtId="43" fontId="6" fillId="13" borderId="0" applyFont="0" applyFill="0" applyBorder="0" applyAlignment="0" applyProtection="0">
      <alignment vertical="top"/>
    </xf>
    <xf numFmtId="49" fontId="30" fillId="0" borderId="0" applyFill="0" applyBorder="0" applyAlignment="0" applyProtection="0"/>
  </cellStyleXfs>
  <cellXfs count="204">
    <xf numFmtId="0" fontId="0" fillId="0" borderId="0" xfId="0"/>
    <xf numFmtId="49" fontId="30" fillId="0" borderId="2" xfId="68" applyBorder="1" applyAlignment="1">
      <alignment vertical="top"/>
    </xf>
    <xf numFmtId="49" fontId="6" fillId="0" borderId="0" xfId="15" applyFont="1">
      <alignment vertical="top"/>
    </xf>
    <xf numFmtId="10" fontId="6" fillId="6" borderId="0" xfId="66" applyFill="1">
      <alignment vertical="top"/>
    </xf>
    <xf numFmtId="49" fontId="6" fillId="0" borderId="0" xfId="7" applyFont="1">
      <alignment vertical="top"/>
    </xf>
    <xf numFmtId="167" fontId="6" fillId="0" borderId="0" xfId="4" applyNumberFormat="1">
      <alignment vertical="top"/>
    </xf>
    <xf numFmtId="166" fontId="6" fillId="46" borderId="0" xfId="63" applyNumberFormat="1">
      <alignment vertical="top"/>
    </xf>
    <xf numFmtId="10" fontId="6" fillId="6" borderId="0" xfId="11" applyNumberFormat="1">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0" fontId="12" fillId="0" borderId="0" xfId="4" applyFont="1">
      <alignment vertical="top"/>
    </xf>
    <xf numFmtId="0" fontId="6" fillId="0" borderId="2" xfId="4" applyBorder="1">
      <alignment vertical="top"/>
    </xf>
    <xf numFmtId="49" fontId="10" fillId="5" borderId="1" xfId="5">
      <alignment vertical="top"/>
    </xf>
    <xf numFmtId="49" fontId="7" fillId="21" borderId="1" xfId="6">
      <alignment vertical="top"/>
    </xf>
    <xf numFmtId="0" fontId="6" fillId="0" borderId="0" xfId="4" applyFill="1">
      <alignment vertical="top"/>
    </xf>
    <xf numFmtId="0" fontId="6" fillId="0" borderId="2" xfId="4" applyBorder="1" applyAlignment="1">
      <alignment horizontal="left" vertical="top" wrapText="1"/>
    </xf>
    <xf numFmtId="0" fontId="10" fillId="5" borderId="1" xfId="4" applyFont="1" applyFill="1" applyBorder="1">
      <alignment vertical="top"/>
    </xf>
    <xf numFmtId="0" fontId="9" fillId="5" borderId="1" xfId="4" applyFont="1" applyFill="1" applyBorder="1">
      <alignment vertical="top"/>
    </xf>
    <xf numFmtId="0" fontId="12" fillId="0" borderId="0" xfId="4" applyFont="1" applyFill="1">
      <alignment vertical="top"/>
    </xf>
    <xf numFmtId="0" fontId="6" fillId="7" borderId="0" xfId="4" applyFill="1">
      <alignment vertical="top"/>
    </xf>
    <xf numFmtId="2" fontId="6" fillId="12" borderId="0" xfId="4" applyNumberFormat="1" applyFill="1">
      <alignment vertical="top"/>
    </xf>
    <xf numFmtId="1" fontId="6" fillId="0" borderId="0" xfId="4" applyNumberFormat="1" applyFill="1">
      <alignment vertical="top"/>
    </xf>
    <xf numFmtId="0" fontId="10" fillId="5" borderId="1" xfId="5" applyNumberFormat="1">
      <alignment vertical="top"/>
    </xf>
    <xf numFmtId="0" fontId="15" fillId="0" borderId="0" xfId="4" applyFont="1">
      <alignment vertical="top"/>
    </xf>
    <xf numFmtId="0" fontId="6" fillId="16" borderId="0" xfId="4" applyFill="1">
      <alignment vertical="top"/>
    </xf>
    <xf numFmtId="0" fontId="6" fillId="0" borderId="0" xfId="4" applyFont="1">
      <alignment vertical="top"/>
    </xf>
    <xf numFmtId="49" fontId="6" fillId="21" borderId="2" xfId="6" applyFont="1" applyBorder="1">
      <alignment vertical="top"/>
    </xf>
    <xf numFmtId="0" fontId="6" fillId="0" borderId="2" xfId="4" applyFont="1" applyBorder="1">
      <alignment vertical="top"/>
    </xf>
    <xf numFmtId="49" fontId="7" fillId="0" borderId="0" xfId="7">
      <alignment vertical="top"/>
    </xf>
    <xf numFmtId="0" fontId="6" fillId="0" borderId="2" xfId="4" applyFont="1" applyBorder="1" applyAlignment="1">
      <alignment horizontal="left" vertical="top" wrapText="1"/>
    </xf>
    <xf numFmtId="43" fontId="6" fillId="6" borderId="0" xfId="11">
      <alignment vertical="top"/>
    </xf>
    <xf numFmtId="164" fontId="6" fillId="13" borderId="0" xfId="9" applyNumberFormat="1">
      <alignment vertical="top"/>
    </xf>
    <xf numFmtId="166" fontId="6" fillId="13" borderId="0" xfId="9" applyNumberFormat="1">
      <alignment vertical="top"/>
    </xf>
    <xf numFmtId="164" fontId="6" fillId="15" borderId="0" xfId="13" applyNumberFormat="1">
      <alignment vertical="top"/>
    </xf>
    <xf numFmtId="43" fontId="6" fillId="15" borderId="0" xfId="13">
      <alignment vertical="top"/>
    </xf>
    <xf numFmtId="43" fontId="6" fillId="14" borderId="0" xfId="8">
      <alignment vertical="top"/>
    </xf>
    <xf numFmtId="164" fontId="6" fillId="14" borderId="0" xfId="8" applyNumberFormat="1">
      <alignment vertical="top"/>
    </xf>
    <xf numFmtId="166" fontId="6" fillId="15" borderId="0" xfId="13" applyNumberFormat="1">
      <alignment vertical="top"/>
    </xf>
    <xf numFmtId="167" fontId="6" fillId="15" borderId="0" xfId="13" applyNumberFormat="1">
      <alignment vertical="top"/>
    </xf>
    <xf numFmtId="165" fontId="6" fillId="15" borderId="0" xfId="13" applyNumberFormat="1">
      <alignment vertical="top"/>
    </xf>
    <xf numFmtId="166" fontId="6" fillId="6" borderId="0" xfId="11" applyNumberFormat="1">
      <alignment vertical="top"/>
    </xf>
    <xf numFmtId="168" fontId="6" fillId="6" borderId="0" xfId="11" applyNumberFormat="1">
      <alignment vertical="top"/>
    </xf>
    <xf numFmtId="166" fontId="6" fillId="0" borderId="0" xfId="4" applyNumberFormat="1">
      <alignment vertical="top"/>
    </xf>
    <xf numFmtId="167" fontId="6" fillId="6" borderId="0" xfId="11" applyNumberFormat="1">
      <alignment vertical="top"/>
    </xf>
    <xf numFmtId="0" fontId="2" fillId="0" borderId="0" xfId="0" applyFont="1"/>
    <xf numFmtId="166" fontId="6" fillId="0" borderId="0" xfId="9" applyNumberFormat="1" applyFill="1">
      <alignment vertical="top"/>
    </xf>
    <xf numFmtId="49" fontId="7" fillId="0" borderId="0" xfId="7">
      <alignment vertical="top"/>
    </xf>
    <xf numFmtId="49" fontId="7" fillId="21" borderId="1" xfId="6">
      <alignment vertical="top"/>
    </xf>
    <xf numFmtId="0" fontId="6" fillId="0" borderId="0" xfId="4" applyFill="1">
      <alignment vertical="top"/>
    </xf>
    <xf numFmtId="0" fontId="6" fillId="0" borderId="0" xfId="4">
      <alignment vertical="top"/>
    </xf>
    <xf numFmtId="166" fontId="6" fillId="6" borderId="0" xfId="11" applyNumberFormat="1">
      <alignment vertical="top"/>
    </xf>
    <xf numFmtId="166" fontId="6" fillId="13" borderId="0" xfId="9" applyNumberFormat="1">
      <alignment vertical="top"/>
    </xf>
    <xf numFmtId="43" fontId="6" fillId="46" borderId="0" xfId="63">
      <alignment vertical="top"/>
    </xf>
    <xf numFmtId="0" fontId="6" fillId="46" borderId="0" xfId="63" applyNumberFormat="1">
      <alignment vertical="top"/>
    </xf>
    <xf numFmtId="49" fontId="7" fillId="21" borderId="1" xfId="6" applyFont="1">
      <alignment vertical="top"/>
    </xf>
    <xf numFmtId="49" fontId="7" fillId="21" borderId="12" xfId="6" applyBorder="1">
      <alignment vertical="top"/>
    </xf>
    <xf numFmtId="0" fontId="6" fillId="47" borderId="0" xfId="4" applyFill="1">
      <alignment vertical="top"/>
    </xf>
    <xf numFmtId="0" fontId="0" fillId="0" borderId="0" xfId="0" applyAlignment="1">
      <alignment vertical="top"/>
    </xf>
    <xf numFmtId="49" fontId="11" fillId="0" borderId="0" xfId="15">
      <alignment vertical="top"/>
    </xf>
    <xf numFmtId="49" fontId="7" fillId="21" borderId="1" xfId="6" applyAlignment="1">
      <alignment vertical="top" wrapText="1"/>
    </xf>
    <xf numFmtId="0" fontId="6" fillId="0" borderId="2" xfId="4" applyBorder="1" applyAlignment="1">
      <alignment vertical="top" wrapText="1"/>
    </xf>
    <xf numFmtId="0" fontId="6" fillId="0" borderId="0" xfId="4" applyBorder="1">
      <alignment vertical="top"/>
    </xf>
    <xf numFmtId="0" fontId="6" fillId="0" borderId="2" xfId="4" applyFill="1" applyBorder="1">
      <alignment vertical="top"/>
    </xf>
    <xf numFmtId="43" fontId="6" fillId="13" borderId="0" xfId="9">
      <alignment vertical="top"/>
    </xf>
    <xf numFmtId="0" fontId="7" fillId="0" borderId="0" xfId="4" applyFont="1">
      <alignment vertical="top"/>
    </xf>
    <xf numFmtId="49" fontId="7" fillId="21" borderId="1" xfId="6">
      <alignment vertical="top"/>
    </xf>
    <xf numFmtId="0" fontId="15" fillId="0" borderId="0" xfId="4" applyFont="1">
      <alignment vertical="top"/>
    </xf>
    <xf numFmtId="49" fontId="7" fillId="0" borderId="0" xfId="7">
      <alignment vertical="top"/>
    </xf>
    <xf numFmtId="0" fontId="6" fillId="0" borderId="0" xfId="4">
      <alignment vertical="top"/>
    </xf>
    <xf numFmtId="166" fontId="6" fillId="13" borderId="0" xfId="9" applyNumberFormat="1">
      <alignment vertical="top"/>
    </xf>
    <xf numFmtId="166" fontId="6" fillId="14" borderId="0" xfId="8" applyNumberFormat="1">
      <alignment vertical="top"/>
    </xf>
    <xf numFmtId="0" fontId="6" fillId="0" borderId="0" xfId="4" applyBorder="1">
      <alignment vertical="top"/>
    </xf>
    <xf numFmtId="49" fontId="14" fillId="5" borderId="1" xfId="5" applyFont="1">
      <alignment vertical="top"/>
    </xf>
    <xf numFmtId="43" fontId="6" fillId="11" borderId="0" xfId="10">
      <alignment vertical="top"/>
    </xf>
    <xf numFmtId="43" fontId="6" fillId="8" borderId="0" xfId="12">
      <alignment vertical="top"/>
    </xf>
    <xf numFmtId="0" fontId="6" fillId="10" borderId="0" xfId="4" applyFont="1" applyFill="1">
      <alignment vertical="top"/>
    </xf>
    <xf numFmtId="0" fontId="6" fillId="9" borderId="0" xfId="4" applyFont="1" applyFill="1">
      <alignment vertical="top"/>
    </xf>
    <xf numFmtId="0" fontId="6" fillId="13" borderId="0" xfId="4" applyFont="1" applyFill="1">
      <alignment vertical="top"/>
    </xf>
    <xf numFmtId="49" fontId="6" fillId="21" borderId="0" xfId="6" applyFont="1" applyBorder="1">
      <alignment vertical="top"/>
    </xf>
    <xf numFmtId="9" fontId="6" fillId="15" borderId="0" xfId="13" applyNumberFormat="1">
      <alignment vertical="top"/>
    </xf>
    <xf numFmtId="10" fontId="6" fillId="15" borderId="0" xfId="13" applyNumberFormat="1">
      <alignment vertical="top"/>
    </xf>
    <xf numFmtId="168" fontId="6" fillId="15" borderId="0" xfId="13" applyNumberFormat="1">
      <alignment vertical="top"/>
    </xf>
    <xf numFmtId="49" fontId="7" fillId="21" borderId="1" xfId="6" applyAlignment="1">
      <alignment vertical="top"/>
    </xf>
    <xf numFmtId="0" fontId="0" fillId="0" borderId="0" xfId="0"/>
    <xf numFmtId="43" fontId="6" fillId="13" borderId="0" xfId="9" applyNumberFormat="1">
      <alignment vertical="top"/>
    </xf>
    <xf numFmtId="43" fontId="6" fillId="15" borderId="0" xfId="13" applyNumberFormat="1">
      <alignment vertical="top"/>
    </xf>
    <xf numFmtId="166" fontId="6" fillId="7" borderId="0" xfId="11" applyNumberFormat="1" applyFont="1" applyFill="1">
      <alignment vertical="top"/>
    </xf>
    <xf numFmtId="166" fontId="6" fillId="13" borderId="0" xfId="11" applyNumberFormat="1" applyFont="1" applyFill="1">
      <alignment vertical="top"/>
    </xf>
    <xf numFmtId="14" fontId="6" fillId="0" borderId="0" xfId="4" applyNumberFormat="1">
      <alignment vertical="top"/>
    </xf>
    <xf numFmtId="0" fontId="6" fillId="0" borderId="0" xfId="4" applyAlignment="1">
      <alignment vertical="top" wrapText="1"/>
    </xf>
    <xf numFmtId="49" fontId="10" fillId="5" borderId="1" xfId="5" applyAlignment="1">
      <alignment vertical="top" wrapText="1"/>
    </xf>
    <xf numFmtId="49" fontId="7" fillId="21" borderId="12" xfId="6" applyBorder="1" applyAlignment="1">
      <alignment vertical="top" wrapText="1"/>
    </xf>
    <xf numFmtId="49" fontId="14" fillId="5" borderId="1" xfId="5" applyFont="1" applyAlignment="1">
      <alignment vertical="top" wrapText="1"/>
    </xf>
    <xf numFmtId="49" fontId="6" fillId="21" borderId="2" xfId="6" applyFont="1" applyBorder="1" applyAlignment="1">
      <alignment vertical="top" wrapText="1"/>
    </xf>
    <xf numFmtId="0" fontId="6" fillId="0" borderId="0" xfId="4" applyBorder="1" applyAlignment="1">
      <alignment vertical="top" wrapText="1"/>
    </xf>
    <xf numFmtId="3" fontId="6" fillId="6" borderId="0" xfId="9" applyNumberFormat="1" applyFill="1">
      <alignment vertical="top"/>
    </xf>
    <xf numFmtId="165" fontId="6" fillId="13" borderId="0" xfId="11" applyNumberFormat="1" applyFill="1">
      <alignment vertical="top"/>
    </xf>
    <xf numFmtId="0" fontId="27" fillId="0" borderId="0" xfId="0" applyFont="1" applyAlignment="1">
      <alignment vertical="top"/>
    </xf>
    <xf numFmtId="165" fontId="6" fillId="13" borderId="0" xfId="9" applyNumberFormat="1">
      <alignment vertical="top"/>
    </xf>
    <xf numFmtId="0" fontId="6" fillId="7" borderId="0" xfId="4" applyFill="1" applyBorder="1" applyAlignment="1">
      <alignment vertical="top" wrapText="1"/>
    </xf>
    <xf numFmtId="0" fontId="6" fillId="7" borderId="0" xfId="4" applyFill="1" applyBorder="1" applyAlignment="1">
      <alignment vertical="top"/>
    </xf>
    <xf numFmtId="168" fontId="6" fillId="7" borderId="0" xfId="11" applyNumberFormat="1" applyFill="1">
      <alignment vertical="top"/>
    </xf>
    <xf numFmtId="43" fontId="6" fillId="7" borderId="0" xfId="11" applyFill="1">
      <alignment vertical="top"/>
    </xf>
    <xf numFmtId="0" fontId="7" fillId="46" borderId="0" xfId="63" applyNumberFormat="1" applyFont="1">
      <alignment vertical="top"/>
    </xf>
    <xf numFmtId="1" fontId="6" fillId="6" borderId="0" xfId="4" applyNumberFormat="1" applyFill="1">
      <alignment vertical="top"/>
    </xf>
    <xf numFmtId="166" fontId="6" fillId="7" borderId="0" xfId="13" applyNumberFormat="1" applyFill="1">
      <alignment vertical="top"/>
    </xf>
    <xf numFmtId="166" fontId="6" fillId="13" borderId="0" xfId="13" applyNumberFormat="1" applyFill="1">
      <alignment vertical="top"/>
    </xf>
    <xf numFmtId="43" fontId="6" fillId="14" borderId="0" xfId="8" applyNumberFormat="1">
      <alignment vertical="top"/>
    </xf>
    <xf numFmtId="169" fontId="6" fillId="15" borderId="0" xfId="4" applyNumberFormat="1" applyFill="1">
      <alignment vertical="top"/>
    </xf>
    <xf numFmtId="43" fontId="6" fillId="15" borderId="0" xfId="4" applyNumberFormat="1" applyFill="1">
      <alignment vertical="top"/>
    </xf>
    <xf numFmtId="170" fontId="6" fillId="13" borderId="0" xfId="4" applyNumberFormat="1" applyFill="1">
      <alignment vertical="top"/>
    </xf>
    <xf numFmtId="10" fontId="6" fillId="15" borderId="0" xfId="4" applyNumberFormat="1" applyFill="1">
      <alignment vertical="top"/>
    </xf>
    <xf numFmtId="2" fontId="6" fillId="14" borderId="0" xfId="4" applyNumberFormat="1" applyFill="1">
      <alignment vertical="top"/>
    </xf>
    <xf numFmtId="43" fontId="6" fillId="14" borderId="0" xfId="4" applyNumberFormat="1" applyFill="1">
      <alignment vertical="top"/>
    </xf>
    <xf numFmtId="165" fontId="6" fillId="13" borderId="0" xfId="4" applyNumberFormat="1" applyFill="1">
      <alignment vertical="top"/>
    </xf>
    <xf numFmtId="165" fontId="6" fillId="15" borderId="0" xfId="4" applyNumberFormat="1" applyFill="1">
      <alignment vertical="top"/>
    </xf>
    <xf numFmtId="49" fontId="12" fillId="0" borderId="0" xfId="14">
      <alignment vertical="top"/>
    </xf>
    <xf numFmtId="165" fontId="6" fillId="14" borderId="0" xfId="8" applyNumberFormat="1">
      <alignment vertical="top"/>
    </xf>
    <xf numFmtId="14" fontId="6" fillId="6" borderId="0" xfId="11" applyNumberFormat="1" applyFont="1" applyFill="1">
      <alignment vertical="top"/>
    </xf>
    <xf numFmtId="166" fontId="15" fillId="46" borderId="0" xfId="63" applyNumberFormat="1" applyFont="1">
      <alignment vertical="top"/>
    </xf>
    <xf numFmtId="166" fontId="6" fillId="6" borderId="0" xfId="9" applyNumberFormat="1" applyFill="1">
      <alignment vertical="top"/>
    </xf>
    <xf numFmtId="166" fontId="6" fillId="15" borderId="0" xfId="9" applyNumberFormat="1" applyFill="1">
      <alignment vertical="top"/>
    </xf>
    <xf numFmtId="166" fontId="6" fillId="7" borderId="0" xfId="9" applyNumberFormat="1" applyFill="1">
      <alignment vertical="top"/>
    </xf>
    <xf numFmtId="49" fontId="6" fillId="0" borderId="0" xfId="14" applyFont="1">
      <alignment vertical="top"/>
    </xf>
    <xf numFmtId="43" fontId="6" fillId="13" borderId="0" xfId="10" applyFill="1">
      <alignment vertical="top"/>
    </xf>
    <xf numFmtId="166" fontId="6" fillId="11" borderId="0" xfId="8" applyNumberFormat="1" applyFill="1">
      <alignment vertical="top"/>
    </xf>
    <xf numFmtId="166" fontId="6" fillId="6" borderId="0" xfId="11" applyNumberFormat="1" applyFont="1">
      <alignment vertical="top"/>
    </xf>
    <xf numFmtId="166" fontId="6" fillId="46" borderId="0" xfId="63" applyNumberFormat="1" applyFont="1">
      <alignment vertical="top"/>
    </xf>
    <xf numFmtId="9" fontId="6" fillId="0" borderId="0" xfId="66" applyNumberFormat="1">
      <alignment vertical="top"/>
    </xf>
    <xf numFmtId="0" fontId="7" fillId="0" borderId="0" xfId="4" applyFont="1" applyBorder="1" applyAlignment="1">
      <alignment horizontal="center" vertical="center" wrapText="1"/>
    </xf>
    <xf numFmtId="0" fontId="6" fillId="0" borderId="17" xfId="4" applyFont="1" applyBorder="1">
      <alignment vertical="top"/>
    </xf>
    <xf numFmtId="166" fontId="6" fillId="13" borderId="0" xfId="11" applyNumberFormat="1" applyFill="1">
      <alignment vertical="top"/>
    </xf>
    <xf numFmtId="43" fontId="6" fillId="6" borderId="0" xfId="11" applyNumberFormat="1">
      <alignment vertical="top"/>
    </xf>
    <xf numFmtId="43" fontId="6" fillId="0" borderId="0" xfId="4" applyNumberFormat="1">
      <alignment vertical="top"/>
    </xf>
    <xf numFmtId="9" fontId="6" fillId="6" borderId="0" xfId="11" applyNumberFormat="1" applyFont="1">
      <alignment vertical="top"/>
    </xf>
    <xf numFmtId="0" fontId="0" fillId="0" borderId="0" xfId="0"/>
    <xf numFmtId="0" fontId="6" fillId="0" borderId="0" xfId="4">
      <alignment vertical="top"/>
    </xf>
    <xf numFmtId="0" fontId="6" fillId="7" borderId="0" xfId="4" applyFill="1">
      <alignment vertical="top"/>
    </xf>
    <xf numFmtId="49" fontId="11" fillId="0" borderId="0" xfId="15">
      <alignment vertical="top"/>
    </xf>
    <xf numFmtId="166" fontId="6" fillId="13" borderId="0" xfId="9" applyNumberFormat="1">
      <alignment vertical="top"/>
    </xf>
    <xf numFmtId="166" fontId="6" fillId="6" borderId="0" xfId="11" applyNumberFormat="1">
      <alignment vertical="top"/>
    </xf>
    <xf numFmtId="166" fontId="6" fillId="11" borderId="0" xfId="67" applyNumberFormat="1" applyFill="1">
      <alignment vertical="top"/>
    </xf>
    <xf numFmtId="49" fontId="10" fillId="5" borderId="12" xfId="5" applyBorder="1">
      <alignment vertical="top"/>
    </xf>
    <xf numFmtId="0" fontId="7" fillId="0" borderId="0" xfId="4" applyFont="1" applyBorder="1">
      <alignment vertical="top"/>
    </xf>
    <xf numFmtId="0" fontId="6" fillId="0" borderId="0" xfId="4" applyFont="1" applyBorder="1">
      <alignment vertical="top"/>
    </xf>
    <xf numFmtId="0" fontId="27" fillId="0" borderId="0" xfId="0" applyFont="1" applyBorder="1"/>
    <xf numFmtId="49" fontId="7" fillId="0" borderId="0" xfId="7" applyFont="1">
      <alignment vertical="top"/>
    </xf>
    <xf numFmtId="0" fontId="6" fillId="0" borderId="16" xfId="4" applyFont="1" applyBorder="1">
      <alignment vertical="top"/>
    </xf>
    <xf numFmtId="43" fontId="6" fillId="16" borderId="0" xfId="4" applyNumberFormat="1" applyFont="1" applyFill="1" applyBorder="1">
      <alignment vertical="top"/>
    </xf>
    <xf numFmtId="165" fontId="6" fillId="16" borderId="0" xfId="4" applyNumberFormat="1" applyFont="1" applyFill="1" applyBorder="1">
      <alignment vertical="top"/>
    </xf>
    <xf numFmtId="0" fontId="6" fillId="0" borderId="14" xfId="4" applyFont="1" applyBorder="1">
      <alignment vertical="top"/>
    </xf>
    <xf numFmtId="0" fontId="6" fillId="0" borderId="13" xfId="4" applyFont="1" applyBorder="1">
      <alignment vertical="top"/>
    </xf>
    <xf numFmtId="0" fontId="6" fillId="0" borderId="0" xfId="4" applyFont="1" applyFill="1" applyBorder="1">
      <alignment vertical="top"/>
    </xf>
    <xf numFmtId="0" fontId="6" fillId="0" borderId="0" xfId="4" applyFont="1" applyFill="1">
      <alignment vertical="top"/>
    </xf>
    <xf numFmtId="0" fontId="6" fillId="0" borderId="19" xfId="4" applyFont="1" applyBorder="1">
      <alignment vertical="top"/>
    </xf>
    <xf numFmtId="0" fontId="6" fillId="0" borderId="18" xfId="4" applyFont="1" applyBorder="1">
      <alignment vertical="top"/>
    </xf>
    <xf numFmtId="10" fontId="6" fillId="16" borderId="0" xfId="4" applyNumberFormat="1" applyFont="1" applyFill="1" applyBorder="1">
      <alignment vertical="top"/>
    </xf>
    <xf numFmtId="0" fontId="6" fillId="0" borderId="0" xfId="4" applyFont="1" applyBorder="1" applyAlignment="1">
      <alignment horizontal="center" vertical="center"/>
    </xf>
    <xf numFmtId="166" fontId="6" fillId="16" borderId="0" xfId="67" applyNumberFormat="1" applyFont="1" applyFill="1" applyBorder="1">
      <alignment vertical="top"/>
    </xf>
    <xf numFmtId="0" fontId="1" fillId="0" borderId="0" xfId="0" applyFont="1" applyBorder="1"/>
    <xf numFmtId="43" fontId="6" fillId="16" borderId="0" xfId="67" applyNumberFormat="1" applyFont="1" applyFill="1" applyBorder="1">
      <alignment vertical="top"/>
    </xf>
    <xf numFmtId="166" fontId="6" fillId="47" borderId="0" xfId="67" applyNumberFormat="1" applyFont="1" applyFill="1" applyBorder="1">
      <alignment vertical="top"/>
    </xf>
    <xf numFmtId="165" fontId="6" fillId="16" borderId="0" xfId="67" applyNumberFormat="1" applyFont="1" applyFill="1" applyBorder="1">
      <alignment vertical="top"/>
    </xf>
    <xf numFmtId="167" fontId="6" fillId="16" borderId="0" xfId="67" applyNumberFormat="1" applyFont="1" applyFill="1" applyBorder="1">
      <alignment vertical="top"/>
    </xf>
    <xf numFmtId="0" fontId="6" fillId="47" borderId="0" xfId="4" applyFont="1" applyFill="1" applyBorder="1">
      <alignment vertical="top"/>
    </xf>
    <xf numFmtId="167" fontId="6" fillId="47" borderId="0" xfId="67" applyNumberFormat="1" applyFont="1" applyFill="1" applyBorder="1">
      <alignment vertical="top"/>
    </xf>
    <xf numFmtId="10" fontId="6" fillId="16" borderId="0" xfId="66" applyFont="1" applyFill="1" applyBorder="1">
      <alignment vertical="top"/>
    </xf>
    <xf numFmtId="0" fontId="1" fillId="0" borderId="0" xfId="0" applyFont="1"/>
    <xf numFmtId="169" fontId="1" fillId="16" borderId="0" xfId="0" applyNumberFormat="1" applyFont="1" applyFill="1"/>
    <xf numFmtId="0" fontId="1" fillId="0" borderId="20" xfId="0" applyFont="1" applyBorder="1"/>
    <xf numFmtId="0" fontId="1" fillId="0" borderId="19" xfId="0" applyFont="1" applyBorder="1"/>
    <xf numFmtId="0" fontId="1" fillId="0" borderId="18" xfId="0" applyFont="1" applyBorder="1"/>
    <xf numFmtId="0" fontId="1" fillId="0" borderId="17" xfId="0" applyFont="1" applyBorder="1"/>
    <xf numFmtId="0" fontId="1" fillId="0" borderId="16" xfId="0" applyFont="1" applyBorder="1"/>
    <xf numFmtId="170" fontId="1" fillId="16" borderId="0" xfId="0" applyNumberFormat="1" applyFont="1" applyFill="1" applyBorder="1"/>
    <xf numFmtId="43" fontId="1" fillId="16" borderId="0" xfId="0" applyNumberFormat="1" applyFont="1" applyFill="1" applyBorder="1"/>
    <xf numFmtId="0" fontId="1" fillId="0" borderId="15" xfId="0" applyFont="1" applyBorder="1"/>
    <xf numFmtId="0" fontId="1" fillId="0" borderId="0" xfId="0" applyFont="1" applyFill="1" applyBorder="1"/>
    <xf numFmtId="0" fontId="1" fillId="47" borderId="0" xfId="0" applyFont="1" applyFill="1"/>
    <xf numFmtId="0" fontId="1" fillId="47" borderId="17" xfId="0" applyFont="1" applyFill="1" applyBorder="1"/>
    <xf numFmtId="0" fontId="1" fillId="47" borderId="0" xfId="0" applyFont="1" applyFill="1" applyBorder="1"/>
    <xf numFmtId="0" fontId="1" fillId="47" borderId="16" xfId="0" applyFont="1" applyFill="1" applyBorder="1"/>
    <xf numFmtId="0" fontId="1" fillId="0" borderId="0" xfId="0" applyFont="1" applyFill="1"/>
    <xf numFmtId="0" fontId="1" fillId="0" borderId="15" xfId="0" applyFont="1" applyFill="1" applyBorder="1"/>
    <xf numFmtId="0" fontId="1" fillId="0" borderId="14" xfId="0" applyFont="1" applyBorder="1"/>
    <xf numFmtId="0" fontId="1" fillId="0" borderId="13" xfId="0" applyFont="1" applyFill="1" applyBorder="1"/>
    <xf numFmtId="164" fontId="6" fillId="16" borderId="0" xfId="67" applyNumberFormat="1" applyFont="1" applyFill="1" applyBorder="1">
      <alignment vertical="top"/>
    </xf>
    <xf numFmtId="164" fontId="6" fillId="0" borderId="0" xfId="67" applyNumberFormat="1" applyFont="1" applyFill="1" applyBorder="1">
      <alignment vertical="top"/>
    </xf>
    <xf numFmtId="169" fontId="1" fillId="16" borderId="0" xfId="0" applyNumberFormat="1" applyFont="1" applyFill="1" applyBorder="1"/>
    <xf numFmtId="166" fontId="1" fillId="0" borderId="0" xfId="0" applyNumberFormat="1" applyFont="1"/>
    <xf numFmtId="0" fontId="1" fillId="0" borderId="16" xfId="0" applyFont="1" applyFill="1" applyBorder="1"/>
    <xf numFmtId="0" fontId="1" fillId="0" borderId="20" xfId="0" applyFont="1" applyFill="1" applyBorder="1"/>
    <xf numFmtId="0" fontId="1" fillId="0" borderId="17" xfId="0" applyFont="1" applyFill="1" applyBorder="1"/>
    <xf numFmtId="0" fontId="1" fillId="0" borderId="14" xfId="0" applyFont="1" applyFill="1" applyBorder="1"/>
    <xf numFmtId="164" fontId="6" fillId="6" borderId="0" xfId="11" applyNumberFormat="1">
      <alignment vertical="top"/>
    </xf>
    <xf numFmtId="0" fontId="6" fillId="0" borderId="0" xfId="4" applyFill="1" applyBorder="1">
      <alignment vertical="top"/>
    </xf>
    <xf numFmtId="9" fontId="6" fillId="13" borderId="0" xfId="9" applyNumberFormat="1">
      <alignment vertical="top"/>
    </xf>
    <xf numFmtId="171" fontId="0" fillId="0" borderId="0" xfId="0" applyNumberFormat="1"/>
    <xf numFmtId="169" fontId="6" fillId="14" borderId="0" xfId="4" applyNumberFormat="1" applyFill="1">
      <alignment vertical="top"/>
    </xf>
    <xf numFmtId="49" fontId="7" fillId="21" borderId="21" xfId="6" applyBorder="1">
      <alignment vertical="top"/>
    </xf>
    <xf numFmtId="49" fontId="7" fillId="21" borderId="22" xfId="6" applyBorder="1">
      <alignment vertical="top"/>
    </xf>
    <xf numFmtId="0" fontId="6" fillId="0" borderId="0" xfId="4" applyFont="1" applyFill="1" applyBorder="1" applyAlignment="1">
      <alignment horizontal="left" vertical="top" wrapText="1"/>
    </xf>
  </cellXfs>
  <cellStyles count="69">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n.v.t. (leeg)" xfId="63"/>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2" builtinId="8" hidden="1" customBuiltin="1"/>
    <cellStyle name="Hyperlink" xfId="65" builtinId="8" hidden="1"/>
    <cellStyle name="Hyperlink" xfId="68"/>
    <cellStyle name="Invoer" xfId="16" builtinId="20" hidden="1"/>
    <cellStyle name="Komma" xfId="23" builtinId="3" hidden="1"/>
    <cellStyle name="Komma" xfId="61" builtinId="3" hidden="1"/>
    <cellStyle name="Komma" xfId="67"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hidden="1"/>
    <cellStyle name="Procent" xfId="66" builtinId="5"/>
    <cellStyle name="Standaard" xfId="0" builtinId="0"/>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FFCC"/>
      <color rgb="FFFFCCFF"/>
      <color rgb="FFFFCC99"/>
      <color rgb="FFCCFFCC"/>
      <color rgb="FFCCFFFF"/>
      <color rgb="FFCCC8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productieprijzen-drinkwater-2019-sint-eustatius-caribisch-nederland" TargetMode="External"/><Relationship Id="rId2" Type="http://schemas.openxmlformats.org/officeDocument/2006/relationships/hyperlink" Target="https://www.acm.nl/nl/publicaties/wacc-elektriciteit-en-drinkwater-caribisch-nederland-2020-2022" TargetMode="External"/><Relationship Id="rId1" Type="http://schemas.openxmlformats.org/officeDocument/2006/relationships/hyperlink" Target="https://opendata.cbs.nl/statline/" TargetMode="External"/><Relationship Id="rId5" Type="http://schemas.openxmlformats.org/officeDocument/2006/relationships/printerSettings" Target="../printerSettings/printerSettings3.bin"/><Relationship Id="rId4" Type="http://schemas.openxmlformats.org/officeDocument/2006/relationships/hyperlink" Target="https://www.acm.nl/nl/publicaties/beschikking-distributietarieven-drinkwater-2020-sint-eustatius-stuco-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42"/>
  <sheetViews>
    <sheetView showGridLines="0" tabSelected="1"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9" customWidth="1"/>
    <col min="2" max="2" width="39.85546875" style="9" customWidth="1"/>
    <col min="3" max="3" width="91.85546875" style="9" customWidth="1"/>
    <col min="4" max="16384" width="9.140625" style="9"/>
  </cols>
  <sheetData>
    <row r="2" spans="2:3" s="19" customFormat="1" ht="18" x14ac:dyDescent="0.25">
      <c r="B2" s="18" t="s">
        <v>451</v>
      </c>
    </row>
    <row r="6" spans="2:3" x14ac:dyDescent="0.25">
      <c r="B6" s="10"/>
    </row>
    <row r="13" spans="2:3" s="15" customFormat="1" x14ac:dyDescent="0.25">
      <c r="B13" s="15" t="s">
        <v>54</v>
      </c>
    </row>
    <row r="14" spans="2:3" s="16" customFormat="1" x14ac:dyDescent="0.25"/>
    <row r="15" spans="2:3" x14ac:dyDescent="0.25">
      <c r="B15" s="31" t="s">
        <v>88</v>
      </c>
      <c r="C15" s="17" t="s">
        <v>262</v>
      </c>
    </row>
    <row r="16" spans="2:3" x14ac:dyDescent="0.25">
      <c r="B16" s="31" t="s">
        <v>89</v>
      </c>
      <c r="C16" s="17" t="s">
        <v>478</v>
      </c>
    </row>
    <row r="17" spans="2:4" ht="51" x14ac:dyDescent="0.25">
      <c r="B17" s="31" t="s">
        <v>474</v>
      </c>
      <c r="C17" s="17" t="s">
        <v>476</v>
      </c>
    </row>
    <row r="18" spans="2:4" ht="51" x14ac:dyDescent="0.25">
      <c r="B18" s="31" t="s">
        <v>475</v>
      </c>
      <c r="C18" s="17" t="s">
        <v>477</v>
      </c>
    </row>
    <row r="19" spans="2:4" ht="25.5" x14ac:dyDescent="0.25">
      <c r="B19" s="31" t="s">
        <v>90</v>
      </c>
      <c r="C19" s="17" t="s">
        <v>263</v>
      </c>
    </row>
    <row r="20" spans="2:4" x14ac:dyDescent="0.25">
      <c r="B20" s="31" t="s">
        <v>91</v>
      </c>
      <c r="C20" s="17"/>
    </row>
    <row r="23" spans="2:4" s="15" customFormat="1" x14ac:dyDescent="0.25">
      <c r="B23" s="15" t="s">
        <v>0</v>
      </c>
    </row>
    <row r="25" spans="2:4" x14ac:dyDescent="0.25">
      <c r="B25" s="31" t="s">
        <v>92</v>
      </c>
      <c r="C25" s="17" t="s">
        <v>479</v>
      </c>
    </row>
    <row r="26" spans="2:4" x14ac:dyDescent="0.25">
      <c r="B26" s="31" t="s">
        <v>93</v>
      </c>
      <c r="C26" s="17" t="s">
        <v>479</v>
      </c>
    </row>
    <row r="27" spans="2:4" ht="25.5" x14ac:dyDescent="0.25">
      <c r="B27" s="31" t="s">
        <v>94</v>
      </c>
      <c r="C27" s="17" t="s">
        <v>479</v>
      </c>
    </row>
    <row r="28" spans="2:4" x14ac:dyDescent="0.25">
      <c r="B28" s="31" t="s">
        <v>95</v>
      </c>
      <c r="C28" s="17" t="s">
        <v>59</v>
      </c>
    </row>
    <row r="29" spans="2:4" x14ac:dyDescent="0.25">
      <c r="B29" s="31" t="s">
        <v>91</v>
      </c>
      <c r="C29" s="17"/>
    </row>
    <row r="31" spans="2:4" s="138" customFormat="1" ht="12.75" customHeight="1" x14ac:dyDescent="0.25">
      <c r="B31" s="203" t="s">
        <v>452</v>
      </c>
      <c r="C31" s="203"/>
      <c r="D31" s="12"/>
    </row>
    <row r="32" spans="2:4" s="138" customFormat="1" ht="12.75" customHeight="1" x14ac:dyDescent="0.25"/>
    <row r="33" spans="2:3" s="138" customFormat="1" x14ac:dyDescent="0.25"/>
    <row r="34" spans="2:3" s="57" customFormat="1" x14ac:dyDescent="0.25">
      <c r="B34" s="57" t="s">
        <v>453</v>
      </c>
    </row>
    <row r="35" spans="2:3" s="138" customFormat="1" x14ac:dyDescent="0.25"/>
    <row r="36" spans="2:3" s="138" customFormat="1" x14ac:dyDescent="0.25">
      <c r="B36" s="27" t="s">
        <v>454</v>
      </c>
      <c r="C36" s="73"/>
    </row>
    <row r="37" spans="2:3" s="138" customFormat="1" x14ac:dyDescent="0.25"/>
    <row r="38" spans="2:3" s="138" customFormat="1" x14ac:dyDescent="0.25"/>
    <row r="39" spans="2:3" s="138" customFormat="1" x14ac:dyDescent="0.25"/>
    <row r="40" spans="2:3" s="138" customFormat="1" x14ac:dyDescent="0.25"/>
    <row r="41" spans="2:3" s="138" customFormat="1" x14ac:dyDescent="0.25"/>
    <row r="42" spans="2:3" s="138" customFormat="1" x14ac:dyDescent="0.25"/>
  </sheetData>
  <mergeCells count="1">
    <mergeCell ref="B31:C31"/>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T28"/>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x14ac:dyDescent="0.25"/>
  <cols>
    <col min="1" max="1" width="4.5703125" style="51" customWidth="1"/>
    <col min="2" max="2" width="41.42578125" style="9" customWidth="1"/>
    <col min="3" max="5" width="4.5703125" style="9" customWidth="1"/>
    <col min="6" max="6" width="13.710937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3" width="21.7109375" style="9" customWidth="1"/>
    <col min="14" max="16" width="21.7109375" style="70" customWidth="1"/>
    <col min="17" max="17" width="2.7109375" style="9" customWidth="1"/>
    <col min="18" max="18" width="36.7109375" style="9" customWidth="1"/>
    <col min="19" max="19" width="2.7109375" style="9" customWidth="1"/>
    <col min="20" max="20" width="13.7109375" style="9" customWidth="1"/>
    <col min="21" max="21" width="2.7109375" style="9" customWidth="1"/>
    <col min="22" max="36" width="13.7109375" style="9" customWidth="1"/>
    <col min="37" max="16384" width="9.140625" style="9"/>
  </cols>
  <sheetData>
    <row r="2" spans="1:20" s="24" customFormat="1" ht="18" x14ac:dyDescent="0.25">
      <c r="B2" s="24" t="s">
        <v>34</v>
      </c>
    </row>
    <row r="3" spans="1:20" x14ac:dyDescent="0.25">
      <c r="A3" s="70"/>
    </row>
    <row r="4" spans="1:20" x14ac:dyDescent="0.25">
      <c r="A4" s="70"/>
      <c r="B4" s="8" t="s">
        <v>3</v>
      </c>
      <c r="C4" s="8"/>
      <c r="D4" s="8"/>
    </row>
    <row r="5" spans="1:20" x14ac:dyDescent="0.25">
      <c r="A5" s="70"/>
      <c r="B5" s="27" t="s">
        <v>100</v>
      </c>
      <c r="C5" s="10"/>
      <c r="D5" s="10"/>
      <c r="H5" s="25"/>
    </row>
    <row r="6" spans="1:20" s="70" customFormat="1" x14ac:dyDescent="0.25">
      <c r="B6" s="27" t="s">
        <v>101</v>
      </c>
      <c r="C6" s="10"/>
      <c r="D6" s="10"/>
      <c r="H6" s="68"/>
    </row>
    <row r="7" spans="1:20" x14ac:dyDescent="0.25">
      <c r="A7" s="70"/>
      <c r="B7" s="27"/>
      <c r="C7" s="10"/>
      <c r="D7" s="10"/>
      <c r="H7" s="25"/>
    </row>
    <row r="8" spans="1:20" s="15" customFormat="1" x14ac:dyDescent="0.25">
      <c r="A8" s="67"/>
      <c r="B8" s="15" t="s">
        <v>4</v>
      </c>
      <c r="F8" s="15" t="s">
        <v>5</v>
      </c>
      <c r="H8" s="15" t="s">
        <v>9</v>
      </c>
      <c r="J8" s="15" t="s">
        <v>10</v>
      </c>
      <c r="L8" s="56" t="s">
        <v>42</v>
      </c>
      <c r="M8" s="56" t="s">
        <v>43</v>
      </c>
      <c r="N8" s="56" t="s">
        <v>153</v>
      </c>
      <c r="O8" s="56" t="s">
        <v>154</v>
      </c>
      <c r="P8" s="67" t="s">
        <v>157</v>
      </c>
      <c r="R8" s="15" t="s">
        <v>21</v>
      </c>
      <c r="T8" s="67" t="s">
        <v>39</v>
      </c>
    </row>
    <row r="9" spans="1:20" x14ac:dyDescent="0.25">
      <c r="A9" s="70"/>
    </row>
    <row r="10" spans="1:20" s="15" customFormat="1" x14ac:dyDescent="0.25">
      <c r="A10" s="67"/>
      <c r="B10" s="15" t="s">
        <v>35</v>
      </c>
      <c r="N10" s="67"/>
      <c r="O10" s="67"/>
      <c r="P10" s="67"/>
    </row>
    <row r="11" spans="1:20" x14ac:dyDescent="0.25">
      <c r="A11" s="70"/>
    </row>
    <row r="12" spans="1:20" s="70" customFormat="1" x14ac:dyDescent="0.25">
      <c r="B12" s="69" t="s">
        <v>112</v>
      </c>
      <c r="L12" s="68"/>
      <c r="M12" s="68"/>
      <c r="N12" s="68"/>
      <c r="O12" s="68"/>
      <c r="P12" s="68"/>
    </row>
    <row r="13" spans="1:20" s="70" customFormat="1" x14ac:dyDescent="0.25">
      <c r="B13" s="70" t="s">
        <v>278</v>
      </c>
      <c r="F13" s="70" t="s">
        <v>269</v>
      </c>
      <c r="J13" s="71">
        <f>SUM(L13:P13)</f>
        <v>-334414.57602542383</v>
      </c>
      <c r="L13" s="128">
        <v>-109497.34571975251</v>
      </c>
      <c r="M13" s="128">
        <v>-38566.78738899032</v>
      </c>
      <c r="N13" s="128">
        <v>-163227.91893727094</v>
      </c>
      <c r="O13" s="128">
        <v>-22383.265461799474</v>
      </c>
      <c r="P13" s="128">
        <v>-739.25851761059164</v>
      </c>
      <c r="R13" s="138" t="s">
        <v>422</v>
      </c>
      <c r="T13" s="70" t="s">
        <v>367</v>
      </c>
    </row>
    <row r="14" spans="1:20" s="70" customFormat="1" x14ac:dyDescent="0.25">
      <c r="B14" s="70" t="s">
        <v>279</v>
      </c>
      <c r="F14" s="70" t="s">
        <v>269</v>
      </c>
      <c r="J14" s="71">
        <f>SUM(L14:P14)</f>
        <v>85322.589524686686</v>
      </c>
      <c r="L14" s="128">
        <v>135328.69250201981</v>
      </c>
      <c r="M14" s="128">
        <v>-208833.43592196566</v>
      </c>
      <c r="N14" s="128">
        <v>47023.44669212975</v>
      </c>
      <c r="O14" s="128">
        <v>111439.44029585256</v>
      </c>
      <c r="P14" s="128">
        <v>364.44595665022518</v>
      </c>
      <c r="R14" s="138" t="s">
        <v>423</v>
      </c>
      <c r="T14" s="70" t="s">
        <v>368</v>
      </c>
    </row>
    <row r="15" spans="1:20" s="70" customFormat="1" x14ac:dyDescent="0.25">
      <c r="B15" s="70" t="s">
        <v>280</v>
      </c>
      <c r="F15" s="70" t="s">
        <v>269</v>
      </c>
      <c r="J15" s="71">
        <f>SUM(L15:P15)</f>
        <v>60945.064692735687</v>
      </c>
      <c r="L15" s="129"/>
      <c r="M15" s="128">
        <v>15698.079628169715</v>
      </c>
      <c r="N15" s="129"/>
      <c r="O15" s="128">
        <v>45246.985064565975</v>
      </c>
      <c r="P15" s="129"/>
      <c r="R15" s="138" t="s">
        <v>424</v>
      </c>
      <c r="T15" s="70" t="s">
        <v>369</v>
      </c>
    </row>
    <row r="16" spans="1:20" s="70" customFormat="1" x14ac:dyDescent="0.25">
      <c r="B16" s="70" t="s">
        <v>366</v>
      </c>
      <c r="F16" s="70" t="s">
        <v>269</v>
      </c>
      <c r="J16" s="71">
        <f>SUM(L16:P16)</f>
        <v>-11865.179070413549</v>
      </c>
      <c r="L16" s="6"/>
      <c r="M16" s="6"/>
      <c r="N16" s="128">
        <v>-11865.179070413549</v>
      </c>
      <c r="O16" s="6"/>
      <c r="P16" s="6"/>
      <c r="R16" s="138" t="s">
        <v>425</v>
      </c>
    </row>
    <row r="17" spans="1:18" s="70" customFormat="1" x14ac:dyDescent="0.25">
      <c r="L17" s="68"/>
      <c r="M17" s="68"/>
      <c r="N17" s="68"/>
      <c r="O17" s="68"/>
      <c r="P17" s="68"/>
    </row>
    <row r="18" spans="1:18" s="70" customFormat="1" x14ac:dyDescent="0.25">
      <c r="B18" s="66" t="s">
        <v>111</v>
      </c>
      <c r="L18" s="68"/>
      <c r="M18" s="68"/>
      <c r="N18" s="68"/>
      <c r="O18" s="68"/>
      <c r="P18" s="68"/>
    </row>
    <row r="19" spans="1:18" x14ac:dyDescent="0.25">
      <c r="A19" s="70"/>
      <c r="B19" s="9" t="s">
        <v>109</v>
      </c>
      <c r="F19" s="9" t="s">
        <v>31</v>
      </c>
      <c r="J19" s="71">
        <f>SUM(L19:P19)</f>
        <v>35276.580655481201</v>
      </c>
      <c r="L19" s="128">
        <v>35276.580655481201</v>
      </c>
      <c r="M19" s="129"/>
      <c r="N19" s="121"/>
      <c r="O19" s="121"/>
      <c r="P19" s="121"/>
      <c r="R19" s="51" t="s">
        <v>173</v>
      </c>
    </row>
    <row r="20" spans="1:18" x14ac:dyDescent="0.25">
      <c r="A20" s="138"/>
      <c r="B20" s="9" t="s">
        <v>99</v>
      </c>
      <c r="F20" s="9" t="s">
        <v>102</v>
      </c>
      <c r="J20" s="71">
        <f>SUM(L20:P20)</f>
        <v>-8371.5334881486233</v>
      </c>
      <c r="L20" s="129"/>
      <c r="M20" s="128">
        <v>-8371.5334881486233</v>
      </c>
      <c r="N20" s="121"/>
      <c r="O20" s="121"/>
      <c r="P20" s="121"/>
      <c r="R20" s="9" t="s">
        <v>148</v>
      </c>
    </row>
    <row r="21" spans="1:18" x14ac:dyDescent="0.25">
      <c r="A21" s="70"/>
    </row>
    <row r="22" spans="1:18" x14ac:dyDescent="0.25">
      <c r="A22" s="70"/>
    </row>
    <row r="23" spans="1:18" x14ac:dyDescent="0.25">
      <c r="A23" s="70"/>
    </row>
    <row r="24" spans="1:18" x14ac:dyDescent="0.25">
      <c r="A24" s="70"/>
    </row>
    <row r="25" spans="1:18" x14ac:dyDescent="0.25">
      <c r="A25" s="70"/>
      <c r="B25" s="9" t="s">
        <v>191</v>
      </c>
    </row>
    <row r="26" spans="1:18" x14ac:dyDescent="0.25">
      <c r="A26" s="70"/>
    </row>
    <row r="27" spans="1:18" x14ac:dyDescent="0.25">
      <c r="A27" s="70"/>
    </row>
    <row r="28" spans="1:18" x14ac:dyDescent="0.25">
      <c r="A28" s="7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x14ac:dyDescent="0.25"/>
  <cols>
    <col min="1" max="16384" width="9.140625" style="26"/>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R80"/>
  <sheetViews>
    <sheetView showGridLines="0" zoomScale="85" zoomScaleNormal="85" workbookViewId="0">
      <pane xSplit="6" ySplit="10" topLeftCell="G11" activePane="bottomRight" state="frozen"/>
      <selection pane="topRight"/>
      <selection pane="bottomLeft"/>
      <selection pane="bottomRight" activeCell="G11" sqref="G11"/>
    </sheetView>
  </sheetViews>
  <sheetFormatPr defaultRowHeight="15" x14ac:dyDescent="0.25"/>
  <cols>
    <col min="1" max="1" width="4.5703125" style="70" customWidth="1"/>
    <col min="2" max="2" width="64.28515625" style="70" customWidth="1"/>
    <col min="3" max="5" width="4.5703125" style="70" customWidth="1"/>
    <col min="6" max="6" width="15.42578125" style="70" customWidth="1"/>
    <col min="7" max="7" width="2.7109375" style="70" customWidth="1"/>
    <col min="8" max="8" width="13.7109375" style="70" customWidth="1"/>
    <col min="9" max="9" width="2.7109375" style="70" customWidth="1"/>
    <col min="10" max="10" width="13.7109375" style="70" customWidth="1"/>
    <col min="11" max="11" width="2.7109375" style="70" customWidth="1"/>
    <col min="12" max="12" width="21.7109375" style="70" customWidth="1"/>
    <col min="13" max="16" width="21.7109375" style="85" customWidth="1"/>
    <col min="17" max="17" width="2.7109375" style="70" customWidth="1"/>
    <col min="18" max="18" width="30.7109375" style="70" customWidth="1"/>
    <col min="19" max="19" width="2.7109375" style="70" customWidth="1"/>
    <col min="20" max="29" width="12.5703125" style="70" customWidth="1"/>
    <col min="30" max="32" width="2.7109375" style="70" customWidth="1"/>
    <col min="33" max="47" width="13.7109375" style="70" customWidth="1"/>
    <col min="48" max="16384" width="9.140625" style="70"/>
  </cols>
  <sheetData>
    <row r="1" spans="2:18" ht="12.75" customHeight="1" x14ac:dyDescent="0.25"/>
    <row r="2" spans="2:18" s="144" customFormat="1" ht="18" customHeight="1" x14ac:dyDescent="0.25">
      <c r="B2" s="144" t="s">
        <v>119</v>
      </c>
    </row>
    <row r="3" spans="2:18" ht="12.75" customHeight="1" x14ac:dyDescent="0.25"/>
    <row r="4" spans="2:18" ht="12.75" customHeight="1" x14ac:dyDescent="0.25">
      <c r="B4" s="69" t="s">
        <v>20</v>
      </c>
      <c r="C4" s="66"/>
      <c r="D4" s="66"/>
    </row>
    <row r="5" spans="2:18" ht="12.75" customHeight="1" x14ac:dyDescent="0.25">
      <c r="B5" s="27" t="s">
        <v>120</v>
      </c>
      <c r="C5" s="10"/>
      <c r="D5" s="10"/>
      <c r="L5" s="68"/>
    </row>
    <row r="6" spans="2:18" s="138" customFormat="1" ht="12.75" customHeight="1" x14ac:dyDescent="0.25">
      <c r="B6" s="27"/>
      <c r="C6" s="10"/>
      <c r="D6" s="10"/>
      <c r="L6" s="68"/>
      <c r="M6" s="137"/>
      <c r="N6" s="137"/>
      <c r="O6" s="137"/>
      <c r="P6" s="137"/>
    </row>
    <row r="7" spans="2:18" s="138" customFormat="1" ht="12.75" customHeight="1" x14ac:dyDescent="0.25">
      <c r="B7" s="140" t="s">
        <v>46</v>
      </c>
      <c r="C7" s="10"/>
      <c r="D7" s="10"/>
      <c r="L7" s="68"/>
      <c r="M7" s="137"/>
      <c r="N7" s="137"/>
      <c r="O7" s="137"/>
      <c r="P7" s="137"/>
    </row>
    <row r="8" spans="2:18" s="138" customFormat="1" ht="12.75" customHeight="1" x14ac:dyDescent="0.25">
      <c r="B8" s="140" t="s">
        <v>469</v>
      </c>
      <c r="C8" s="10"/>
      <c r="D8" s="10"/>
      <c r="L8" s="68"/>
      <c r="M8" s="137"/>
      <c r="N8" s="137"/>
      <c r="O8" s="137"/>
      <c r="P8" s="137"/>
    </row>
    <row r="9" spans="2:18" ht="12.75" customHeight="1" x14ac:dyDescent="0.25"/>
    <row r="10" spans="2:18" s="57" customFormat="1" ht="12.75" customHeight="1" x14ac:dyDescent="0.25">
      <c r="B10" s="57" t="s">
        <v>4</v>
      </c>
      <c r="F10" s="57" t="s">
        <v>5</v>
      </c>
      <c r="H10" s="57" t="s">
        <v>6</v>
      </c>
      <c r="J10" s="57" t="s">
        <v>7</v>
      </c>
      <c r="L10" s="57" t="s">
        <v>121</v>
      </c>
      <c r="M10" s="57" t="s">
        <v>43</v>
      </c>
      <c r="N10" s="57" t="s">
        <v>153</v>
      </c>
      <c r="O10" s="57" t="s">
        <v>154</v>
      </c>
      <c r="P10" s="57" t="s">
        <v>157</v>
      </c>
      <c r="R10" s="57" t="s">
        <v>39</v>
      </c>
    </row>
    <row r="11" spans="2:18" ht="12.75" customHeight="1" x14ac:dyDescent="0.25">
      <c r="G11" s="138"/>
    </row>
    <row r="12" spans="2:18" s="57" customFormat="1" ht="12.75" customHeight="1" x14ac:dyDescent="0.25">
      <c r="B12" s="57" t="s">
        <v>122</v>
      </c>
    </row>
    <row r="13" spans="2:18" ht="12.75" customHeight="1" x14ac:dyDescent="0.25">
      <c r="M13" s="70"/>
      <c r="N13" s="70"/>
      <c r="O13" s="70"/>
      <c r="P13" s="70"/>
    </row>
    <row r="14" spans="2:18" s="138" customFormat="1" ht="12.75" customHeight="1" x14ac:dyDescent="0.25">
      <c r="B14" s="69" t="s">
        <v>149</v>
      </c>
    </row>
    <row r="15" spans="2:18" ht="12.75" customHeight="1" x14ac:dyDescent="0.25">
      <c r="B15" s="70" t="s">
        <v>97</v>
      </c>
      <c r="F15" s="70" t="s">
        <v>8</v>
      </c>
      <c r="H15" s="83">
        <f>Parameters!H18</f>
        <v>7.0000000000000001E-3</v>
      </c>
      <c r="M15" s="70"/>
      <c r="N15" s="70"/>
      <c r="O15" s="70"/>
      <c r="P15" s="70"/>
    </row>
    <row r="16" spans="2:18" ht="12.75" customHeight="1" x14ac:dyDescent="0.25">
      <c r="B16" s="70" t="s">
        <v>272</v>
      </c>
      <c r="F16" s="70" t="s">
        <v>8</v>
      </c>
      <c r="H16" s="83">
        <f>Parameters!H19</f>
        <v>-3.3000000000000002E-2</v>
      </c>
      <c r="M16" s="70"/>
      <c r="N16" s="70"/>
      <c r="O16" s="70"/>
      <c r="P16" s="70"/>
    </row>
    <row r="17" spans="2:16" ht="12.75" customHeight="1" x14ac:dyDescent="0.25">
      <c r="B17" s="70" t="s">
        <v>271</v>
      </c>
      <c r="F17" s="70" t="s">
        <v>8</v>
      </c>
      <c r="H17" s="82">
        <f>Parameters!H23</f>
        <v>6.0100000000000001E-2</v>
      </c>
      <c r="M17" s="70"/>
      <c r="N17" s="70"/>
      <c r="O17" s="70"/>
      <c r="P17" s="70"/>
    </row>
    <row r="18" spans="2:16" ht="12.75" customHeight="1" x14ac:dyDescent="0.25">
      <c r="B18" s="70" t="s">
        <v>461</v>
      </c>
      <c r="F18" s="70" t="s">
        <v>8</v>
      </c>
      <c r="H18" s="82">
        <f>'Data on volumes and tariffs'!P55</f>
        <v>0.02</v>
      </c>
      <c r="M18" s="70"/>
      <c r="N18" s="70"/>
      <c r="O18" s="70"/>
      <c r="P18" s="70"/>
    </row>
    <row r="19" spans="2:16" ht="12.75" customHeight="1" x14ac:dyDescent="0.25">
      <c r="M19" s="70"/>
      <c r="N19" s="70"/>
      <c r="O19" s="70"/>
      <c r="P19" s="70"/>
    </row>
    <row r="20" spans="2:16" ht="12.75" customHeight="1" x14ac:dyDescent="0.25">
      <c r="B20" s="66" t="s">
        <v>174</v>
      </c>
      <c r="M20" s="70"/>
      <c r="N20" s="70"/>
      <c r="O20" s="70"/>
      <c r="P20" s="70"/>
    </row>
    <row r="21" spans="2:16" ht="12.75" customHeight="1" x14ac:dyDescent="0.25">
      <c r="B21" s="70" t="s">
        <v>332</v>
      </c>
      <c r="F21" s="70" t="s">
        <v>98</v>
      </c>
      <c r="J21" s="71">
        <f>SUM(L21:P21)</f>
        <v>5424245.2912942618</v>
      </c>
      <c r="L21" s="39">
        <f>'Data on costs'!L18</f>
        <v>2949735.6692770356</v>
      </c>
      <c r="M21" s="39">
        <f>'Data on costs'!M18</f>
        <v>1412121.1811824446</v>
      </c>
      <c r="N21" s="39">
        <f>'Data on costs'!N18</f>
        <v>390276.50393205974</v>
      </c>
      <c r="O21" s="39">
        <f>'Data on costs'!O18</f>
        <v>672111.93690272106</v>
      </c>
      <c r="P21" s="107"/>
    </row>
    <row r="22" spans="2:16" ht="12.75" customHeight="1" x14ac:dyDescent="0.25">
      <c r="B22" s="70" t="s">
        <v>370</v>
      </c>
      <c r="F22" s="70" t="s">
        <v>98</v>
      </c>
      <c r="J22" s="71">
        <f>SUM(L22:P22)</f>
        <v>582264.79638419324</v>
      </c>
      <c r="L22" s="39">
        <f>'Data on costs'!L19</f>
        <v>321792.80314421421</v>
      </c>
      <c r="M22" s="39">
        <f>'Data on costs'!M19</f>
        <v>145818.62407679949</v>
      </c>
      <c r="N22" s="39">
        <f>'Data on costs'!N19</f>
        <v>44626.098002628001</v>
      </c>
      <c r="O22" s="39">
        <f>'Data on costs'!O19</f>
        <v>70027.271160551521</v>
      </c>
      <c r="P22" s="107"/>
    </row>
    <row r="23" spans="2:16" ht="12.75" customHeight="1" x14ac:dyDescent="0.25">
      <c r="B23" s="70" t="s">
        <v>371</v>
      </c>
      <c r="F23" s="70" t="s">
        <v>31</v>
      </c>
      <c r="J23" s="71">
        <f>SUM(L23:P23)</f>
        <v>3876998.5901853037</v>
      </c>
      <c r="L23" s="39">
        <f>'Data on costs'!L13</f>
        <v>1904050.2302020853</v>
      </c>
      <c r="M23" s="39">
        <f>'Data on costs'!M13</f>
        <v>657869.14239412756</v>
      </c>
      <c r="N23" s="39">
        <f>'Data on costs'!N13</f>
        <v>492369.85370645265</v>
      </c>
      <c r="O23" s="39">
        <f>'Data on costs'!O13</f>
        <v>822709.3638826384</v>
      </c>
      <c r="P23" s="107"/>
    </row>
    <row r="24" spans="2:16" ht="12.75" customHeight="1" x14ac:dyDescent="0.25">
      <c r="B24" s="70" t="s">
        <v>372</v>
      </c>
      <c r="F24" s="70" t="s">
        <v>31</v>
      </c>
      <c r="J24" s="71">
        <f>SUM(L24:P24)</f>
        <v>145318.57999999999</v>
      </c>
      <c r="L24" s="39">
        <f>'Data on costs'!L14</f>
        <v>332.40516183827208</v>
      </c>
      <c r="M24" s="39">
        <f>'Data on costs'!M14</f>
        <v>116427.32801930938</v>
      </c>
      <c r="N24" s="39">
        <f>'Data on costs'!N14</f>
        <v>104.75536367377158</v>
      </c>
      <c r="O24" s="39">
        <f>'Data on costs'!O14</f>
        <v>28454.091455178568</v>
      </c>
      <c r="P24" s="107"/>
    </row>
    <row r="25" spans="2:16" ht="12.75" customHeight="1" x14ac:dyDescent="0.25">
      <c r="B25" s="70" t="s">
        <v>246</v>
      </c>
      <c r="F25" s="70" t="s">
        <v>31</v>
      </c>
      <c r="J25" s="71">
        <f>SUM(L25:P25)</f>
        <v>43700.191919999997</v>
      </c>
      <c r="L25" s="107"/>
      <c r="M25" s="107"/>
      <c r="N25" s="107"/>
      <c r="O25" s="39">
        <f>'Data on volumes and tariffs'!O52</f>
        <v>43700.191919999997</v>
      </c>
      <c r="P25" s="107"/>
    </row>
    <row r="26" spans="2:16" ht="12.75" customHeight="1" x14ac:dyDescent="0.25">
      <c r="M26" s="70"/>
      <c r="N26" s="70"/>
      <c r="O26" s="70"/>
      <c r="P26" s="70"/>
    </row>
    <row r="27" spans="2:16" ht="12.75" customHeight="1" x14ac:dyDescent="0.25">
      <c r="B27" s="66" t="s">
        <v>175</v>
      </c>
      <c r="M27" s="70"/>
      <c r="N27" s="70"/>
      <c r="O27" s="70"/>
      <c r="P27" s="70"/>
    </row>
    <row r="28" spans="2:16" ht="12.75" customHeight="1" x14ac:dyDescent="0.25">
      <c r="B28" s="70" t="s">
        <v>332</v>
      </c>
      <c r="F28" s="70" t="s">
        <v>98</v>
      </c>
      <c r="J28" s="71">
        <f>SUM(L28:P28)</f>
        <v>5424245.2912942618</v>
      </c>
      <c r="L28" s="39">
        <f>L21</f>
        <v>2949735.6692770356</v>
      </c>
      <c r="M28" s="39">
        <f t="shared" ref="M28:M31" si="0">M21</f>
        <v>1412121.1811824446</v>
      </c>
      <c r="N28" s="39">
        <f>N21</f>
        <v>390276.50393205974</v>
      </c>
      <c r="O28" s="108">
        <f>O21*(1-$H$18)</f>
        <v>658669.69816466665</v>
      </c>
      <c r="P28" s="108">
        <f>O21*$H$18</f>
        <v>13442.238738054422</v>
      </c>
    </row>
    <row r="29" spans="2:16" ht="12.75" customHeight="1" x14ac:dyDescent="0.25">
      <c r="B29" s="70" t="s">
        <v>370</v>
      </c>
      <c r="F29" s="70" t="s">
        <v>98</v>
      </c>
      <c r="J29" s="71">
        <f>SUM(L29:P29)</f>
        <v>582264.79638419324</v>
      </c>
      <c r="L29" s="39">
        <f t="shared" ref="L29" si="1">L22</f>
        <v>321792.80314421421</v>
      </c>
      <c r="M29" s="39">
        <f t="shared" si="0"/>
        <v>145818.62407679949</v>
      </c>
      <c r="N29" s="39">
        <f>N22</f>
        <v>44626.098002628001</v>
      </c>
      <c r="O29" s="108">
        <f>O22*(1-$H$18)</f>
        <v>68626.725737340486</v>
      </c>
      <c r="P29" s="108">
        <f>O22*$H$18</f>
        <v>1400.5454232110305</v>
      </c>
    </row>
    <row r="30" spans="2:16" ht="12.75" customHeight="1" x14ac:dyDescent="0.25">
      <c r="B30" s="70" t="s">
        <v>274</v>
      </c>
      <c r="F30" s="70" t="s">
        <v>31</v>
      </c>
      <c r="J30" s="71">
        <f>SUM(L30:P30)</f>
        <v>3876998.5901853037</v>
      </c>
      <c r="L30" s="39">
        <f t="shared" ref="L30" si="2">L23</f>
        <v>1904050.2302020853</v>
      </c>
      <c r="M30" s="39">
        <f t="shared" si="0"/>
        <v>657869.14239412756</v>
      </c>
      <c r="N30" s="39">
        <f>N23</f>
        <v>492369.85370645265</v>
      </c>
      <c r="O30" s="108">
        <f>O23*(1-$H$18)</f>
        <v>806255.17660498561</v>
      </c>
      <c r="P30" s="108">
        <f>O23*$H$18</f>
        <v>16454.187277652767</v>
      </c>
    </row>
    <row r="31" spans="2:16" ht="12.75" customHeight="1" x14ac:dyDescent="0.25">
      <c r="B31" s="70" t="s">
        <v>372</v>
      </c>
      <c r="F31" s="70" t="s">
        <v>31</v>
      </c>
      <c r="J31" s="71">
        <f>SUM(L31:P31)</f>
        <v>145318.57999999999</v>
      </c>
      <c r="L31" s="39">
        <f t="shared" ref="L31" si="3">L24</f>
        <v>332.40516183827208</v>
      </c>
      <c r="M31" s="39">
        <f t="shared" si="0"/>
        <v>116427.32801930938</v>
      </c>
      <c r="N31" s="39">
        <f>N24</f>
        <v>104.75536367377158</v>
      </c>
      <c r="O31" s="108">
        <f>O24*(1-$H$18)</f>
        <v>27885.009626074996</v>
      </c>
      <c r="P31" s="108">
        <f>O24*$H$18</f>
        <v>569.08182910357141</v>
      </c>
    </row>
    <row r="32" spans="2:16" ht="12.75" customHeight="1" x14ac:dyDescent="0.25">
      <c r="B32" s="70" t="s">
        <v>246</v>
      </c>
      <c r="F32" s="70" t="s">
        <v>31</v>
      </c>
      <c r="J32" s="71">
        <f>SUM(L32:P32)</f>
        <v>43700.191919999997</v>
      </c>
      <c r="L32" s="107"/>
      <c r="M32" s="107"/>
      <c r="N32" s="107"/>
      <c r="O32" s="39">
        <f>O25</f>
        <v>43700.191919999997</v>
      </c>
      <c r="P32" s="107"/>
    </row>
    <row r="33" spans="2:16" ht="12.75" customHeight="1" x14ac:dyDescent="0.25">
      <c r="M33" s="70"/>
      <c r="N33" s="70"/>
      <c r="O33" s="70"/>
      <c r="P33" s="70"/>
    </row>
    <row r="34" spans="2:16" ht="12.75" customHeight="1" x14ac:dyDescent="0.25">
      <c r="B34" s="70" t="s">
        <v>373</v>
      </c>
      <c r="F34" s="70" t="s">
        <v>8</v>
      </c>
      <c r="L34" s="81">
        <f>Parameters!L27</f>
        <v>0.19410125059831115</v>
      </c>
      <c r="M34" s="81">
        <f>Parameters!M27</f>
        <v>0.27580884597893079</v>
      </c>
      <c r="N34" s="81">
        <f>Parameters!N27</f>
        <v>0.12889013723645187</v>
      </c>
      <c r="O34" s="81">
        <f>Parameters!O27</f>
        <v>0.30232576550308171</v>
      </c>
      <c r="P34" s="81">
        <f>Parameters!P27</f>
        <v>0.30232576550308171</v>
      </c>
    </row>
    <row r="35" spans="2:16" ht="12.75" customHeight="1" x14ac:dyDescent="0.25">
      <c r="B35" s="70" t="s">
        <v>374</v>
      </c>
      <c r="F35" s="70" t="s">
        <v>8</v>
      </c>
      <c r="L35" s="81">
        <f>Parameters!L28</f>
        <v>0</v>
      </c>
      <c r="M35" s="81">
        <f>Parameters!M28</f>
        <v>0.5</v>
      </c>
      <c r="N35" s="81">
        <f>Parameters!N28</f>
        <v>0</v>
      </c>
      <c r="O35" s="81">
        <f>Parameters!O28</f>
        <v>0.5</v>
      </c>
      <c r="P35" s="81">
        <f>Parameters!P28</f>
        <v>0.5</v>
      </c>
    </row>
    <row r="36" spans="2:16" ht="12.75" customHeight="1" x14ac:dyDescent="0.25">
      <c r="M36" s="70"/>
      <c r="N36" s="70"/>
      <c r="O36" s="70"/>
      <c r="P36" s="70"/>
    </row>
    <row r="37" spans="2:16" ht="12.75" customHeight="1" x14ac:dyDescent="0.25">
      <c r="B37" s="66" t="s">
        <v>158</v>
      </c>
      <c r="M37" s="70"/>
      <c r="N37" s="70"/>
      <c r="O37" s="70"/>
      <c r="P37" s="70"/>
    </row>
    <row r="38" spans="2:16" s="138" customFormat="1" ht="12.75" customHeight="1" x14ac:dyDescent="0.25">
      <c r="B38" s="11" t="s">
        <v>459</v>
      </c>
    </row>
    <row r="39" spans="2:16" s="138" customFormat="1" ht="12.75" customHeight="1" x14ac:dyDescent="0.25">
      <c r="B39" s="27" t="s">
        <v>335</v>
      </c>
      <c r="J39" s="141">
        <f>SUM(L39:P39)</f>
        <v>31690</v>
      </c>
      <c r="L39" s="139"/>
      <c r="M39" s="139"/>
      <c r="N39" s="39">
        <f>'Data on costs'!N27</f>
        <v>31690</v>
      </c>
      <c r="O39" s="6"/>
      <c r="P39" s="139"/>
    </row>
    <row r="40" spans="2:16" s="138" customFormat="1" ht="12.75" customHeight="1" x14ac:dyDescent="0.25">
      <c r="B40" s="27" t="s">
        <v>337</v>
      </c>
      <c r="J40" s="141">
        <f>SUM(L40:P40)</f>
        <v>773634.2896174863</v>
      </c>
      <c r="L40" s="139"/>
      <c r="M40" s="139"/>
      <c r="N40" s="39">
        <f>'Data on costs'!N30</f>
        <v>773634.2896174863</v>
      </c>
      <c r="O40" s="6"/>
      <c r="P40" s="139"/>
    </row>
    <row r="41" spans="2:16" s="138" customFormat="1" ht="12.75" customHeight="1" x14ac:dyDescent="0.25"/>
    <row r="42" spans="2:16" s="138" customFormat="1" ht="12.75" customHeight="1" x14ac:dyDescent="0.25">
      <c r="B42" s="11" t="s">
        <v>460</v>
      </c>
    </row>
    <row r="43" spans="2:16" s="138" customFormat="1" ht="12.75" customHeight="1" x14ac:dyDescent="0.25">
      <c r="B43" s="27" t="s">
        <v>335</v>
      </c>
      <c r="J43" s="141">
        <f>SUM(L43:P43)</f>
        <v>52150</v>
      </c>
      <c r="L43" s="139"/>
      <c r="M43" s="139"/>
      <c r="N43" s="139"/>
      <c r="O43" s="39">
        <f>'Data on costs'!O36</f>
        <v>52150</v>
      </c>
      <c r="P43" s="139"/>
    </row>
    <row r="44" spans="2:16" s="138" customFormat="1" ht="12.75" customHeight="1" x14ac:dyDescent="0.25">
      <c r="B44" s="27" t="s">
        <v>337</v>
      </c>
      <c r="J44" s="141">
        <f>SUM(L44:P44)</f>
        <v>1012365.4371584699</v>
      </c>
      <c r="L44" s="139"/>
      <c r="M44" s="139"/>
      <c r="N44" s="139"/>
      <c r="O44" s="39">
        <f>'Data on costs'!O39</f>
        <v>1012365.4371584699</v>
      </c>
      <c r="P44" s="139"/>
    </row>
    <row r="45" spans="2:16" ht="12.75" customHeight="1" x14ac:dyDescent="0.25">
      <c r="M45" s="70"/>
      <c r="N45" s="70"/>
      <c r="O45" s="70"/>
      <c r="P45" s="70"/>
    </row>
    <row r="46" spans="2:16" ht="12.75" customHeight="1" x14ac:dyDescent="0.25">
      <c r="B46" s="66" t="s">
        <v>375</v>
      </c>
      <c r="M46" s="70"/>
      <c r="N46" s="70"/>
      <c r="O46" s="70"/>
      <c r="P46" s="70"/>
    </row>
    <row r="47" spans="2:16" ht="12.75" customHeight="1" x14ac:dyDescent="0.25">
      <c r="B47" s="70" t="s">
        <v>376</v>
      </c>
      <c r="F47" s="70" t="s">
        <v>98</v>
      </c>
      <c r="J47" s="71">
        <f>SUM(L47:P47)</f>
        <v>115595.5168130564</v>
      </c>
      <c r="L47" s="21"/>
      <c r="M47" s="21"/>
      <c r="N47" s="21"/>
      <c r="O47" s="39">
        <f>'Data on costs'!O42</f>
        <v>115595.5168130564</v>
      </c>
      <c r="P47" s="21"/>
    </row>
    <row r="48" spans="2:16" ht="12.75" customHeight="1" x14ac:dyDescent="0.25">
      <c r="B48" s="70" t="s">
        <v>377</v>
      </c>
      <c r="F48" s="70" t="s">
        <v>98</v>
      </c>
      <c r="J48" s="71">
        <f>SUM(L48:P48)</f>
        <v>14471.615327308687</v>
      </c>
      <c r="L48" s="21"/>
      <c r="M48" s="21"/>
      <c r="N48" s="21"/>
      <c r="O48" s="39">
        <f>'Data on costs'!O43</f>
        <v>14471.615327308687</v>
      </c>
      <c r="P48" s="21"/>
    </row>
    <row r="49" spans="1:18" ht="12.75" customHeight="1" x14ac:dyDescent="0.25">
      <c r="M49" s="70"/>
      <c r="N49" s="70"/>
      <c r="O49" s="70"/>
      <c r="P49" s="70"/>
    </row>
    <row r="50" spans="1:18" ht="12.75" customHeight="1" x14ac:dyDescent="0.25">
      <c r="B50" s="66" t="s">
        <v>123</v>
      </c>
      <c r="M50" s="70"/>
      <c r="N50" s="70"/>
      <c r="O50" s="70"/>
      <c r="P50" s="70"/>
    </row>
    <row r="51" spans="1:18" s="60" customFormat="1" ht="12.75" customHeight="1" x14ac:dyDescent="0.25">
      <c r="A51" s="70"/>
      <c r="B51" s="60" t="s">
        <v>38</v>
      </c>
      <c r="C51" s="70"/>
      <c r="D51" s="70"/>
      <c r="E51" s="70"/>
      <c r="F51" s="60" t="s">
        <v>118</v>
      </c>
      <c r="L51" s="60" t="s">
        <v>23</v>
      </c>
      <c r="M51" s="60" t="s">
        <v>17</v>
      </c>
      <c r="N51" s="60" t="s">
        <v>155</v>
      </c>
      <c r="O51" s="60" t="s">
        <v>176</v>
      </c>
      <c r="P51" s="60" t="s">
        <v>155</v>
      </c>
    </row>
    <row r="52" spans="1:18" ht="12.75" customHeight="1" x14ac:dyDescent="0.25">
      <c r="B52" s="70" t="s">
        <v>378</v>
      </c>
      <c r="F52" s="70" t="s">
        <v>118</v>
      </c>
      <c r="L52" s="39">
        <f>'Data on volumes and tariffs'!L13</f>
        <v>14979000</v>
      </c>
      <c r="M52" s="39">
        <f>'Data on volumes and tariffs'!M13</f>
        <v>16505.24666666667</v>
      </c>
      <c r="N52" s="39">
        <f>'Data on volumes and tariffs'!N13</f>
        <v>125523</v>
      </c>
      <c r="O52" s="39">
        <f>'Data on volumes and tariffs'!O13</f>
        <v>838.41666666666663</v>
      </c>
      <c r="P52" s="39">
        <f>'Data on volumes and tariffs'!P13</f>
        <v>1928.15</v>
      </c>
    </row>
    <row r="53" spans="1:18" ht="12.75" customHeight="1" x14ac:dyDescent="0.25">
      <c r="B53" s="70" t="s">
        <v>379</v>
      </c>
      <c r="F53" s="70" t="s">
        <v>118</v>
      </c>
      <c r="L53" s="6"/>
      <c r="M53" s="6"/>
      <c r="N53" s="6"/>
      <c r="O53" s="39">
        <f>'Data on volumes and tariffs'!O82</f>
        <v>939.57500000000016</v>
      </c>
      <c r="P53" s="6"/>
    </row>
    <row r="54" spans="1:18" ht="12.75" customHeight="1" x14ac:dyDescent="0.25">
      <c r="B54" s="85"/>
      <c r="F54" s="85"/>
      <c r="G54" s="85"/>
      <c r="H54" s="85"/>
      <c r="I54" s="85"/>
      <c r="J54" s="85"/>
      <c r="K54" s="85"/>
      <c r="M54" s="70"/>
      <c r="N54" s="70"/>
      <c r="O54" s="70"/>
      <c r="P54" s="70"/>
    </row>
    <row r="55" spans="1:18" s="57" customFormat="1" ht="12.75" customHeight="1" x14ac:dyDescent="0.25">
      <c r="B55" s="57" t="s">
        <v>124</v>
      </c>
    </row>
    <row r="56" spans="1:18" ht="12.75" customHeight="1" x14ac:dyDescent="0.25"/>
    <row r="57" spans="1:18" ht="12.75" customHeight="1" x14ac:dyDescent="0.25">
      <c r="B57" s="66" t="s">
        <v>187</v>
      </c>
    </row>
    <row r="58" spans="1:18" ht="12.75" customHeight="1" x14ac:dyDescent="0.25">
      <c r="B58" s="70" t="s">
        <v>380</v>
      </c>
      <c r="F58" s="70" t="s">
        <v>31</v>
      </c>
      <c r="J58" s="71">
        <f>SUM(L58:P58)</f>
        <v>2824767.3021745146</v>
      </c>
      <c r="L58" s="71">
        <f>L30*(1-L34)-L31</f>
        <v>1534139.29415602</v>
      </c>
      <c r="M58" s="71">
        <f>M30*(1-M34)-M31</f>
        <v>359995.685405945</v>
      </c>
      <c r="N58" s="71">
        <f>N30*(1-N34)-N31</f>
        <v>428803.48032746243</v>
      </c>
      <c r="O58" s="143">
        <f>O30*(1-O34)-O31-O32</f>
        <v>490918.26160098589</v>
      </c>
      <c r="P58" s="71">
        <f>P30*(1-P34)-P31</f>
        <v>10910.580684101753</v>
      </c>
      <c r="R58" s="70" t="s">
        <v>247</v>
      </c>
    </row>
    <row r="59" spans="1:18" ht="12.75" customHeight="1" x14ac:dyDescent="0.25">
      <c r="B59" s="70" t="s">
        <v>381</v>
      </c>
      <c r="F59" s="70" t="s">
        <v>31</v>
      </c>
      <c r="J59" s="71">
        <f>SUM(L59:P59)</f>
        <v>863212.51609078865</v>
      </c>
      <c r="L59" s="71">
        <f>L30*L34</f>
        <v>369578.53088422702</v>
      </c>
      <c r="M59" s="71">
        <f>M30*M34</f>
        <v>181446.12896887321</v>
      </c>
      <c r="N59" s="71">
        <f>N30*N34</f>
        <v>63461.618015316417</v>
      </c>
      <c r="O59" s="71">
        <f>O30*O34</f>
        <v>243751.7134579246</v>
      </c>
      <c r="P59" s="71">
        <f>P30*P34</f>
        <v>4974.5247644474412</v>
      </c>
    </row>
    <row r="60" spans="1:18" ht="12.75" customHeight="1" x14ac:dyDescent="0.25">
      <c r="B60" s="70" t="s">
        <v>382</v>
      </c>
      <c r="F60" s="70" t="s">
        <v>383</v>
      </c>
      <c r="J60" s="138"/>
      <c r="L60" s="33">
        <f>L59/L52</f>
        <v>2.4673111081128716E-2</v>
      </c>
      <c r="M60" s="65">
        <f>M59/M52</f>
        <v>10.993239460959677</v>
      </c>
      <c r="N60" s="65">
        <f>N59/N52</f>
        <v>0.50557760741311486</v>
      </c>
      <c r="O60" s="65">
        <f>O59/O52</f>
        <v>290.72861161863585</v>
      </c>
      <c r="P60" s="65">
        <f>P59/P52</f>
        <v>2.5799469773863239</v>
      </c>
    </row>
    <row r="61" spans="1:18" ht="12.75" customHeight="1" x14ac:dyDescent="0.25"/>
    <row r="62" spans="1:18" ht="12.75" customHeight="1" x14ac:dyDescent="0.25">
      <c r="B62" s="66" t="s">
        <v>199</v>
      </c>
      <c r="N62" s="199"/>
    </row>
    <row r="63" spans="1:18" ht="12.75" customHeight="1" x14ac:dyDescent="0.25">
      <c r="B63" s="70" t="s">
        <v>125</v>
      </c>
      <c r="F63" s="70" t="s">
        <v>98</v>
      </c>
      <c r="J63" s="71">
        <f>SUM(L63:P63)</f>
        <v>908261.93839097826</v>
      </c>
      <c r="L63" s="71">
        <f>$H$17*L28+L29</f>
        <v>499071.91686776408</v>
      </c>
      <c r="M63" s="71">
        <f>$H$17*M28+M29</f>
        <v>230687.1070658644</v>
      </c>
      <c r="N63" s="71">
        <f>$H$17*N28+N29</f>
        <v>68081.715888944789</v>
      </c>
      <c r="O63" s="71">
        <f>$H$17*O28+O29</f>
        <v>108212.77459703694</v>
      </c>
      <c r="P63" s="71">
        <f>$H$17*P28+P29</f>
        <v>2208.4239713681013</v>
      </c>
    </row>
    <row r="64" spans="1:18" ht="12.75" customHeight="1" x14ac:dyDescent="0.25">
      <c r="B64" s="70" t="s">
        <v>446</v>
      </c>
      <c r="F64" s="70" t="s">
        <v>98</v>
      </c>
      <c r="J64" s="71">
        <f>SUM(L64:P64)</f>
        <v>191178.58357923495</v>
      </c>
      <c r="L64" s="6"/>
      <c r="M64" s="6"/>
      <c r="N64" s="71">
        <f>N40*$H$17+N39</f>
        <v>78185.420806010923</v>
      </c>
      <c r="O64" s="141">
        <f>O44*$H$17+O43</f>
        <v>112993.16277322404</v>
      </c>
      <c r="P64" s="6"/>
      <c r="R64" s="125" t="s">
        <v>200</v>
      </c>
    </row>
    <row r="65" spans="2:18" ht="12.75" customHeight="1" x14ac:dyDescent="0.25">
      <c r="B65" s="70" t="s">
        <v>445</v>
      </c>
      <c r="F65" s="70" t="s">
        <v>98</v>
      </c>
      <c r="J65" s="71">
        <f>SUM(L65:P65)</f>
        <v>928886.36915307853</v>
      </c>
      <c r="L65" s="71">
        <f>L63*(1-L35)</f>
        <v>499071.91686776408</v>
      </c>
      <c r="M65" s="71">
        <f>M63*(1-M35)</f>
        <v>115343.5535329322</v>
      </c>
      <c r="N65" s="141">
        <f>N63*(1-N35)+N64</f>
        <v>146267.1366949557</v>
      </c>
      <c r="O65" s="71">
        <f>O63*(1-O35)+O64</f>
        <v>167099.5500717425</v>
      </c>
      <c r="P65" s="71">
        <f>P63*(1-P35)</f>
        <v>1104.2119856840507</v>
      </c>
      <c r="R65" s="118"/>
    </row>
    <row r="66" spans="2:18" ht="12.75" customHeight="1" x14ac:dyDescent="0.25">
      <c r="B66" s="70" t="s">
        <v>384</v>
      </c>
      <c r="F66" s="70" t="s">
        <v>98</v>
      </c>
      <c r="J66" s="71">
        <f>SUM(L66:P66)</f>
        <v>170554.15281713475</v>
      </c>
      <c r="L66" s="71">
        <f>L63*L35</f>
        <v>0</v>
      </c>
      <c r="M66" s="71">
        <f>M63*M35</f>
        <v>115343.5535329322</v>
      </c>
      <c r="N66" s="71">
        <f>N63*N35</f>
        <v>0</v>
      </c>
      <c r="O66" s="71">
        <f>O63*O35</f>
        <v>54106.387298518472</v>
      </c>
      <c r="P66" s="71">
        <f>P63*P35</f>
        <v>1104.2119856840507</v>
      </c>
    </row>
    <row r="67" spans="2:18" ht="12.75" customHeight="1" x14ac:dyDescent="0.25">
      <c r="B67" s="70" t="s">
        <v>251</v>
      </c>
      <c r="J67" s="141">
        <f>SUM(L67:P67)</f>
        <v>21418.905887773377</v>
      </c>
      <c r="L67" s="124"/>
      <c r="M67" s="124"/>
      <c r="N67" s="124"/>
      <c r="O67" s="71">
        <f>O47*$H$17+O48</f>
        <v>21418.905887773377</v>
      </c>
      <c r="P67" s="124"/>
      <c r="R67" s="70" t="s">
        <v>389</v>
      </c>
    </row>
    <row r="68" spans="2:18" ht="12.75" customHeight="1" x14ac:dyDescent="0.25">
      <c r="B68" s="70" t="s">
        <v>385</v>
      </c>
      <c r="F68" s="70" t="s">
        <v>188</v>
      </c>
      <c r="J68" s="138"/>
      <c r="L68" s="86">
        <f>L66/L52</f>
        <v>0</v>
      </c>
      <c r="M68" s="86">
        <f>M66/M52</f>
        <v>6.9882962589026549</v>
      </c>
      <c r="N68" s="86">
        <f>N66/N52</f>
        <v>0</v>
      </c>
      <c r="O68" s="55"/>
      <c r="P68" s="86">
        <f>P66/P52</f>
        <v>0.57267950402409074</v>
      </c>
    </row>
    <row r="69" spans="2:18" ht="12.75" customHeight="1" x14ac:dyDescent="0.25">
      <c r="B69" s="70" t="s">
        <v>252</v>
      </c>
      <c r="F69" s="70" t="s">
        <v>188</v>
      </c>
      <c r="J69" s="138"/>
      <c r="L69" s="55"/>
      <c r="M69" s="55"/>
      <c r="N69" s="55"/>
      <c r="O69" s="126">
        <f>O67/(O53-O52)</f>
        <v>211.73644505583658</v>
      </c>
      <c r="P69" s="55"/>
      <c r="R69" s="138" t="s">
        <v>389</v>
      </c>
    </row>
    <row r="70" spans="2:18" ht="12.75" customHeight="1" x14ac:dyDescent="0.25"/>
    <row r="71" spans="2:18" ht="12.75" customHeight="1" x14ac:dyDescent="0.25">
      <c r="B71" s="66" t="s">
        <v>253</v>
      </c>
    </row>
    <row r="72" spans="2:18" ht="12.75" customHeight="1" x14ac:dyDescent="0.25">
      <c r="B72" s="70" t="s">
        <v>386</v>
      </c>
      <c r="F72" s="70" t="s">
        <v>269</v>
      </c>
      <c r="J72" s="71">
        <f>SUM(L72:P72)</f>
        <v>3679557.2002242538</v>
      </c>
      <c r="L72" s="71">
        <f>L58*(1+$H$15)*(1+$H$16)+L65</f>
        <v>1992969.2031987775</v>
      </c>
      <c r="M72" s="71">
        <f>M58*(1+$H$15)*(1+$H$16)+M65</f>
        <v>465896.19211499376</v>
      </c>
      <c r="N72" s="71">
        <f>N58*(1+$H$15)*(1+$H$16)+N65</f>
        <v>563822.67292994843</v>
      </c>
      <c r="O72" s="71">
        <f>O58*(1+$H$15)*(1+$H$16)+O65</f>
        <v>645140.53475267289</v>
      </c>
      <c r="P72" s="71">
        <f>P58*(1+$H$15)*(1+$H$16)+P65</f>
        <v>11728.59722786113</v>
      </c>
    </row>
    <row r="73" spans="2:18" s="138" customFormat="1" ht="12.75" customHeight="1" x14ac:dyDescent="0.25">
      <c r="B73" s="138" t="s">
        <v>471</v>
      </c>
      <c r="F73" s="138" t="s">
        <v>269</v>
      </c>
      <c r="J73" s="141">
        <f>SUM(L73:P73)</f>
        <v>54106.387298518472</v>
      </c>
      <c r="L73" s="55"/>
      <c r="M73" s="55"/>
      <c r="N73" s="55"/>
      <c r="O73" s="141">
        <f>O66</f>
        <v>54106.387298518472</v>
      </c>
      <c r="P73" s="55"/>
      <c r="R73" s="138" t="s">
        <v>472</v>
      </c>
    </row>
    <row r="74" spans="2:18" ht="12.75" customHeight="1" x14ac:dyDescent="0.25">
      <c r="B74" s="70" t="s">
        <v>387</v>
      </c>
      <c r="F74" s="70" t="s">
        <v>284</v>
      </c>
      <c r="J74" s="138"/>
      <c r="L74" s="33">
        <f>L60*(1+$H$15)*(1+$H$16)+L68</f>
        <v>2.4025910704359624E-2</v>
      </c>
      <c r="M74" s="86">
        <f>M60*(1+$H$15)*(1+$H$16)+M68</f>
        <v>17.693172055561895</v>
      </c>
      <c r="N74" s="86">
        <f>N60*(1+$H$15)*(1+$H$16)+N68</f>
        <v>0.49231580119306145</v>
      </c>
      <c r="O74" s="55"/>
      <c r="P74" s="86">
        <f>P60*(1+$H$15)*(1+$H$16)+P68</f>
        <v>3.0849518922465937</v>
      </c>
    </row>
    <row r="75" spans="2:18" s="138" customFormat="1" ht="12.75" customHeight="1" x14ac:dyDescent="0.25">
      <c r="B75" s="138" t="s">
        <v>470</v>
      </c>
      <c r="F75" s="138" t="s">
        <v>284</v>
      </c>
      <c r="L75" s="55"/>
      <c r="M75" s="55"/>
      <c r="N75" s="55"/>
      <c r="O75" s="86">
        <f>O60*(1+$H$15)*(1+$H$16)</f>
        <v>283.10250940726735</v>
      </c>
      <c r="P75" s="55"/>
    </row>
    <row r="76" spans="2:18" ht="12.75" customHeight="1" x14ac:dyDescent="0.25">
      <c r="B76" s="70" t="s">
        <v>388</v>
      </c>
      <c r="F76" s="70" t="s">
        <v>284</v>
      </c>
      <c r="J76" s="138"/>
      <c r="L76" s="55"/>
      <c r="M76" s="55"/>
      <c r="N76" s="55"/>
      <c r="O76" s="36">
        <f>O69</f>
        <v>211.73644505583658</v>
      </c>
      <c r="P76" s="55"/>
      <c r="R76" s="138" t="s">
        <v>389</v>
      </c>
    </row>
    <row r="77" spans="2:18" ht="12.75" customHeight="1" x14ac:dyDescent="0.25"/>
    <row r="78" spans="2:18" ht="12.75" customHeight="1" x14ac:dyDescent="0.25"/>
    <row r="79" spans="2:18" ht="12.75" customHeight="1" x14ac:dyDescent="0.25">
      <c r="B79" s="70" t="s">
        <v>191</v>
      </c>
    </row>
    <row r="80" spans="2:18" ht="12.75" customHeight="1" x14ac:dyDescent="0.25"/>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R51"/>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x14ac:dyDescent="0.25"/>
  <cols>
    <col min="1" max="1" width="4" style="9" customWidth="1"/>
    <col min="2" max="2" width="58.85546875" style="9" customWidth="1"/>
    <col min="3" max="5" width="4.5703125" style="9" customWidth="1"/>
    <col min="6" max="6" width="1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3" width="21.7109375" style="9" customWidth="1"/>
    <col min="14" max="16" width="21.7109375" style="70" customWidth="1"/>
    <col min="17" max="17" width="2.7109375" style="9" customWidth="1"/>
    <col min="18" max="24" width="12.5703125" style="9" customWidth="1"/>
    <col min="25" max="27" width="2.7109375" style="9" customWidth="1"/>
    <col min="28" max="42" width="13.7109375" style="9" customWidth="1"/>
    <col min="43" max="16384" width="9.140625" style="9"/>
  </cols>
  <sheetData>
    <row r="1" spans="1:18" x14ac:dyDescent="0.25">
      <c r="A1" s="58"/>
    </row>
    <row r="2" spans="1:18" s="24" customFormat="1" ht="18" x14ac:dyDescent="0.25">
      <c r="B2" s="24" t="s">
        <v>19</v>
      </c>
    </row>
    <row r="3" spans="1:18" x14ac:dyDescent="0.25">
      <c r="A3" s="58"/>
    </row>
    <row r="4" spans="1:18" x14ac:dyDescent="0.25">
      <c r="A4" s="58"/>
      <c r="B4" s="8" t="s">
        <v>20</v>
      </c>
      <c r="C4" s="8"/>
      <c r="D4" s="8"/>
    </row>
    <row r="5" spans="1:18" x14ac:dyDescent="0.25">
      <c r="A5" s="58"/>
      <c r="B5" s="27" t="s">
        <v>201</v>
      </c>
      <c r="C5" s="10"/>
      <c r="D5" s="10"/>
      <c r="H5" s="25"/>
    </row>
    <row r="6" spans="1:18" x14ac:dyDescent="0.25">
      <c r="A6" s="58"/>
    </row>
    <row r="7" spans="1:18" s="49" customFormat="1" x14ac:dyDescent="0.25">
      <c r="A7" s="67"/>
      <c r="B7" s="49" t="s">
        <v>4</v>
      </c>
      <c r="F7" s="49" t="s">
        <v>5</v>
      </c>
      <c r="H7" s="49" t="s">
        <v>9</v>
      </c>
      <c r="J7" s="49" t="s">
        <v>10</v>
      </c>
      <c r="L7" s="56" t="s">
        <v>42</v>
      </c>
      <c r="M7" s="56" t="s">
        <v>43</v>
      </c>
      <c r="N7" s="56" t="s">
        <v>153</v>
      </c>
      <c r="O7" s="56" t="s">
        <v>154</v>
      </c>
      <c r="P7" s="67" t="s">
        <v>157</v>
      </c>
      <c r="R7" s="49" t="s">
        <v>39</v>
      </c>
    </row>
    <row r="8" spans="1:18" x14ac:dyDescent="0.25">
      <c r="A8" s="58"/>
    </row>
    <row r="9" spans="1:18" s="15" customFormat="1" x14ac:dyDescent="0.25">
      <c r="A9" s="67"/>
      <c r="B9" s="15" t="s">
        <v>22</v>
      </c>
      <c r="N9" s="67"/>
      <c r="O9" s="67"/>
      <c r="P9" s="67"/>
    </row>
    <row r="10" spans="1:18" x14ac:dyDescent="0.25">
      <c r="A10" s="58"/>
    </row>
    <row r="11" spans="1:18" x14ac:dyDescent="0.25">
      <c r="A11" s="58"/>
      <c r="B11" s="8" t="s">
        <v>149</v>
      </c>
    </row>
    <row r="12" spans="1:18" x14ac:dyDescent="0.25">
      <c r="A12" s="58"/>
      <c r="B12" s="9" t="s">
        <v>97</v>
      </c>
      <c r="F12" s="9" t="s">
        <v>8</v>
      </c>
      <c r="H12" s="83">
        <f>Parameters!H18</f>
        <v>7.0000000000000001E-3</v>
      </c>
    </row>
    <row r="13" spans="1:18" x14ac:dyDescent="0.25">
      <c r="A13" s="58"/>
      <c r="B13" s="70" t="s">
        <v>272</v>
      </c>
      <c r="F13" s="9" t="s">
        <v>8</v>
      </c>
      <c r="H13" s="83">
        <f>Parameters!H19</f>
        <v>-3.3000000000000002E-2</v>
      </c>
    </row>
    <row r="14" spans="1:18" x14ac:dyDescent="0.25">
      <c r="A14" s="58"/>
    </row>
    <row r="15" spans="1:18" x14ac:dyDescent="0.25">
      <c r="A15" s="58"/>
      <c r="B15" s="30" t="s">
        <v>51</v>
      </c>
    </row>
    <row r="16" spans="1:18" x14ac:dyDescent="0.25">
      <c r="A16" s="58"/>
      <c r="B16" s="70" t="s">
        <v>386</v>
      </c>
      <c r="C16" s="70"/>
      <c r="F16" s="70" t="s">
        <v>269</v>
      </c>
      <c r="J16" s="53">
        <f>SUM(L16:P16)</f>
        <v>3679557.2002242538</v>
      </c>
      <c r="L16" s="39">
        <f>'Fixed-variable costs'!L72</f>
        <v>1992969.2031987775</v>
      </c>
      <c r="M16" s="39">
        <f>'Fixed-variable costs'!M72</f>
        <v>465896.19211499376</v>
      </c>
      <c r="N16" s="39">
        <f>'Fixed-variable costs'!N72</f>
        <v>563822.67292994843</v>
      </c>
      <c r="O16" s="39">
        <f>'Fixed-variable costs'!O72</f>
        <v>645140.53475267289</v>
      </c>
      <c r="P16" s="39">
        <f>'Fixed-variable costs'!P72</f>
        <v>11728.59722786113</v>
      </c>
    </row>
    <row r="17" spans="1:18" s="138" customFormat="1" x14ac:dyDescent="0.25">
      <c r="A17" s="58"/>
      <c r="B17" s="138" t="s">
        <v>471</v>
      </c>
      <c r="F17" s="138" t="s">
        <v>269</v>
      </c>
      <c r="J17" s="141"/>
      <c r="L17" s="6"/>
      <c r="M17" s="6"/>
      <c r="N17" s="6"/>
      <c r="O17" s="39">
        <f>'Fixed-variable costs'!O73</f>
        <v>54106.387298518472</v>
      </c>
      <c r="P17" s="6"/>
    </row>
    <row r="18" spans="1:18" x14ac:dyDescent="0.25">
      <c r="A18" s="58"/>
      <c r="B18" s="70" t="s">
        <v>390</v>
      </c>
      <c r="C18" s="70"/>
      <c r="F18" s="70" t="s">
        <v>284</v>
      </c>
      <c r="J18" s="6"/>
      <c r="L18" s="35">
        <f>'Fixed-variable costs'!L74</f>
        <v>2.4025910704359624E-2</v>
      </c>
      <c r="M18" s="87">
        <f>'Fixed-variable costs'!M74</f>
        <v>17.693172055561895</v>
      </c>
      <c r="N18" s="87">
        <f>'Fixed-variable costs'!N74</f>
        <v>0.49231580119306145</v>
      </c>
      <c r="O18" s="6"/>
      <c r="P18" s="87">
        <f>'Fixed-variable costs'!P74</f>
        <v>3.0849518922465937</v>
      </c>
    </row>
    <row r="19" spans="1:18" s="138" customFormat="1" x14ac:dyDescent="0.25">
      <c r="B19" s="138" t="s">
        <v>470</v>
      </c>
      <c r="F19" s="138" t="s">
        <v>284</v>
      </c>
      <c r="J19" s="6"/>
      <c r="L19" s="6"/>
      <c r="M19" s="6"/>
      <c r="N19" s="6"/>
      <c r="O19" s="87">
        <f>'Fixed-variable costs'!O75</f>
        <v>283.10250940726735</v>
      </c>
      <c r="P19" s="6"/>
    </row>
    <row r="20" spans="1:18" s="70" customFormat="1" x14ac:dyDescent="0.25">
      <c r="A20" s="58"/>
      <c r="B20" s="138" t="s">
        <v>388</v>
      </c>
      <c r="F20" s="70" t="s">
        <v>284</v>
      </c>
      <c r="J20" s="6"/>
      <c r="L20" s="6"/>
      <c r="M20" s="6"/>
      <c r="N20" s="6"/>
      <c r="O20" s="87">
        <f>'Fixed-variable costs'!O76</f>
        <v>211.73644505583658</v>
      </c>
      <c r="P20" s="6"/>
      <c r="R20" s="138" t="s">
        <v>389</v>
      </c>
    </row>
    <row r="21" spans="1:18" s="70" customFormat="1" x14ac:dyDescent="0.25">
      <c r="A21" s="58"/>
    </row>
    <row r="22" spans="1:18" s="70" customFormat="1" x14ac:dyDescent="0.25">
      <c r="A22" s="58"/>
      <c r="B22" s="69" t="s">
        <v>128</v>
      </c>
    </row>
    <row r="23" spans="1:18" s="60" customFormat="1" x14ac:dyDescent="0.25">
      <c r="A23" s="58"/>
      <c r="B23" s="60" t="s">
        <v>38</v>
      </c>
      <c r="F23" s="60" t="s">
        <v>118</v>
      </c>
      <c r="L23" s="60" t="s">
        <v>23</v>
      </c>
      <c r="M23" s="60" t="s">
        <v>17</v>
      </c>
      <c r="N23" s="60" t="s">
        <v>155</v>
      </c>
      <c r="O23" s="60" t="s">
        <v>176</v>
      </c>
      <c r="P23" s="60" t="s">
        <v>155</v>
      </c>
    </row>
    <row r="24" spans="1:18" s="70" customFormat="1" x14ac:dyDescent="0.25">
      <c r="A24" s="58"/>
      <c r="B24" s="70" t="s">
        <v>391</v>
      </c>
      <c r="F24" s="70" t="s">
        <v>16</v>
      </c>
      <c r="J24" s="6"/>
      <c r="L24" s="39">
        <f>'Data on volumes and tariffs'!L18</f>
        <v>16427900</v>
      </c>
      <c r="M24" s="39">
        <f>'Data on volumes and tariffs'!M79</f>
        <v>17450.078080666663</v>
      </c>
      <c r="N24" s="39">
        <f>'Data on volumes and tariffs'!N29</f>
        <v>133303</v>
      </c>
      <c r="O24" s="39">
        <f>'Data on volumes and tariffs'!O82</f>
        <v>939.57500000000016</v>
      </c>
      <c r="P24" s="39">
        <f>'Data on volumes and tariffs'!P56</f>
        <v>2001.3501547477363</v>
      </c>
    </row>
    <row r="25" spans="1:18" s="70" customFormat="1" x14ac:dyDescent="0.25">
      <c r="A25" s="58"/>
      <c r="B25" s="70" t="s">
        <v>392</v>
      </c>
      <c r="F25" s="70" t="s">
        <v>16</v>
      </c>
      <c r="J25" s="6"/>
      <c r="L25" s="6"/>
      <c r="M25" s="6"/>
      <c r="N25" s="6"/>
      <c r="O25" s="39">
        <f>'Data on volumes and tariffs'!O13</f>
        <v>838.41666666666663</v>
      </c>
      <c r="P25" s="6"/>
    </row>
    <row r="26" spans="1:18" x14ac:dyDescent="0.25">
      <c r="A26" s="58"/>
    </row>
    <row r="27" spans="1:18" x14ac:dyDescent="0.25">
      <c r="A27" s="58"/>
      <c r="B27" s="30" t="s">
        <v>36</v>
      </c>
    </row>
    <row r="28" spans="1:18" s="70" customFormat="1" x14ac:dyDescent="0.25">
      <c r="A28" s="58"/>
      <c r="B28" s="60" t="s">
        <v>113</v>
      </c>
    </row>
    <row r="29" spans="1:18" s="70" customFormat="1" x14ac:dyDescent="0.25">
      <c r="A29" s="58"/>
      <c r="B29" s="70" t="s">
        <v>278</v>
      </c>
      <c r="F29" s="70" t="s">
        <v>269</v>
      </c>
      <c r="J29" s="71">
        <f t="shared" ref="J29:J31" si="0">SUM(L29:P29)</f>
        <v>-334414.57602542383</v>
      </c>
      <c r="L29" s="39">
        <f>'Data on corrections'!L13</f>
        <v>-109497.34571975251</v>
      </c>
      <c r="M29" s="39">
        <f>'Data on corrections'!M13</f>
        <v>-38566.78738899032</v>
      </c>
      <c r="N29" s="39">
        <f>'Data on corrections'!N13</f>
        <v>-163227.91893727094</v>
      </c>
      <c r="O29" s="39">
        <f>'Data on corrections'!O13</f>
        <v>-22383.265461799474</v>
      </c>
      <c r="P29" s="39">
        <f>'Data on corrections'!P13</f>
        <v>-739.25851761059164</v>
      </c>
    </row>
    <row r="30" spans="1:18" s="70" customFormat="1" x14ac:dyDescent="0.25">
      <c r="A30" s="58"/>
      <c r="B30" s="70" t="s">
        <v>279</v>
      </c>
      <c r="F30" s="70" t="s">
        <v>269</v>
      </c>
      <c r="J30" s="71">
        <f t="shared" si="0"/>
        <v>85322.589524686686</v>
      </c>
      <c r="L30" s="39">
        <f>'Data on corrections'!L14</f>
        <v>135328.69250201981</v>
      </c>
      <c r="M30" s="39">
        <f>'Data on corrections'!M14</f>
        <v>-208833.43592196566</v>
      </c>
      <c r="N30" s="39">
        <f>'Data on corrections'!N14</f>
        <v>47023.44669212975</v>
      </c>
      <c r="O30" s="39">
        <f>'Data on corrections'!O14</f>
        <v>111439.44029585256</v>
      </c>
      <c r="P30" s="39">
        <f>'Data on corrections'!P14</f>
        <v>364.44595665022518</v>
      </c>
    </row>
    <row r="31" spans="1:18" s="70" customFormat="1" x14ac:dyDescent="0.25">
      <c r="A31" s="58"/>
      <c r="B31" s="70" t="s">
        <v>280</v>
      </c>
      <c r="F31" s="70" t="s">
        <v>269</v>
      </c>
      <c r="J31" s="71">
        <f t="shared" si="0"/>
        <v>60945.064692735687</v>
      </c>
      <c r="L31" s="6"/>
      <c r="M31" s="39">
        <f>'Data on corrections'!M15</f>
        <v>15698.079628169715</v>
      </c>
      <c r="N31" s="6"/>
      <c r="O31" s="39">
        <f>'Data on corrections'!O15</f>
        <v>45246.985064565975</v>
      </c>
      <c r="P31" s="6"/>
    </row>
    <row r="32" spans="1:18" s="70" customFormat="1" x14ac:dyDescent="0.25">
      <c r="A32" s="58"/>
      <c r="B32" s="70" t="s">
        <v>366</v>
      </c>
      <c r="F32" s="70" t="s">
        <v>269</v>
      </c>
      <c r="J32" s="71">
        <f>SUM(L32:P32)</f>
        <v>-11865.179070413549</v>
      </c>
      <c r="L32" s="54"/>
      <c r="M32" s="54"/>
      <c r="N32" s="39">
        <f>'Data on corrections'!N16</f>
        <v>-11865.179070413549</v>
      </c>
      <c r="O32" s="54"/>
      <c r="P32" s="54"/>
    </row>
    <row r="33" spans="1:18" s="70" customFormat="1" x14ac:dyDescent="0.25">
      <c r="A33" s="58"/>
    </row>
    <row r="34" spans="1:18" s="70" customFormat="1" x14ac:dyDescent="0.25">
      <c r="A34" s="58"/>
      <c r="B34" s="60" t="s">
        <v>114</v>
      </c>
    </row>
    <row r="35" spans="1:18" x14ac:dyDescent="0.25">
      <c r="A35" s="58"/>
      <c r="B35" s="4" t="s">
        <v>281</v>
      </c>
      <c r="F35" s="9" t="s">
        <v>31</v>
      </c>
      <c r="J35" s="71">
        <f t="shared" ref="J35:J36" si="1">SUM(L35:P35)</f>
        <v>35276.580655481201</v>
      </c>
      <c r="L35" s="39">
        <f>'Data on corrections'!L19</f>
        <v>35276.580655481201</v>
      </c>
      <c r="M35" s="54"/>
      <c r="N35" s="54"/>
      <c r="O35" s="54"/>
      <c r="P35" s="54"/>
    </row>
    <row r="36" spans="1:18" s="70" customFormat="1" x14ac:dyDescent="0.25">
      <c r="A36" s="58"/>
      <c r="B36" s="4" t="s">
        <v>282</v>
      </c>
      <c r="F36" s="70" t="s">
        <v>102</v>
      </c>
      <c r="J36" s="71">
        <f t="shared" si="1"/>
        <v>-8371.5334881486233</v>
      </c>
      <c r="L36" s="54"/>
      <c r="M36" s="39">
        <f>'Data on corrections'!M20</f>
        <v>-8371.5334881486233</v>
      </c>
      <c r="N36" s="54"/>
      <c r="O36" s="54"/>
      <c r="P36" s="54"/>
    </row>
    <row r="37" spans="1:18" x14ac:dyDescent="0.25">
      <c r="A37" s="58"/>
    </row>
    <row r="38" spans="1:18" s="15" customFormat="1" x14ac:dyDescent="0.25">
      <c r="A38" s="67"/>
      <c r="B38" s="15" t="s">
        <v>393</v>
      </c>
      <c r="N38" s="67"/>
      <c r="O38" s="67"/>
      <c r="P38" s="67"/>
    </row>
    <row r="39" spans="1:18" x14ac:dyDescent="0.25">
      <c r="A39" s="70"/>
    </row>
    <row r="40" spans="1:18" x14ac:dyDescent="0.25">
      <c r="A40" s="70"/>
      <c r="B40" s="8" t="s">
        <v>300</v>
      </c>
    </row>
    <row r="41" spans="1:18" x14ac:dyDescent="0.25">
      <c r="A41" s="70"/>
      <c r="B41" s="9" t="s">
        <v>394</v>
      </c>
      <c r="F41" s="9" t="s">
        <v>269</v>
      </c>
      <c r="J41" s="71">
        <f>SUM(L41:P41)</f>
        <v>4796322.2682046294</v>
      </c>
      <c r="L41" s="72">
        <f>L16+L18*L24</f>
        <v>2387664.4616589271</v>
      </c>
      <c r="M41" s="72">
        <f>M16+M18*M24</f>
        <v>774643.42597921833</v>
      </c>
      <c r="N41" s="72">
        <f>N16+N18*N24</f>
        <v>629449.84617638704</v>
      </c>
      <c r="O41" s="127">
        <f>O16+O17+O19*O24+O20*(O24-O25)</f>
        <v>986661.86821529793</v>
      </c>
      <c r="P41" s="72">
        <f>P16+P18*P24</f>
        <v>17902.666174798171</v>
      </c>
      <c r="R41" s="9" t="s">
        <v>395</v>
      </c>
    </row>
    <row r="42" spans="1:18" s="70" customFormat="1" x14ac:dyDescent="0.25"/>
    <row r="43" spans="1:18" s="70" customFormat="1" x14ac:dyDescent="0.25">
      <c r="B43" s="70" t="s">
        <v>278</v>
      </c>
      <c r="F43" s="138" t="s">
        <v>269</v>
      </c>
      <c r="J43" s="71">
        <f t="shared" ref="J43:J47" si="2">SUM(L43:P43)</f>
        <v>-334414.57602542383</v>
      </c>
      <c r="L43" s="72">
        <f t="shared" ref="L43:P44" si="3">L29</f>
        <v>-109497.34571975251</v>
      </c>
      <c r="M43" s="72">
        <f t="shared" si="3"/>
        <v>-38566.78738899032</v>
      </c>
      <c r="N43" s="72">
        <f t="shared" si="3"/>
        <v>-163227.91893727094</v>
      </c>
      <c r="O43" s="72">
        <f t="shared" si="3"/>
        <v>-22383.265461799474</v>
      </c>
      <c r="P43" s="72">
        <f t="shared" si="3"/>
        <v>-739.25851761059164</v>
      </c>
    </row>
    <row r="44" spans="1:18" s="70" customFormat="1" x14ac:dyDescent="0.25">
      <c r="B44" s="70" t="s">
        <v>279</v>
      </c>
      <c r="F44" s="138" t="s">
        <v>269</v>
      </c>
      <c r="J44" s="71">
        <f t="shared" si="2"/>
        <v>85322.589524686686</v>
      </c>
      <c r="L44" s="72">
        <f t="shared" si="3"/>
        <v>135328.69250201981</v>
      </c>
      <c r="M44" s="72">
        <f t="shared" si="3"/>
        <v>-208833.43592196566</v>
      </c>
      <c r="N44" s="72">
        <f t="shared" si="3"/>
        <v>47023.44669212975</v>
      </c>
      <c r="O44" s="72">
        <f t="shared" si="3"/>
        <v>111439.44029585256</v>
      </c>
      <c r="P44" s="72">
        <f t="shared" si="3"/>
        <v>364.44595665022518</v>
      </c>
    </row>
    <row r="45" spans="1:18" s="70" customFormat="1" x14ac:dyDescent="0.25">
      <c r="B45" s="70" t="s">
        <v>280</v>
      </c>
      <c r="F45" s="138" t="s">
        <v>269</v>
      </c>
      <c r="J45" s="71">
        <f t="shared" si="2"/>
        <v>60945.064692735687</v>
      </c>
      <c r="L45" s="6"/>
      <c r="M45" s="72">
        <f>M31</f>
        <v>15698.079628169715</v>
      </c>
      <c r="N45" s="6"/>
      <c r="O45" s="72">
        <f>O31</f>
        <v>45246.985064565975</v>
      </c>
      <c r="P45" s="6"/>
    </row>
    <row r="46" spans="1:18" x14ac:dyDescent="0.25">
      <c r="A46" s="70"/>
      <c r="B46" s="4" t="s">
        <v>281</v>
      </c>
      <c r="F46" s="138" t="s">
        <v>269</v>
      </c>
      <c r="J46" s="71">
        <f t="shared" si="2"/>
        <v>34351.24066830727</v>
      </c>
      <c r="L46" s="72">
        <f>L35*(1+$H$12)*(1+$H$13)</f>
        <v>34351.24066830727</v>
      </c>
      <c r="M46" s="6"/>
      <c r="N46" s="6"/>
      <c r="O46" s="6"/>
      <c r="P46" s="6"/>
    </row>
    <row r="47" spans="1:18" s="70" customFormat="1" x14ac:dyDescent="0.25">
      <c r="B47" s="4" t="s">
        <v>282</v>
      </c>
      <c r="F47" s="138" t="s">
        <v>269</v>
      </c>
      <c r="J47" s="71">
        <f t="shared" si="2"/>
        <v>-8095.2728830397182</v>
      </c>
      <c r="L47" s="6"/>
      <c r="M47" s="72">
        <f>M36*(1+$H$13)</f>
        <v>-8095.2728830397182</v>
      </c>
      <c r="N47" s="6"/>
      <c r="O47" s="6"/>
      <c r="P47" s="6"/>
    </row>
    <row r="48" spans="1:18" s="70" customFormat="1" x14ac:dyDescent="0.25">
      <c r="B48" s="70" t="s">
        <v>366</v>
      </c>
      <c r="F48" s="138" t="s">
        <v>269</v>
      </c>
      <c r="J48" s="71">
        <f t="shared" ref="J48" si="4">SUM(L48:P48)</f>
        <v>-11865.179070413549</v>
      </c>
      <c r="L48" s="6"/>
      <c r="M48" s="6"/>
      <c r="N48" s="72">
        <f>N32</f>
        <v>-11865.179070413549</v>
      </c>
      <c r="O48" s="6"/>
      <c r="P48" s="6"/>
    </row>
    <row r="49" spans="1:2" s="138" customFormat="1" x14ac:dyDescent="0.25"/>
    <row r="50" spans="1:2" s="138" customFormat="1" x14ac:dyDescent="0.25"/>
    <row r="51" spans="1:2" x14ac:dyDescent="0.25">
      <c r="A51" s="70"/>
      <c r="B51" s="9" t="s">
        <v>191</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B86"/>
  <sheetViews>
    <sheetView showGridLines="0" zoomScale="85" zoomScaleNormal="85" workbookViewId="0"/>
  </sheetViews>
  <sheetFormatPr defaultRowHeight="12.75" x14ac:dyDescent="0.2"/>
  <cols>
    <col min="1" max="1" width="9.140625" style="169"/>
    <col min="2" max="2" width="4.5703125" style="169" customWidth="1"/>
    <col min="3" max="3" width="52.5703125" style="169" customWidth="1"/>
    <col min="4" max="4" width="19.7109375" style="169" customWidth="1"/>
    <col min="5" max="6" width="14" style="169" customWidth="1"/>
    <col min="7" max="7" width="5.5703125" style="169" customWidth="1"/>
    <col min="8" max="8" width="20.140625" style="169" customWidth="1"/>
    <col min="9" max="9" width="4.5703125" style="169" customWidth="1"/>
    <col min="10" max="10" width="9.140625" style="169"/>
    <col min="11" max="11" width="10.28515625" style="169" bestFit="1" customWidth="1"/>
    <col min="12" max="16384" width="9.140625" style="169"/>
  </cols>
  <sheetData>
    <row r="2" spans="2:8" s="144" customFormat="1" ht="18" x14ac:dyDescent="0.25">
      <c r="C2" s="144" t="s">
        <v>229</v>
      </c>
    </row>
    <row r="3" spans="2:8" x14ac:dyDescent="0.2">
      <c r="B3" s="27"/>
      <c r="C3" s="27"/>
      <c r="D3" s="27"/>
      <c r="E3" s="27"/>
      <c r="F3" s="27"/>
      <c r="G3" s="27"/>
    </row>
    <row r="4" spans="2:8" x14ac:dyDescent="0.2">
      <c r="B4" s="27"/>
      <c r="C4" s="148" t="s">
        <v>4</v>
      </c>
      <c r="D4" s="27"/>
      <c r="E4" s="27"/>
      <c r="F4" s="27"/>
      <c r="G4" s="27"/>
    </row>
    <row r="5" spans="2:8" x14ac:dyDescent="0.2">
      <c r="B5" s="27"/>
      <c r="C5" s="27" t="s">
        <v>265</v>
      </c>
      <c r="D5" s="27"/>
      <c r="E5" s="68"/>
      <c r="F5" s="27"/>
      <c r="G5" s="27"/>
    </row>
    <row r="6" spans="2:8" x14ac:dyDescent="0.2">
      <c r="B6" s="27"/>
      <c r="C6" s="27"/>
      <c r="D6" s="27"/>
      <c r="E6" s="27"/>
      <c r="F6" s="27"/>
      <c r="G6" s="27"/>
    </row>
    <row r="7" spans="2:8" s="57" customFormat="1" x14ac:dyDescent="0.25">
      <c r="C7" s="57" t="s">
        <v>228</v>
      </c>
      <c r="D7" s="57" t="s">
        <v>38</v>
      </c>
    </row>
    <row r="9" spans="2:8" x14ac:dyDescent="0.2">
      <c r="C9" s="66" t="s">
        <v>227</v>
      </c>
      <c r="D9" s="169" t="s">
        <v>266</v>
      </c>
      <c r="E9" s="170">
        <f>'Tariffs electricity'!L70</f>
        <v>0.14900547538696374</v>
      </c>
    </row>
    <row r="10" spans="2:8" ht="13.5" thickBot="1" x14ac:dyDescent="0.25">
      <c r="C10" s="66"/>
    </row>
    <row r="11" spans="2:8" x14ac:dyDescent="0.2">
      <c r="B11" s="171"/>
      <c r="C11" s="172"/>
      <c r="D11" s="172"/>
      <c r="E11" s="172"/>
      <c r="F11" s="173"/>
      <c r="G11" s="161"/>
      <c r="H11" s="161"/>
    </row>
    <row r="12" spans="2:8" s="57" customFormat="1" x14ac:dyDescent="0.25">
      <c r="B12" s="201"/>
      <c r="C12" s="57" t="s">
        <v>267</v>
      </c>
      <c r="D12" s="57" t="s">
        <v>38</v>
      </c>
      <c r="F12" s="202"/>
    </row>
    <row r="13" spans="2:8" x14ac:dyDescent="0.2">
      <c r="B13" s="174"/>
      <c r="C13" s="161"/>
      <c r="D13" s="161"/>
      <c r="E13" s="161"/>
      <c r="F13" s="175"/>
      <c r="G13" s="161"/>
      <c r="H13" s="161"/>
    </row>
    <row r="14" spans="2:8" x14ac:dyDescent="0.2">
      <c r="B14" s="174"/>
      <c r="C14" s="145" t="s">
        <v>226</v>
      </c>
      <c r="D14" s="161" t="s">
        <v>266</v>
      </c>
      <c r="E14" s="190">
        <f>'Tariffs electricity'!M82</f>
        <v>0.27359223217503092</v>
      </c>
      <c r="F14" s="175"/>
      <c r="G14" s="161"/>
      <c r="H14" s="161"/>
    </row>
    <row r="15" spans="2:8" x14ac:dyDescent="0.2">
      <c r="B15" s="174"/>
      <c r="C15" s="161"/>
      <c r="D15" s="161"/>
      <c r="E15" s="161"/>
      <c r="F15" s="175"/>
      <c r="G15" s="161"/>
      <c r="H15" s="161"/>
    </row>
    <row r="16" spans="2:8" x14ac:dyDescent="0.2">
      <c r="B16" s="174"/>
      <c r="C16" s="145" t="s">
        <v>225</v>
      </c>
      <c r="D16" s="161"/>
      <c r="E16" s="161"/>
      <c r="F16" s="175"/>
      <c r="G16" s="161"/>
      <c r="H16" s="161"/>
    </row>
    <row r="17" spans="2:28" x14ac:dyDescent="0.2">
      <c r="B17" s="174"/>
      <c r="C17" s="146" t="s">
        <v>224</v>
      </c>
      <c r="D17" s="146" t="s">
        <v>268</v>
      </c>
      <c r="E17" s="177">
        <f>'Tariffs electricity'!M86</f>
        <v>2.5956667332391206</v>
      </c>
      <c r="F17" s="175"/>
      <c r="G17" s="161"/>
      <c r="H17" s="161"/>
    </row>
    <row r="18" spans="2:28" x14ac:dyDescent="0.2">
      <c r="B18" s="174"/>
      <c r="C18" s="146" t="s">
        <v>223</v>
      </c>
      <c r="D18" s="161"/>
      <c r="E18" s="161"/>
      <c r="F18" s="175"/>
      <c r="G18" s="161"/>
      <c r="H18" s="161"/>
    </row>
    <row r="19" spans="2:28" x14ac:dyDescent="0.2">
      <c r="B19" s="174"/>
      <c r="C19" s="146" t="s">
        <v>222</v>
      </c>
      <c r="D19" s="146" t="s">
        <v>268</v>
      </c>
      <c r="E19" s="150">
        <f>'Tariffs electricity'!M88</f>
        <v>8.3061335463651869</v>
      </c>
      <c r="F19" s="149"/>
      <c r="G19" s="146"/>
      <c r="H19" s="161"/>
      <c r="I19" s="27"/>
      <c r="J19" s="27"/>
      <c r="K19" s="27"/>
      <c r="L19" s="27"/>
      <c r="M19" s="27"/>
      <c r="N19" s="27"/>
      <c r="O19" s="27"/>
      <c r="P19" s="27"/>
      <c r="Q19" s="27"/>
      <c r="R19" s="27"/>
      <c r="S19" s="27"/>
      <c r="T19" s="27"/>
      <c r="U19" s="27"/>
      <c r="V19" s="27"/>
      <c r="W19" s="27"/>
      <c r="X19" s="27"/>
      <c r="Y19" s="27"/>
      <c r="Z19" s="27"/>
      <c r="AA19" s="27"/>
      <c r="AB19" s="27"/>
    </row>
    <row r="20" spans="2:28" x14ac:dyDescent="0.2">
      <c r="B20" s="174"/>
      <c r="C20" s="146" t="s">
        <v>221</v>
      </c>
      <c r="D20" s="146" t="s">
        <v>268</v>
      </c>
      <c r="E20" s="150">
        <f>'Tariffs electricity'!M89</f>
        <v>19.986633845941228</v>
      </c>
      <c r="F20" s="149"/>
      <c r="G20" s="146"/>
      <c r="H20" s="161"/>
      <c r="I20" s="27"/>
      <c r="J20" s="27"/>
      <c r="K20" s="27"/>
      <c r="L20" s="27"/>
      <c r="M20" s="27"/>
      <c r="N20" s="27"/>
      <c r="O20" s="27"/>
      <c r="P20" s="27"/>
      <c r="Q20" s="27"/>
      <c r="R20" s="27"/>
      <c r="S20" s="27"/>
      <c r="T20" s="27"/>
      <c r="U20" s="27"/>
      <c r="V20" s="27"/>
      <c r="W20" s="27"/>
      <c r="X20" s="27"/>
      <c r="Y20" s="27"/>
      <c r="Z20" s="27"/>
      <c r="AA20" s="27"/>
      <c r="AB20" s="27"/>
    </row>
    <row r="21" spans="2:28" x14ac:dyDescent="0.2">
      <c r="B21" s="174"/>
      <c r="C21" s="146" t="s">
        <v>220</v>
      </c>
      <c r="D21" s="146" t="s">
        <v>268</v>
      </c>
      <c r="E21" s="150">
        <f>'Tariffs electricity'!M90</f>
        <v>28.552334065630326</v>
      </c>
      <c r="F21" s="149"/>
      <c r="G21" s="146"/>
      <c r="H21" s="161"/>
      <c r="I21" s="27"/>
      <c r="J21" s="27"/>
      <c r="K21" s="27"/>
      <c r="L21" s="27"/>
      <c r="M21" s="27"/>
      <c r="N21" s="27"/>
      <c r="O21" s="27"/>
      <c r="P21" s="27"/>
      <c r="Q21" s="27"/>
      <c r="R21" s="27"/>
      <c r="S21" s="27"/>
      <c r="T21" s="27"/>
      <c r="U21" s="27"/>
      <c r="V21" s="27"/>
      <c r="W21" s="27"/>
      <c r="X21" s="27"/>
      <c r="Y21" s="27"/>
      <c r="Z21" s="27"/>
      <c r="AA21" s="27"/>
      <c r="AB21" s="27"/>
    </row>
    <row r="22" spans="2:28" x14ac:dyDescent="0.2">
      <c r="B22" s="174"/>
      <c r="C22" s="146" t="s">
        <v>242</v>
      </c>
      <c r="D22" s="146" t="s">
        <v>268</v>
      </c>
      <c r="E22" s="150">
        <f>'Tariffs electricity'!M91</f>
        <v>35.975940922694207</v>
      </c>
      <c r="F22" s="149"/>
      <c r="G22" s="146"/>
      <c r="H22" s="161"/>
      <c r="I22" s="27"/>
      <c r="J22" s="27"/>
      <c r="K22" s="27"/>
      <c r="L22" s="27"/>
      <c r="M22" s="27"/>
      <c r="N22" s="27"/>
      <c r="O22" s="27"/>
      <c r="P22" s="27"/>
      <c r="Q22" s="27"/>
      <c r="R22" s="27"/>
      <c r="S22" s="27"/>
      <c r="T22" s="27"/>
      <c r="U22" s="27"/>
      <c r="V22" s="27"/>
      <c r="W22" s="27"/>
      <c r="X22" s="27"/>
      <c r="Y22" s="27"/>
      <c r="Z22" s="27"/>
      <c r="AA22" s="27"/>
      <c r="AB22" s="27"/>
    </row>
    <row r="23" spans="2:28" x14ac:dyDescent="0.2">
      <c r="B23" s="174"/>
      <c r="C23" s="146" t="s">
        <v>219</v>
      </c>
      <c r="D23" s="146" t="s">
        <v>268</v>
      </c>
      <c r="E23" s="150">
        <f>'Tariffs electricity'!M92</f>
        <v>34.522367552080304</v>
      </c>
      <c r="F23" s="149"/>
      <c r="G23" s="146"/>
      <c r="H23" s="161"/>
      <c r="I23" s="27"/>
      <c r="J23" s="27"/>
      <c r="K23" s="27"/>
      <c r="L23" s="27"/>
      <c r="M23" s="27"/>
      <c r="N23" s="27"/>
      <c r="O23" s="27"/>
      <c r="P23" s="27"/>
      <c r="Q23" s="27"/>
      <c r="R23" s="27"/>
      <c r="S23" s="27"/>
      <c r="T23" s="27"/>
      <c r="U23" s="27"/>
      <c r="V23" s="27"/>
      <c r="W23" s="27"/>
      <c r="X23" s="27"/>
      <c r="Y23" s="27"/>
      <c r="Z23" s="27"/>
      <c r="AA23" s="27"/>
      <c r="AB23" s="27"/>
    </row>
    <row r="24" spans="2:28" x14ac:dyDescent="0.2">
      <c r="B24" s="174"/>
      <c r="C24" s="146" t="s">
        <v>218</v>
      </c>
      <c r="D24" s="146" t="s">
        <v>268</v>
      </c>
      <c r="E24" s="150">
        <f>'Tariffs electricity'!M93</f>
        <v>49.317667931543291</v>
      </c>
      <c r="F24" s="149"/>
      <c r="G24" s="146"/>
      <c r="H24" s="161"/>
      <c r="I24" s="27"/>
      <c r="J24" s="27"/>
      <c r="K24" s="27"/>
      <c r="L24" s="27"/>
      <c r="M24" s="27"/>
      <c r="N24" s="27"/>
      <c r="O24" s="27"/>
      <c r="P24" s="27"/>
      <c r="Q24" s="27"/>
      <c r="R24" s="27"/>
      <c r="S24" s="27"/>
      <c r="T24" s="27"/>
      <c r="U24" s="27"/>
      <c r="V24" s="27"/>
      <c r="W24" s="27"/>
      <c r="X24" s="27"/>
      <c r="Y24" s="27"/>
      <c r="Z24" s="27"/>
      <c r="AA24" s="27"/>
      <c r="AB24" s="27"/>
    </row>
    <row r="25" spans="2:28" x14ac:dyDescent="0.2">
      <c r="B25" s="174"/>
      <c r="C25" s="146" t="s">
        <v>241</v>
      </c>
      <c r="D25" s="146" t="s">
        <v>268</v>
      </c>
      <c r="E25" s="150">
        <f>'Tariffs electricity'!M94</f>
        <v>62.140261593744547</v>
      </c>
      <c r="F25" s="149"/>
      <c r="G25" s="146"/>
      <c r="H25" s="161"/>
      <c r="I25" s="27"/>
      <c r="J25" s="27"/>
      <c r="K25" s="27"/>
      <c r="L25" s="27"/>
      <c r="M25" s="27"/>
      <c r="N25" s="27"/>
      <c r="O25" s="27"/>
      <c r="P25" s="27"/>
      <c r="Q25" s="27"/>
      <c r="R25" s="27"/>
      <c r="S25" s="27"/>
      <c r="T25" s="27"/>
      <c r="U25" s="27"/>
      <c r="V25" s="27"/>
      <c r="W25" s="27"/>
      <c r="X25" s="27"/>
      <c r="Y25" s="27"/>
      <c r="Z25" s="27"/>
      <c r="AA25" s="27"/>
      <c r="AB25" s="27"/>
    </row>
    <row r="26" spans="2:28" x14ac:dyDescent="0.2">
      <c r="B26" s="174"/>
      <c r="C26" s="146" t="s">
        <v>217</v>
      </c>
      <c r="D26" s="146" t="s">
        <v>268</v>
      </c>
      <c r="E26" s="150">
        <f>'Tariffs electricity'!M95</f>
        <v>78.908268690469257</v>
      </c>
      <c r="F26" s="149"/>
      <c r="G26" s="146"/>
      <c r="H26" s="161"/>
      <c r="I26" s="27"/>
      <c r="J26" s="27"/>
      <c r="K26" s="27"/>
      <c r="L26" s="27"/>
      <c r="M26" s="27"/>
      <c r="N26" s="27"/>
      <c r="O26" s="27"/>
      <c r="P26" s="27"/>
      <c r="Q26" s="27"/>
      <c r="R26" s="27"/>
      <c r="S26" s="27"/>
      <c r="T26" s="27"/>
      <c r="U26" s="27"/>
      <c r="V26" s="27"/>
      <c r="W26" s="27"/>
      <c r="X26" s="27"/>
      <c r="Y26" s="27"/>
      <c r="Z26" s="27"/>
      <c r="AA26" s="27"/>
      <c r="AB26" s="27"/>
    </row>
    <row r="27" spans="2:28" x14ac:dyDescent="0.2">
      <c r="B27" s="174"/>
      <c r="C27" s="146" t="s">
        <v>216</v>
      </c>
      <c r="D27" s="146" t="s">
        <v>268</v>
      </c>
      <c r="E27" s="150">
        <f>'Tariffs electricity'!M96</f>
        <v>98.635335863086581</v>
      </c>
      <c r="F27" s="149"/>
      <c r="G27" s="146"/>
      <c r="H27" s="161"/>
      <c r="I27" s="27"/>
      <c r="J27" s="27"/>
      <c r="K27" s="27"/>
      <c r="L27" s="27"/>
      <c r="M27" s="27"/>
      <c r="N27" s="27"/>
      <c r="O27" s="27"/>
      <c r="P27" s="27"/>
      <c r="Q27" s="27"/>
      <c r="R27" s="27"/>
      <c r="S27" s="27"/>
      <c r="T27" s="27"/>
      <c r="U27" s="27"/>
      <c r="V27" s="27"/>
      <c r="W27" s="27"/>
      <c r="X27" s="27"/>
      <c r="Y27" s="27"/>
      <c r="Z27" s="27"/>
      <c r="AA27" s="27"/>
      <c r="AB27" s="27"/>
    </row>
    <row r="28" spans="2:28" x14ac:dyDescent="0.2">
      <c r="B28" s="174"/>
      <c r="C28" s="146" t="s">
        <v>215</v>
      </c>
      <c r="D28" s="146" t="s">
        <v>268</v>
      </c>
      <c r="E28" s="150">
        <f>'Tariffs electricity'!M97</f>
        <v>123.29416982885823</v>
      </c>
      <c r="F28" s="149"/>
      <c r="G28" s="146"/>
      <c r="H28" s="161"/>
      <c r="I28" s="27"/>
      <c r="J28" s="27"/>
      <c r="K28" s="27"/>
      <c r="L28" s="27"/>
      <c r="M28" s="27"/>
      <c r="N28" s="27"/>
      <c r="O28" s="27"/>
      <c r="P28" s="27"/>
      <c r="Q28" s="27"/>
      <c r="R28" s="27"/>
      <c r="S28" s="27"/>
      <c r="T28" s="27"/>
      <c r="U28" s="27"/>
      <c r="V28" s="27"/>
      <c r="W28" s="27"/>
      <c r="X28" s="27"/>
      <c r="Y28" s="27"/>
      <c r="Z28" s="27"/>
      <c r="AA28" s="27"/>
      <c r="AB28" s="27"/>
    </row>
    <row r="29" spans="2:28" x14ac:dyDescent="0.2">
      <c r="B29" s="174"/>
      <c r="C29" s="146" t="s">
        <v>214</v>
      </c>
      <c r="D29" s="146" t="s">
        <v>268</v>
      </c>
      <c r="E29" s="150">
        <f>'Tariffs electricity'!M98</f>
        <v>157.81653738093851</v>
      </c>
      <c r="F29" s="149"/>
      <c r="G29" s="146"/>
      <c r="H29" s="161"/>
      <c r="I29" s="27"/>
      <c r="J29" s="27"/>
      <c r="K29" s="27"/>
      <c r="L29" s="27"/>
      <c r="M29" s="27"/>
      <c r="N29" s="27"/>
      <c r="O29" s="27"/>
      <c r="P29" s="27"/>
      <c r="Q29" s="27"/>
      <c r="R29" s="27"/>
      <c r="S29" s="27"/>
      <c r="T29" s="27"/>
      <c r="U29" s="27"/>
      <c r="V29" s="27"/>
      <c r="W29" s="27"/>
      <c r="X29" s="27"/>
      <c r="Y29" s="27"/>
      <c r="Z29" s="27"/>
      <c r="AA29" s="27"/>
      <c r="AB29" s="27"/>
    </row>
    <row r="30" spans="2:28" x14ac:dyDescent="0.2">
      <c r="B30" s="174"/>
      <c r="C30" s="146" t="s">
        <v>213</v>
      </c>
      <c r="D30" s="146" t="s">
        <v>268</v>
      </c>
      <c r="E30" s="150">
        <f>'Tariffs electricity'!M99</f>
        <v>197.27067172617316</v>
      </c>
      <c r="F30" s="149"/>
      <c r="G30" s="146"/>
      <c r="H30" s="161"/>
      <c r="I30" s="27"/>
      <c r="J30" s="27"/>
      <c r="K30" s="27"/>
      <c r="L30" s="27"/>
      <c r="M30" s="27"/>
      <c r="N30" s="27"/>
      <c r="O30" s="27"/>
      <c r="P30" s="27"/>
      <c r="Q30" s="27"/>
      <c r="R30" s="27"/>
      <c r="S30" s="27"/>
      <c r="T30" s="27"/>
      <c r="U30" s="27"/>
      <c r="V30" s="27"/>
      <c r="W30" s="27"/>
      <c r="X30" s="27"/>
      <c r="Y30" s="27"/>
      <c r="Z30" s="27"/>
      <c r="AA30" s="27"/>
      <c r="AB30" s="27"/>
    </row>
    <row r="31" spans="2:28" x14ac:dyDescent="0.2">
      <c r="B31" s="174"/>
      <c r="C31" s="146" t="s">
        <v>212</v>
      </c>
      <c r="D31" s="146" t="s">
        <v>268</v>
      </c>
      <c r="E31" s="150">
        <f>'Tariffs electricity'!M100</f>
        <v>221.9295056919448</v>
      </c>
      <c r="F31" s="149"/>
      <c r="G31" s="146"/>
      <c r="H31" s="161"/>
      <c r="I31" s="27"/>
      <c r="J31" s="27"/>
      <c r="K31" s="27"/>
      <c r="L31" s="27"/>
      <c r="M31" s="27"/>
      <c r="N31" s="27"/>
      <c r="O31" s="27"/>
      <c r="P31" s="27"/>
      <c r="Q31" s="27"/>
      <c r="R31" s="27"/>
      <c r="S31" s="27"/>
      <c r="T31" s="27"/>
      <c r="U31" s="27"/>
      <c r="V31" s="27"/>
      <c r="W31" s="27"/>
      <c r="X31" s="27"/>
      <c r="Y31" s="27"/>
      <c r="Z31" s="27"/>
      <c r="AA31" s="27"/>
      <c r="AB31" s="27"/>
    </row>
    <row r="32" spans="2:28" x14ac:dyDescent="0.2">
      <c r="B32" s="174"/>
      <c r="C32" s="146" t="s">
        <v>239</v>
      </c>
      <c r="D32" s="146" t="s">
        <v>268</v>
      </c>
      <c r="E32" s="150">
        <f>'Tariffs electricity'!M101</f>
        <v>246.58833965771646</v>
      </c>
      <c r="F32" s="149"/>
      <c r="G32" s="146"/>
      <c r="H32" s="161"/>
      <c r="I32" s="27"/>
      <c r="J32" s="27"/>
      <c r="K32" s="27"/>
      <c r="L32" s="27"/>
      <c r="M32" s="27"/>
      <c r="N32" s="27"/>
      <c r="O32" s="27"/>
      <c r="P32" s="27"/>
      <c r="Q32" s="27"/>
      <c r="R32" s="27"/>
      <c r="S32" s="27"/>
      <c r="T32" s="27"/>
      <c r="U32" s="27"/>
      <c r="V32" s="27"/>
      <c r="W32" s="27"/>
      <c r="X32" s="27"/>
      <c r="Y32" s="27"/>
      <c r="Z32" s="27"/>
      <c r="AA32" s="27"/>
      <c r="AB32" s="27"/>
    </row>
    <row r="33" spans="2:28" x14ac:dyDescent="0.2">
      <c r="B33" s="174"/>
      <c r="C33" s="146"/>
      <c r="D33" s="146"/>
      <c r="E33" s="146"/>
      <c r="F33" s="149"/>
      <c r="G33" s="146"/>
      <c r="H33" s="161"/>
      <c r="I33" s="27"/>
      <c r="J33" s="27"/>
      <c r="K33" s="27"/>
      <c r="L33" s="27"/>
      <c r="M33" s="27"/>
      <c r="N33" s="27"/>
      <c r="O33" s="27"/>
      <c r="P33" s="27"/>
      <c r="Q33" s="27"/>
      <c r="R33" s="27"/>
      <c r="S33" s="27"/>
      <c r="T33" s="27"/>
      <c r="U33" s="27"/>
      <c r="V33" s="27"/>
      <c r="W33" s="27"/>
      <c r="X33" s="27"/>
      <c r="Y33" s="27"/>
      <c r="Z33" s="27"/>
      <c r="AA33" s="27"/>
      <c r="AB33" s="27"/>
    </row>
    <row r="34" spans="2:28" x14ac:dyDescent="0.2">
      <c r="B34" s="174"/>
      <c r="C34" s="145" t="s">
        <v>211</v>
      </c>
      <c r="D34" s="146"/>
      <c r="E34" s="146"/>
      <c r="F34" s="149"/>
      <c r="G34" s="146"/>
      <c r="H34" s="161"/>
      <c r="I34" s="27"/>
      <c r="J34" s="27"/>
      <c r="K34" s="27"/>
      <c r="L34" s="27"/>
      <c r="M34" s="27"/>
      <c r="N34" s="27"/>
      <c r="O34" s="27"/>
      <c r="P34" s="27"/>
      <c r="Q34" s="27"/>
      <c r="R34" s="27"/>
      <c r="S34" s="27"/>
      <c r="T34" s="27"/>
      <c r="U34" s="27"/>
      <c r="V34" s="27"/>
      <c r="W34" s="27"/>
      <c r="X34" s="27"/>
      <c r="Y34" s="27"/>
      <c r="Z34" s="27"/>
      <c r="AA34" s="27"/>
      <c r="AB34" s="27"/>
    </row>
    <row r="35" spans="2:28" x14ac:dyDescent="0.2">
      <c r="B35" s="174"/>
      <c r="C35" s="146" t="s">
        <v>30</v>
      </c>
      <c r="D35" s="146" t="s">
        <v>269</v>
      </c>
      <c r="E35" s="150">
        <f>'Tariffs electricity'!M104</f>
        <v>40</v>
      </c>
      <c r="F35" s="149"/>
      <c r="G35" s="146"/>
      <c r="H35" s="161"/>
      <c r="I35" s="27"/>
      <c r="J35" s="27"/>
      <c r="K35" s="27"/>
      <c r="L35" s="27"/>
      <c r="M35" s="27"/>
      <c r="N35" s="27"/>
      <c r="O35" s="27"/>
      <c r="P35" s="27"/>
      <c r="Q35" s="27"/>
      <c r="R35" s="27"/>
      <c r="S35" s="27"/>
      <c r="T35" s="27"/>
      <c r="U35" s="27"/>
      <c r="V35" s="27"/>
      <c r="W35" s="27"/>
      <c r="X35" s="27"/>
      <c r="Y35" s="27"/>
      <c r="Z35" s="27"/>
      <c r="AA35" s="27"/>
      <c r="AB35" s="27"/>
    </row>
    <row r="36" spans="2:28" x14ac:dyDescent="0.2">
      <c r="B36" s="174"/>
      <c r="C36" s="146" t="s">
        <v>166</v>
      </c>
      <c r="D36" s="146" t="s">
        <v>269</v>
      </c>
      <c r="E36" s="150">
        <f>'Tariffs electricity'!M107</f>
        <v>283.45441820999997</v>
      </c>
      <c r="F36" s="149"/>
      <c r="G36" s="146"/>
      <c r="H36" s="161"/>
      <c r="I36" s="27"/>
      <c r="J36" s="27"/>
      <c r="K36" s="27"/>
      <c r="L36" s="27"/>
      <c r="M36" s="27"/>
      <c r="N36" s="27"/>
      <c r="O36" s="27"/>
      <c r="P36" s="27"/>
      <c r="Q36" s="27"/>
      <c r="R36" s="27"/>
      <c r="S36" s="27"/>
      <c r="T36" s="27"/>
      <c r="U36" s="27"/>
      <c r="V36" s="27"/>
      <c r="W36" s="27"/>
      <c r="X36" s="27"/>
      <c r="Y36" s="27"/>
      <c r="Z36" s="27"/>
      <c r="AA36" s="27"/>
      <c r="AB36" s="27"/>
    </row>
    <row r="37" spans="2:28" x14ac:dyDescent="0.2">
      <c r="B37" s="174"/>
      <c r="C37" s="146"/>
      <c r="D37" s="146"/>
      <c r="E37" s="146"/>
      <c r="F37" s="149"/>
      <c r="G37" s="146"/>
      <c r="H37" s="161"/>
      <c r="I37" s="27"/>
      <c r="J37" s="27"/>
      <c r="K37" s="27"/>
      <c r="L37" s="27"/>
      <c r="M37" s="27"/>
      <c r="N37" s="27"/>
      <c r="O37" s="27"/>
      <c r="P37" s="27"/>
      <c r="Q37" s="27"/>
      <c r="R37" s="27"/>
      <c r="S37" s="27"/>
      <c r="T37" s="27"/>
      <c r="U37" s="27"/>
      <c r="V37" s="27"/>
      <c r="W37" s="27"/>
      <c r="X37" s="27"/>
      <c r="Y37" s="27"/>
      <c r="Z37" s="27"/>
      <c r="AA37" s="27"/>
      <c r="AB37" s="27"/>
    </row>
    <row r="38" spans="2:28" s="27" customFormat="1" x14ac:dyDescent="0.25">
      <c r="B38" s="132"/>
      <c r="C38" s="145" t="s">
        <v>210</v>
      </c>
      <c r="D38" s="146"/>
      <c r="E38" s="146"/>
      <c r="F38" s="149"/>
      <c r="G38" s="146"/>
      <c r="H38" s="146"/>
    </row>
    <row r="39" spans="2:28" x14ac:dyDescent="0.2">
      <c r="B39" s="174"/>
      <c r="C39" s="146" t="s">
        <v>167</v>
      </c>
      <c r="D39" s="146" t="s">
        <v>269</v>
      </c>
      <c r="E39" s="150">
        <f>'Tariffs electricity'!M108</f>
        <v>175.91136985</v>
      </c>
      <c r="F39" s="149"/>
      <c r="G39" s="146"/>
      <c r="H39" s="161"/>
      <c r="I39" s="27"/>
      <c r="J39" s="27"/>
      <c r="K39" s="27"/>
      <c r="L39" s="27"/>
      <c r="M39" s="27"/>
      <c r="N39" s="27"/>
      <c r="O39" s="27"/>
      <c r="P39" s="27"/>
      <c r="Q39" s="27"/>
      <c r="R39" s="27"/>
      <c r="S39" s="27"/>
      <c r="T39" s="27"/>
      <c r="U39" s="27"/>
      <c r="V39" s="27"/>
      <c r="W39" s="27"/>
      <c r="X39" s="27"/>
      <c r="Y39" s="27"/>
      <c r="Z39" s="27"/>
      <c r="AA39" s="27"/>
      <c r="AB39" s="27"/>
    </row>
    <row r="40" spans="2:28" x14ac:dyDescent="0.2">
      <c r="B40" s="174"/>
      <c r="C40" s="146" t="s">
        <v>168</v>
      </c>
      <c r="D40" s="146" t="s">
        <v>269</v>
      </c>
      <c r="E40" s="150">
        <f>'Tariffs electricity'!M109</f>
        <v>190.97557627999996</v>
      </c>
      <c r="F40" s="149"/>
      <c r="G40" s="146"/>
      <c r="H40" s="161"/>
      <c r="I40" s="27"/>
      <c r="J40" s="27"/>
      <c r="K40" s="27"/>
      <c r="L40" s="27"/>
      <c r="M40" s="27"/>
      <c r="N40" s="27"/>
      <c r="O40" s="27"/>
      <c r="P40" s="27"/>
      <c r="Q40" s="27"/>
      <c r="R40" s="27"/>
      <c r="S40" s="27"/>
      <c r="T40" s="27"/>
      <c r="U40" s="27"/>
      <c r="V40" s="27"/>
      <c r="W40" s="27"/>
      <c r="X40" s="27"/>
      <c r="Y40" s="27"/>
      <c r="Z40" s="27"/>
      <c r="AA40" s="27"/>
      <c r="AB40" s="27"/>
    </row>
    <row r="41" spans="2:28" ht="13.5" thickBot="1" x14ac:dyDescent="0.25">
      <c r="B41" s="185"/>
      <c r="C41" s="152"/>
      <c r="D41" s="152"/>
      <c r="E41" s="152"/>
      <c r="F41" s="153"/>
      <c r="G41" s="154"/>
      <c r="H41" s="161"/>
      <c r="I41" s="155"/>
      <c r="J41" s="155"/>
      <c r="K41" s="27"/>
      <c r="L41" s="27"/>
      <c r="M41" s="27"/>
      <c r="N41" s="27"/>
      <c r="O41" s="27"/>
      <c r="P41" s="27"/>
      <c r="Q41" s="27"/>
      <c r="R41" s="27"/>
      <c r="S41" s="27"/>
      <c r="T41" s="27"/>
      <c r="U41" s="27"/>
      <c r="V41" s="27"/>
      <c r="W41" s="27"/>
      <c r="X41" s="27"/>
      <c r="Y41" s="27"/>
      <c r="Z41" s="27"/>
      <c r="AA41" s="27"/>
      <c r="AB41" s="27"/>
    </row>
    <row r="42" spans="2:28" ht="13.5" thickBot="1" x14ac:dyDescent="0.25">
      <c r="B42" s="179"/>
      <c r="C42" s="146"/>
      <c r="D42" s="146"/>
      <c r="E42" s="146"/>
      <c r="F42" s="146"/>
      <c r="G42" s="146"/>
      <c r="H42" s="161"/>
      <c r="I42" s="155"/>
      <c r="J42" s="27"/>
      <c r="K42" s="27"/>
      <c r="L42" s="27"/>
      <c r="M42" s="27"/>
      <c r="N42" s="27"/>
      <c r="O42" s="27"/>
      <c r="P42" s="27"/>
      <c r="Q42" s="27"/>
      <c r="R42" s="27"/>
      <c r="S42" s="27"/>
      <c r="T42" s="27"/>
      <c r="U42" s="27"/>
      <c r="V42" s="27"/>
      <c r="W42" s="27"/>
      <c r="X42" s="27"/>
      <c r="Y42" s="27"/>
      <c r="Z42" s="27"/>
      <c r="AA42" s="27"/>
      <c r="AB42" s="27"/>
    </row>
    <row r="43" spans="2:28" x14ac:dyDescent="0.2">
      <c r="B43" s="193"/>
      <c r="C43" s="156"/>
      <c r="D43" s="156"/>
      <c r="E43" s="156"/>
      <c r="F43" s="156"/>
      <c r="G43" s="157"/>
      <c r="H43" s="161"/>
      <c r="I43" s="155"/>
      <c r="J43" s="27"/>
      <c r="K43" s="27"/>
      <c r="L43" s="27"/>
      <c r="M43" s="27"/>
      <c r="N43" s="27"/>
      <c r="O43" s="27"/>
      <c r="P43" s="27"/>
      <c r="Q43" s="27"/>
      <c r="R43" s="27"/>
      <c r="S43" s="27"/>
      <c r="T43" s="27"/>
      <c r="U43" s="27"/>
      <c r="V43" s="27"/>
      <c r="W43" s="27"/>
      <c r="X43" s="27"/>
      <c r="Y43" s="27"/>
      <c r="Z43" s="27"/>
      <c r="AA43" s="27"/>
      <c r="AB43" s="27"/>
    </row>
    <row r="44" spans="2:28" s="57" customFormat="1" x14ac:dyDescent="0.25">
      <c r="B44" s="201"/>
      <c r="C44" s="57" t="s">
        <v>270</v>
      </c>
      <c r="D44" s="57" t="s">
        <v>38</v>
      </c>
      <c r="G44" s="202"/>
    </row>
    <row r="45" spans="2:28" s="27" customFormat="1" x14ac:dyDescent="0.25">
      <c r="B45" s="132"/>
      <c r="C45" s="146"/>
      <c r="D45" s="146"/>
      <c r="E45" s="146"/>
      <c r="F45" s="146"/>
      <c r="G45" s="149"/>
      <c r="H45" s="146"/>
    </row>
    <row r="46" spans="2:28" x14ac:dyDescent="0.2">
      <c r="B46" s="174"/>
      <c r="C46" s="145" t="s">
        <v>149</v>
      </c>
      <c r="D46" s="146"/>
      <c r="E46" s="146"/>
      <c r="F46" s="146"/>
      <c r="G46" s="149"/>
      <c r="H46" s="161"/>
      <c r="I46" s="27"/>
      <c r="J46" s="27"/>
      <c r="K46" s="27"/>
      <c r="L46" s="27"/>
      <c r="M46" s="27"/>
      <c r="N46" s="27"/>
      <c r="O46" s="27"/>
      <c r="P46" s="27"/>
      <c r="Q46" s="27"/>
      <c r="R46" s="27"/>
      <c r="S46" s="27"/>
      <c r="T46" s="27"/>
      <c r="U46" s="27"/>
      <c r="V46" s="27"/>
      <c r="W46" s="27"/>
      <c r="X46" s="27"/>
      <c r="Y46" s="27"/>
      <c r="Z46" s="27"/>
      <c r="AA46" s="27"/>
      <c r="AB46" s="27"/>
    </row>
    <row r="47" spans="2:28" x14ac:dyDescent="0.2">
      <c r="B47" s="174"/>
      <c r="C47" s="146" t="s">
        <v>271</v>
      </c>
      <c r="D47" s="146" t="s">
        <v>8</v>
      </c>
      <c r="E47" s="158">
        <f>Parameters!H23</f>
        <v>6.0100000000000001E-2</v>
      </c>
      <c r="F47" s="146"/>
      <c r="G47" s="149"/>
      <c r="H47" s="161"/>
      <c r="I47" s="27"/>
      <c r="J47" s="27"/>
      <c r="K47" s="27"/>
      <c r="L47" s="27"/>
      <c r="M47" s="27"/>
      <c r="N47" s="27"/>
      <c r="O47" s="27"/>
      <c r="P47" s="27"/>
      <c r="Q47" s="27"/>
      <c r="R47" s="27"/>
      <c r="S47" s="27"/>
      <c r="T47" s="27"/>
      <c r="U47" s="27"/>
      <c r="V47" s="27"/>
      <c r="W47" s="27"/>
      <c r="X47" s="27"/>
      <c r="Y47" s="27"/>
      <c r="Z47" s="27"/>
      <c r="AA47" s="27"/>
      <c r="AB47" s="27"/>
    </row>
    <row r="48" spans="2:28" x14ac:dyDescent="0.2">
      <c r="B48" s="174"/>
      <c r="C48" s="146" t="s">
        <v>97</v>
      </c>
      <c r="D48" s="146" t="s">
        <v>8</v>
      </c>
      <c r="E48" s="158">
        <f>Parameters!H18</f>
        <v>7.0000000000000001E-3</v>
      </c>
      <c r="F48" s="146"/>
      <c r="G48" s="149"/>
      <c r="H48" s="161"/>
      <c r="I48" s="27"/>
      <c r="J48" s="27"/>
      <c r="K48" s="27"/>
      <c r="L48" s="27"/>
      <c r="M48" s="27"/>
      <c r="N48" s="27"/>
      <c r="O48" s="27"/>
      <c r="P48" s="27"/>
      <c r="Q48" s="27"/>
      <c r="R48" s="27"/>
      <c r="S48" s="27"/>
      <c r="T48" s="27"/>
      <c r="U48" s="27"/>
      <c r="V48" s="27"/>
      <c r="W48" s="27"/>
      <c r="X48" s="27"/>
      <c r="Y48" s="27"/>
      <c r="Z48" s="27"/>
      <c r="AA48" s="27"/>
      <c r="AB48" s="27"/>
    </row>
    <row r="49" spans="2:28" x14ac:dyDescent="0.2">
      <c r="B49" s="174"/>
      <c r="C49" s="146" t="s">
        <v>272</v>
      </c>
      <c r="D49" s="146" t="s">
        <v>8</v>
      </c>
      <c r="E49" s="158">
        <f>Parameters!H19</f>
        <v>-3.3000000000000002E-2</v>
      </c>
      <c r="F49" s="146"/>
      <c r="G49" s="149"/>
      <c r="H49" s="161"/>
      <c r="I49" s="27"/>
      <c r="J49" s="27"/>
      <c r="K49" s="27"/>
      <c r="L49" s="27"/>
      <c r="M49" s="27"/>
      <c r="N49" s="27"/>
      <c r="O49" s="27"/>
      <c r="P49" s="27"/>
      <c r="Q49" s="27"/>
      <c r="R49" s="27"/>
      <c r="S49" s="27"/>
      <c r="T49" s="27"/>
      <c r="U49" s="27"/>
      <c r="V49" s="27"/>
      <c r="W49" s="27"/>
      <c r="X49" s="27"/>
      <c r="Y49" s="27"/>
      <c r="Z49" s="27"/>
      <c r="AA49" s="27"/>
      <c r="AB49" s="27"/>
    </row>
    <row r="50" spans="2:28" x14ac:dyDescent="0.2">
      <c r="B50" s="174"/>
      <c r="C50" s="154" t="s">
        <v>240</v>
      </c>
      <c r="D50" s="146" t="s">
        <v>8</v>
      </c>
      <c r="E50" s="158">
        <v>0.5</v>
      </c>
      <c r="F50" s="146"/>
      <c r="G50" s="149"/>
      <c r="H50" s="161"/>
      <c r="I50" s="27"/>
      <c r="J50" s="27"/>
      <c r="K50" s="27"/>
      <c r="L50" s="27"/>
      <c r="M50" s="27"/>
      <c r="N50" s="27"/>
      <c r="O50" s="27"/>
      <c r="P50" s="27"/>
      <c r="Q50" s="27"/>
      <c r="R50" s="27"/>
      <c r="S50" s="27"/>
      <c r="T50" s="27"/>
      <c r="U50" s="27"/>
      <c r="V50" s="27"/>
      <c r="W50" s="27"/>
      <c r="X50" s="27"/>
      <c r="Y50" s="27"/>
      <c r="Z50" s="27"/>
      <c r="AA50" s="27"/>
      <c r="AB50" s="27"/>
    </row>
    <row r="51" spans="2:28" ht="12" customHeight="1" x14ac:dyDescent="0.2">
      <c r="B51" s="174"/>
      <c r="C51" s="161"/>
      <c r="D51" s="146"/>
      <c r="E51" s="161"/>
      <c r="F51" s="161"/>
      <c r="G51" s="149"/>
      <c r="H51" s="161"/>
      <c r="I51" s="27"/>
      <c r="J51" s="27"/>
      <c r="K51" s="27"/>
      <c r="L51" s="27"/>
      <c r="M51" s="27"/>
      <c r="N51" s="27"/>
      <c r="O51" s="27"/>
      <c r="P51" s="27"/>
      <c r="Q51" s="27"/>
      <c r="R51" s="27"/>
      <c r="S51" s="27"/>
      <c r="T51" s="27"/>
      <c r="U51" s="27"/>
      <c r="V51" s="27"/>
      <c r="W51" s="27"/>
      <c r="X51" s="27"/>
      <c r="Y51" s="27"/>
      <c r="Z51" s="27"/>
      <c r="AA51" s="27"/>
      <c r="AB51" s="27"/>
    </row>
    <row r="52" spans="2:28" ht="25.5" x14ac:dyDescent="0.2">
      <c r="B52" s="174"/>
      <c r="C52" s="145" t="s">
        <v>273</v>
      </c>
      <c r="D52" s="159"/>
      <c r="E52" s="131" t="s">
        <v>121</v>
      </c>
      <c r="F52" s="131" t="s">
        <v>43</v>
      </c>
      <c r="G52" s="149"/>
      <c r="H52" s="161"/>
      <c r="I52" s="27"/>
      <c r="J52" s="27"/>
      <c r="K52" s="27"/>
      <c r="L52" s="27"/>
      <c r="M52" s="27"/>
      <c r="N52" s="27"/>
      <c r="O52" s="27"/>
      <c r="P52" s="27"/>
      <c r="Q52" s="27"/>
      <c r="R52" s="27"/>
      <c r="S52" s="27"/>
      <c r="T52" s="27"/>
      <c r="U52" s="27"/>
      <c r="V52" s="27"/>
      <c r="W52" s="27"/>
      <c r="X52" s="27"/>
      <c r="Y52" s="27"/>
      <c r="Z52" s="27"/>
      <c r="AA52" s="27"/>
      <c r="AB52" s="27"/>
    </row>
    <row r="53" spans="2:28" x14ac:dyDescent="0.2">
      <c r="B53" s="174"/>
      <c r="C53" s="146" t="s">
        <v>274</v>
      </c>
      <c r="D53" s="146" t="s">
        <v>31</v>
      </c>
      <c r="E53" s="160">
        <f>'Fixed-variable costs'!L30</f>
        <v>1904050.2302020853</v>
      </c>
      <c r="F53" s="160">
        <f>'Fixed-variable costs'!M30</f>
        <v>657869.14239412756</v>
      </c>
      <c r="G53" s="149"/>
      <c r="H53" s="161"/>
      <c r="I53" s="27"/>
      <c r="J53" s="27"/>
      <c r="K53" s="27"/>
      <c r="L53" s="27"/>
      <c r="M53" s="27"/>
      <c r="N53" s="27"/>
      <c r="O53" s="27"/>
      <c r="P53" s="27"/>
      <c r="Q53" s="27"/>
      <c r="R53" s="27"/>
      <c r="S53" s="27"/>
      <c r="T53" s="27"/>
      <c r="U53" s="27"/>
      <c r="V53" s="27"/>
      <c r="W53" s="27"/>
      <c r="X53" s="27"/>
      <c r="Y53" s="27"/>
      <c r="Z53" s="27"/>
      <c r="AA53" s="27"/>
      <c r="AB53" s="27"/>
    </row>
    <row r="54" spans="2:28" x14ac:dyDescent="0.2">
      <c r="B54" s="174"/>
      <c r="C54" s="146" t="s">
        <v>275</v>
      </c>
      <c r="D54" s="146" t="s">
        <v>31</v>
      </c>
      <c r="E54" s="160">
        <f>'Fixed-variable costs'!L31</f>
        <v>332.40516183827208</v>
      </c>
      <c r="F54" s="160">
        <f>'Fixed-variable costs'!M31</f>
        <v>116427.32801930938</v>
      </c>
      <c r="G54" s="149"/>
      <c r="H54" s="161"/>
      <c r="I54" s="27"/>
      <c r="J54" s="27"/>
      <c r="K54" s="27"/>
      <c r="L54" s="27"/>
      <c r="M54" s="27"/>
      <c r="N54" s="27"/>
      <c r="O54" s="27"/>
      <c r="P54" s="27"/>
      <c r="Q54" s="27"/>
      <c r="R54" s="27"/>
      <c r="S54" s="27"/>
      <c r="T54" s="27"/>
      <c r="U54" s="27"/>
      <c r="V54" s="27"/>
      <c r="W54" s="27"/>
      <c r="X54" s="27"/>
      <c r="Y54" s="27"/>
      <c r="Z54" s="27"/>
      <c r="AA54" s="27"/>
      <c r="AB54" s="27"/>
    </row>
    <row r="55" spans="2:28" x14ac:dyDescent="0.2">
      <c r="B55" s="174"/>
      <c r="C55" s="146" t="s">
        <v>276</v>
      </c>
      <c r="D55" s="146" t="s">
        <v>98</v>
      </c>
      <c r="E55" s="160">
        <f>'Fixed-variable costs'!L28</f>
        <v>2949735.6692770356</v>
      </c>
      <c r="F55" s="160">
        <f>'Fixed-variable costs'!M28</f>
        <v>1412121.1811824446</v>
      </c>
      <c r="G55" s="149"/>
      <c r="H55" s="161"/>
      <c r="I55" s="27"/>
      <c r="J55" s="27"/>
      <c r="K55" s="27"/>
      <c r="L55" s="27"/>
      <c r="M55" s="27"/>
      <c r="N55" s="27"/>
      <c r="O55" s="27"/>
      <c r="P55" s="27"/>
      <c r="Q55" s="27"/>
      <c r="R55" s="27"/>
      <c r="S55" s="27"/>
      <c r="T55" s="27"/>
      <c r="U55" s="27"/>
      <c r="V55" s="27"/>
      <c r="W55" s="27"/>
      <c r="X55" s="27"/>
      <c r="Y55" s="27"/>
      <c r="Z55" s="27"/>
      <c r="AA55" s="27"/>
      <c r="AB55" s="27"/>
    </row>
    <row r="56" spans="2:28" x14ac:dyDescent="0.2">
      <c r="B56" s="174"/>
      <c r="C56" s="146" t="s">
        <v>277</v>
      </c>
      <c r="D56" s="146" t="s">
        <v>98</v>
      </c>
      <c r="E56" s="160">
        <f>'Fixed-variable costs'!L29</f>
        <v>321792.80314421421</v>
      </c>
      <c r="F56" s="160">
        <f>'Fixed-variable costs'!M29</f>
        <v>145818.62407679949</v>
      </c>
      <c r="G56" s="149"/>
      <c r="H56" s="161"/>
      <c r="I56" s="27"/>
      <c r="J56" s="27"/>
      <c r="K56" s="27"/>
      <c r="L56" s="27"/>
      <c r="M56" s="27"/>
      <c r="N56" s="27"/>
      <c r="O56" s="27"/>
      <c r="P56" s="27"/>
      <c r="Q56" s="27"/>
      <c r="R56" s="27"/>
      <c r="S56" s="27"/>
      <c r="T56" s="27"/>
      <c r="U56" s="27"/>
      <c r="V56" s="27"/>
      <c r="W56" s="27"/>
      <c r="X56" s="27"/>
      <c r="Y56" s="27"/>
      <c r="Z56" s="27"/>
      <c r="AA56" s="27"/>
      <c r="AB56" s="27"/>
    </row>
    <row r="57" spans="2:28" x14ac:dyDescent="0.2">
      <c r="B57" s="174"/>
      <c r="C57" s="146"/>
      <c r="D57" s="146"/>
      <c r="E57" s="146"/>
      <c r="F57" s="146"/>
      <c r="G57" s="149"/>
      <c r="H57" s="161"/>
      <c r="I57" s="27"/>
      <c r="J57" s="27"/>
      <c r="K57" s="27"/>
      <c r="L57" s="27"/>
      <c r="M57" s="27"/>
      <c r="N57" s="27"/>
      <c r="O57" s="27"/>
      <c r="P57" s="27"/>
      <c r="Q57" s="27"/>
      <c r="R57" s="27"/>
      <c r="S57" s="27"/>
      <c r="T57" s="27"/>
      <c r="U57" s="27"/>
      <c r="V57" s="27"/>
      <c r="W57" s="27"/>
      <c r="X57" s="27"/>
      <c r="Y57" s="27"/>
      <c r="Z57" s="27"/>
      <c r="AA57" s="27"/>
      <c r="AB57" s="27"/>
    </row>
    <row r="58" spans="2:28" x14ac:dyDescent="0.2">
      <c r="B58" s="174"/>
      <c r="C58" s="145" t="s">
        <v>34</v>
      </c>
      <c r="D58" s="146"/>
      <c r="E58" s="161"/>
      <c r="F58" s="161"/>
      <c r="G58" s="175"/>
      <c r="H58" s="161"/>
      <c r="K58" s="191"/>
    </row>
    <row r="59" spans="2:28" x14ac:dyDescent="0.2">
      <c r="B59" s="174"/>
      <c r="C59" s="146" t="s">
        <v>278</v>
      </c>
      <c r="D59" s="146" t="s">
        <v>269</v>
      </c>
      <c r="E59" s="160">
        <f>'Tariffs electricity'!L21</f>
        <v>-109497.34571975251</v>
      </c>
      <c r="F59" s="160">
        <f>'Tariffs electricity'!M21</f>
        <v>-38566.78738899032</v>
      </c>
      <c r="G59" s="175"/>
      <c r="H59" s="161"/>
    </row>
    <row r="60" spans="2:28" x14ac:dyDescent="0.2">
      <c r="B60" s="174"/>
      <c r="C60" s="146" t="s">
        <v>279</v>
      </c>
      <c r="D60" s="146" t="s">
        <v>269</v>
      </c>
      <c r="E60" s="160">
        <f>'Tariffs electricity'!L22</f>
        <v>135328.69250201981</v>
      </c>
      <c r="F60" s="160">
        <f>'Tariffs electricity'!M22</f>
        <v>-208833.43592196566</v>
      </c>
      <c r="G60" s="175"/>
      <c r="H60" s="161"/>
    </row>
    <row r="61" spans="2:28" x14ac:dyDescent="0.2">
      <c r="B61" s="174"/>
      <c r="C61" s="146" t="s">
        <v>280</v>
      </c>
      <c r="D61" s="146" t="s">
        <v>269</v>
      </c>
      <c r="E61" s="161"/>
      <c r="F61" s="160">
        <f>'Tariffs electricity'!M23</f>
        <v>15698.079628169715</v>
      </c>
      <c r="G61" s="175"/>
      <c r="H61" s="161"/>
    </row>
    <row r="62" spans="2:28" x14ac:dyDescent="0.2">
      <c r="B62" s="174"/>
      <c r="C62" s="146" t="s">
        <v>281</v>
      </c>
      <c r="D62" s="146" t="s">
        <v>269</v>
      </c>
      <c r="E62" s="160">
        <f>'Tariffs electricity'!L24</f>
        <v>34351.24066830727</v>
      </c>
      <c r="F62" s="161"/>
      <c r="G62" s="175"/>
      <c r="H62" s="161"/>
    </row>
    <row r="63" spans="2:28" x14ac:dyDescent="0.2">
      <c r="B63" s="174"/>
      <c r="C63" s="146" t="s">
        <v>282</v>
      </c>
      <c r="D63" s="146" t="s">
        <v>269</v>
      </c>
      <c r="E63" s="161"/>
      <c r="F63" s="160">
        <f>'Tariffs electricity'!M25</f>
        <v>-8095.2728830397182</v>
      </c>
      <c r="G63" s="175"/>
      <c r="H63" s="161"/>
    </row>
    <row r="64" spans="2:28" x14ac:dyDescent="0.2">
      <c r="B64" s="174"/>
      <c r="C64" s="161"/>
      <c r="D64" s="161"/>
      <c r="E64" s="161"/>
      <c r="F64" s="161"/>
      <c r="G64" s="175"/>
      <c r="H64" s="161"/>
    </row>
    <row r="65" spans="2:10" x14ac:dyDescent="0.2">
      <c r="B65" s="174"/>
      <c r="C65" s="146" t="s">
        <v>259</v>
      </c>
      <c r="D65" s="146" t="s">
        <v>269</v>
      </c>
      <c r="E65" s="161"/>
      <c r="F65" s="160">
        <f>'Tariffs electricity'!M28</f>
        <v>16291.843328677045</v>
      </c>
      <c r="G65" s="175"/>
      <c r="H65" s="161"/>
    </row>
    <row r="66" spans="2:10" x14ac:dyDescent="0.2">
      <c r="B66" s="174"/>
      <c r="C66" s="145"/>
      <c r="D66" s="146"/>
      <c r="E66" s="146"/>
      <c r="F66" s="146"/>
      <c r="G66" s="149"/>
      <c r="H66" s="161"/>
    </row>
    <row r="67" spans="2:10" x14ac:dyDescent="0.2">
      <c r="B67" s="174"/>
      <c r="C67" s="145" t="s">
        <v>283</v>
      </c>
      <c r="D67" s="146"/>
      <c r="E67" s="146"/>
      <c r="F67" s="146"/>
      <c r="G67" s="149"/>
      <c r="H67" s="161"/>
      <c r="I67" s="27"/>
      <c r="J67" s="27"/>
    </row>
    <row r="68" spans="2:10" x14ac:dyDescent="0.2">
      <c r="B68" s="174"/>
      <c r="C68" s="161" t="s">
        <v>473</v>
      </c>
      <c r="D68" s="146" t="s">
        <v>269</v>
      </c>
      <c r="E68" s="160">
        <f>'Tariffs electricity'!L19</f>
        <v>2387664.4616589271</v>
      </c>
      <c r="F68" s="160">
        <f>'Tariffs electricity'!M19</f>
        <v>774643.42597921833</v>
      </c>
      <c r="G68" s="175"/>
      <c r="H68" s="161"/>
    </row>
    <row r="69" spans="2:10" x14ac:dyDescent="0.2">
      <c r="B69" s="174"/>
      <c r="C69" s="161" t="s">
        <v>244</v>
      </c>
      <c r="D69" s="146" t="s">
        <v>284</v>
      </c>
      <c r="E69" s="164">
        <f>'Calculation income level'!L18</f>
        <v>2.4025910704359624E-2</v>
      </c>
      <c r="F69" s="162">
        <f>'Calculation income level'!M18</f>
        <v>17.693172055561895</v>
      </c>
      <c r="G69" s="175"/>
      <c r="H69" s="161"/>
      <c r="J69" s="27"/>
    </row>
    <row r="70" spans="2:10" x14ac:dyDescent="0.2">
      <c r="B70" s="174"/>
      <c r="C70" s="161" t="s">
        <v>285</v>
      </c>
      <c r="D70" s="146" t="s">
        <v>269</v>
      </c>
      <c r="E70" s="160">
        <f>'Tariffs electricity'!L30</f>
        <v>2447847.0491095018</v>
      </c>
      <c r="F70" s="160">
        <f>'Tariffs electricity'!M31</f>
        <v>543535.04599693941</v>
      </c>
      <c r="G70" s="175"/>
      <c r="H70" s="161"/>
    </row>
    <row r="71" spans="2:10" x14ac:dyDescent="0.2">
      <c r="B71" s="174"/>
      <c r="C71" s="161"/>
      <c r="D71" s="161"/>
      <c r="E71" s="161"/>
      <c r="F71" s="161"/>
      <c r="G71" s="175"/>
      <c r="H71" s="161"/>
    </row>
    <row r="72" spans="2:10" x14ac:dyDescent="0.2">
      <c r="B72" s="174"/>
      <c r="C72" s="147" t="s">
        <v>286</v>
      </c>
      <c r="D72" s="161"/>
      <c r="E72" s="161"/>
      <c r="F72" s="161"/>
      <c r="G72" s="175"/>
      <c r="H72" s="161"/>
    </row>
    <row r="73" spans="2:10" x14ac:dyDescent="0.2">
      <c r="B73" s="174"/>
      <c r="C73" s="146" t="s">
        <v>208</v>
      </c>
      <c r="D73" s="146" t="s">
        <v>23</v>
      </c>
      <c r="E73" s="160">
        <f>'Data on volumes and tariffs'!L18</f>
        <v>16427900</v>
      </c>
      <c r="F73" s="161"/>
      <c r="G73" s="175"/>
      <c r="H73" s="161"/>
    </row>
    <row r="74" spans="2:10" x14ac:dyDescent="0.2">
      <c r="B74" s="174"/>
      <c r="C74" s="146" t="s">
        <v>207</v>
      </c>
      <c r="D74" s="146" t="s">
        <v>23</v>
      </c>
      <c r="E74" s="160">
        <f>'Data on volumes and tariffs'!L16</f>
        <v>6250000</v>
      </c>
      <c r="F74" s="161"/>
      <c r="G74" s="175"/>
      <c r="H74" s="161"/>
    </row>
    <row r="75" spans="2:10" x14ac:dyDescent="0.2">
      <c r="B75" s="174"/>
      <c r="C75" s="146" t="s">
        <v>206</v>
      </c>
      <c r="D75" s="146" t="s">
        <v>23</v>
      </c>
      <c r="E75" s="160">
        <f>'Data on volumes and tariffs'!L17</f>
        <v>10177900</v>
      </c>
      <c r="F75" s="161"/>
      <c r="G75" s="175"/>
      <c r="H75" s="161"/>
    </row>
    <row r="76" spans="2:10" x14ac:dyDescent="0.2">
      <c r="B76" s="174"/>
      <c r="C76" s="146" t="s">
        <v>205</v>
      </c>
      <c r="D76" s="146" t="s">
        <v>204</v>
      </c>
      <c r="E76" s="164">
        <f>'Data on volumes and tariffs'!L24</f>
        <v>0.26822619178414686</v>
      </c>
      <c r="F76" s="161"/>
      <c r="G76" s="175"/>
      <c r="H76" s="161"/>
    </row>
    <row r="77" spans="2:10" x14ac:dyDescent="0.2">
      <c r="B77" s="174"/>
      <c r="C77" s="146" t="s">
        <v>261</v>
      </c>
      <c r="D77" s="146" t="s">
        <v>15</v>
      </c>
      <c r="E77" s="188">
        <f>'Data on volumes and tariffs'!L26</f>
        <v>0.53380000000000005</v>
      </c>
      <c r="F77" s="161"/>
      <c r="G77" s="175"/>
      <c r="H77" s="161"/>
    </row>
    <row r="78" spans="2:10" s="184" customFormat="1" x14ac:dyDescent="0.2">
      <c r="B78" s="194"/>
      <c r="C78" s="154"/>
      <c r="D78" s="154"/>
      <c r="E78" s="189"/>
      <c r="F78" s="179"/>
      <c r="G78" s="192"/>
      <c r="H78" s="179"/>
    </row>
    <row r="79" spans="2:10" x14ac:dyDescent="0.2">
      <c r="B79" s="174"/>
      <c r="C79" s="146" t="s">
        <v>287</v>
      </c>
      <c r="D79" s="146" t="s">
        <v>8</v>
      </c>
      <c r="E79" s="161"/>
      <c r="F79" s="168">
        <f>'Tariffs electricity'!M43</f>
        <v>0.13154961612924801</v>
      </c>
      <c r="G79" s="175"/>
      <c r="H79" s="161"/>
    </row>
    <row r="80" spans="2:10" x14ac:dyDescent="0.2">
      <c r="B80" s="174"/>
      <c r="C80" s="154" t="s">
        <v>288</v>
      </c>
      <c r="D80" s="154" t="s">
        <v>17</v>
      </c>
      <c r="E80" s="161"/>
      <c r="F80" s="160">
        <f>'Tariffs electricity'!M85</f>
        <v>17450.078080666663</v>
      </c>
      <c r="G80" s="175"/>
      <c r="H80" s="161"/>
    </row>
    <row r="81" spans="2:10" x14ac:dyDescent="0.2">
      <c r="B81" s="174"/>
      <c r="C81" s="161"/>
      <c r="D81" s="161"/>
      <c r="E81" s="161"/>
      <c r="F81" s="161"/>
      <c r="G81" s="175"/>
      <c r="H81" s="161"/>
    </row>
    <row r="82" spans="2:10" x14ac:dyDescent="0.2">
      <c r="B82" s="174"/>
      <c r="C82" s="161"/>
      <c r="D82" s="161"/>
      <c r="E82" s="161"/>
      <c r="F82" s="161"/>
      <c r="G82" s="175"/>
      <c r="H82" s="161"/>
    </row>
    <row r="83" spans="2:10" x14ac:dyDescent="0.2">
      <c r="B83" s="174"/>
      <c r="C83" s="161" t="s">
        <v>203</v>
      </c>
      <c r="D83" s="161"/>
      <c r="E83" s="161"/>
      <c r="F83" s="161"/>
      <c r="G83" s="175"/>
      <c r="H83" s="161"/>
    </row>
    <row r="84" spans="2:10" x14ac:dyDescent="0.2">
      <c r="B84" s="194"/>
      <c r="C84" s="161"/>
      <c r="D84" s="161"/>
      <c r="E84" s="161"/>
      <c r="F84" s="161"/>
      <c r="G84" s="175"/>
      <c r="H84" s="161"/>
      <c r="I84" s="184"/>
    </row>
    <row r="85" spans="2:10" ht="13.5" thickBot="1" x14ac:dyDescent="0.25">
      <c r="B85" s="185"/>
      <c r="C85" s="195"/>
      <c r="D85" s="186"/>
      <c r="E85" s="186"/>
      <c r="F85" s="186"/>
      <c r="G85" s="187"/>
      <c r="H85" s="179"/>
      <c r="I85" s="184"/>
      <c r="J85" s="184"/>
    </row>
    <row r="86" spans="2:10" x14ac:dyDescent="0.2">
      <c r="B86" s="18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B79"/>
  <sheetViews>
    <sheetView showGridLines="0" zoomScale="85" zoomScaleNormal="85" workbookViewId="0"/>
  </sheetViews>
  <sheetFormatPr defaultRowHeight="12.75" x14ac:dyDescent="0.2"/>
  <cols>
    <col min="1" max="1" width="9.140625" style="169"/>
    <col min="2" max="2" width="4.85546875" style="169" customWidth="1"/>
    <col min="3" max="3" width="59.140625" style="169" customWidth="1"/>
    <col min="4" max="4" width="20.140625" style="169" customWidth="1"/>
    <col min="5" max="7" width="14.42578125" style="169" customWidth="1"/>
    <col min="8" max="8" width="5" style="169" customWidth="1"/>
    <col min="9" max="16384" width="9.140625" style="169"/>
  </cols>
  <sheetData>
    <row r="2" spans="2:8" s="144" customFormat="1" ht="18" x14ac:dyDescent="0.25">
      <c r="C2" s="144" t="s">
        <v>237</v>
      </c>
    </row>
    <row r="3" spans="2:8" x14ac:dyDescent="0.2">
      <c r="B3" s="27"/>
      <c r="C3" s="27"/>
      <c r="D3" s="27"/>
      <c r="E3" s="27"/>
      <c r="F3" s="27"/>
      <c r="G3" s="27"/>
    </row>
    <row r="4" spans="2:8" x14ac:dyDescent="0.2">
      <c r="C4" s="148" t="s">
        <v>4</v>
      </c>
      <c r="D4" s="27"/>
      <c r="E4" s="27"/>
      <c r="F4" s="27"/>
      <c r="G4" s="27"/>
      <c r="H4" s="27"/>
    </row>
    <row r="5" spans="2:8" x14ac:dyDescent="0.2">
      <c r="C5" s="27" t="s">
        <v>265</v>
      </c>
      <c r="D5" s="27"/>
      <c r="E5" s="68"/>
      <c r="F5" s="27"/>
      <c r="G5" s="27"/>
      <c r="H5" s="27"/>
    </row>
    <row r="6" spans="2:8" x14ac:dyDescent="0.2">
      <c r="B6" s="27"/>
      <c r="C6" s="27"/>
      <c r="D6" s="27"/>
      <c r="E6" s="27"/>
      <c r="F6" s="27"/>
      <c r="G6" s="27"/>
      <c r="H6" s="27"/>
    </row>
    <row r="7" spans="2:8" s="57" customFormat="1" x14ac:dyDescent="0.25">
      <c r="C7" s="57" t="s">
        <v>228</v>
      </c>
      <c r="D7" s="57" t="s">
        <v>38</v>
      </c>
    </row>
    <row r="9" spans="2:8" x14ac:dyDescent="0.2">
      <c r="C9" s="66" t="s">
        <v>236</v>
      </c>
      <c r="D9" s="161" t="s">
        <v>289</v>
      </c>
      <c r="E9" s="170">
        <f>'Tariffs drinking water'!N56</f>
        <v>4.7064727337677432</v>
      </c>
    </row>
    <row r="10" spans="2:8" ht="13.5" thickBot="1" x14ac:dyDescent="0.25">
      <c r="C10" s="66"/>
    </row>
    <row r="11" spans="2:8" x14ac:dyDescent="0.2">
      <c r="B11" s="171"/>
      <c r="C11" s="172"/>
      <c r="D11" s="172"/>
      <c r="E11" s="172"/>
      <c r="F11" s="173"/>
      <c r="G11" s="161"/>
      <c r="H11" s="161"/>
    </row>
    <row r="12" spans="2:8" s="57" customFormat="1" x14ac:dyDescent="0.25">
      <c r="B12" s="201"/>
      <c r="C12" s="57" t="s">
        <v>267</v>
      </c>
      <c r="D12" s="57" t="s">
        <v>38</v>
      </c>
      <c r="F12" s="202"/>
    </row>
    <row r="13" spans="2:8" x14ac:dyDescent="0.2">
      <c r="B13" s="174"/>
      <c r="C13" s="161"/>
      <c r="D13" s="161"/>
      <c r="E13" s="161"/>
      <c r="F13" s="175"/>
      <c r="G13" s="161"/>
      <c r="H13" s="161"/>
    </row>
    <row r="14" spans="2:8" x14ac:dyDescent="0.2">
      <c r="B14" s="174"/>
      <c r="C14" s="145" t="s">
        <v>235</v>
      </c>
      <c r="D14" s="161" t="s">
        <v>289</v>
      </c>
      <c r="E14" s="176">
        <f>'Tariffs drinking water'!O60</f>
        <v>6.7260828886478157</v>
      </c>
      <c r="F14" s="175"/>
      <c r="G14" s="161"/>
      <c r="H14" s="161"/>
    </row>
    <row r="15" spans="2:8" x14ac:dyDescent="0.2">
      <c r="B15" s="174"/>
      <c r="C15" s="161"/>
      <c r="D15" s="161"/>
      <c r="E15" s="161"/>
      <c r="F15" s="175"/>
      <c r="G15" s="161"/>
      <c r="H15" s="161"/>
    </row>
    <row r="16" spans="2:8" x14ac:dyDescent="0.2">
      <c r="B16" s="174"/>
      <c r="C16" s="145" t="s">
        <v>258</v>
      </c>
      <c r="D16" s="161" t="s">
        <v>290</v>
      </c>
      <c r="E16" s="177">
        <f>'Tariffs drinking water'!O63</f>
        <v>95.408211429755553</v>
      </c>
      <c r="F16" s="175"/>
      <c r="G16" s="161"/>
      <c r="H16" s="161"/>
    </row>
    <row r="17" spans="2:10" x14ac:dyDescent="0.2">
      <c r="B17" s="174"/>
      <c r="C17" s="146"/>
      <c r="D17" s="146"/>
      <c r="E17" s="146"/>
      <c r="F17" s="149"/>
      <c r="G17" s="146"/>
      <c r="H17" s="146"/>
      <c r="I17" s="27"/>
      <c r="J17" s="27"/>
    </row>
    <row r="18" spans="2:10" x14ac:dyDescent="0.2">
      <c r="B18" s="174"/>
      <c r="C18" s="145" t="s">
        <v>234</v>
      </c>
      <c r="D18" s="146"/>
      <c r="E18" s="146"/>
      <c r="F18" s="149"/>
      <c r="G18" s="146"/>
      <c r="H18" s="146"/>
      <c r="I18" s="27"/>
      <c r="J18" s="27"/>
    </row>
    <row r="19" spans="2:10" x14ac:dyDescent="0.2">
      <c r="B19" s="174"/>
      <c r="C19" s="146" t="s">
        <v>30</v>
      </c>
      <c r="D19" s="146" t="s">
        <v>269</v>
      </c>
      <c r="E19" s="150">
        <f>'Tariffs drinking water'!O66</f>
        <v>40</v>
      </c>
      <c r="F19" s="149"/>
      <c r="G19" s="146"/>
      <c r="H19" s="146"/>
      <c r="I19" s="27"/>
      <c r="J19" s="27"/>
    </row>
    <row r="20" spans="2:10" x14ac:dyDescent="0.2">
      <c r="B20" s="174"/>
      <c r="C20" s="146" t="s">
        <v>180</v>
      </c>
      <c r="D20" s="146" t="s">
        <v>269</v>
      </c>
      <c r="E20" s="150">
        <f>'Tariffs drinking water'!O69</f>
        <v>253.29679227999998</v>
      </c>
      <c r="F20" s="149"/>
      <c r="G20" s="146"/>
      <c r="H20" s="146"/>
      <c r="I20" s="27"/>
      <c r="J20" s="27"/>
    </row>
    <row r="21" spans="2:10" x14ac:dyDescent="0.2">
      <c r="B21" s="174"/>
      <c r="C21" s="146" t="s">
        <v>181</v>
      </c>
      <c r="D21" s="146" t="s">
        <v>269</v>
      </c>
      <c r="E21" s="150">
        <f>'Tariffs drinking water'!O70</f>
        <v>175.91136985</v>
      </c>
      <c r="F21" s="149"/>
      <c r="G21" s="146"/>
      <c r="H21" s="146"/>
      <c r="I21" s="27"/>
      <c r="J21" s="27"/>
    </row>
    <row r="22" spans="2:10" x14ac:dyDescent="0.2">
      <c r="B22" s="132"/>
      <c r="C22" s="146"/>
      <c r="D22" s="146"/>
      <c r="E22" s="146"/>
      <c r="F22" s="149"/>
      <c r="G22" s="146"/>
      <c r="H22" s="146"/>
      <c r="I22" s="27"/>
      <c r="J22" s="27"/>
    </row>
    <row r="23" spans="2:10" x14ac:dyDescent="0.2">
      <c r="B23" s="174"/>
      <c r="C23" s="145" t="s">
        <v>182</v>
      </c>
      <c r="D23" s="146"/>
      <c r="E23" s="146"/>
      <c r="F23" s="149"/>
      <c r="G23" s="146"/>
      <c r="H23" s="146"/>
      <c r="I23" s="27"/>
      <c r="J23" s="27"/>
    </row>
    <row r="24" spans="2:10" x14ac:dyDescent="0.2">
      <c r="B24" s="174"/>
      <c r="C24" s="146" t="s">
        <v>185</v>
      </c>
      <c r="D24" s="161" t="s">
        <v>289</v>
      </c>
      <c r="E24" s="151">
        <f>'Tariffs drinking water'!P75</f>
        <v>13.46885600510169</v>
      </c>
      <c r="F24" s="149"/>
      <c r="G24" s="146"/>
      <c r="H24" s="146"/>
      <c r="I24" s="27"/>
      <c r="J24" s="27"/>
    </row>
    <row r="25" spans="2:10" ht="13.5" thickBot="1" x14ac:dyDescent="0.25">
      <c r="B25" s="178"/>
      <c r="C25" s="152"/>
      <c r="D25" s="152"/>
      <c r="E25" s="152"/>
      <c r="F25" s="153"/>
      <c r="G25" s="146"/>
      <c r="H25" s="154"/>
      <c r="I25" s="155"/>
      <c r="J25" s="27"/>
    </row>
    <row r="26" spans="2:10" ht="13.5" thickBot="1" x14ac:dyDescent="0.25">
      <c r="B26" s="179"/>
      <c r="C26" s="146"/>
      <c r="D26" s="146"/>
      <c r="E26" s="146"/>
      <c r="F26" s="146"/>
      <c r="G26" s="146"/>
      <c r="H26" s="154"/>
      <c r="I26" s="155"/>
      <c r="J26" s="27"/>
    </row>
    <row r="27" spans="2:10" x14ac:dyDescent="0.2">
      <c r="B27" s="171"/>
      <c r="C27" s="156"/>
      <c r="D27" s="156"/>
      <c r="E27" s="156"/>
      <c r="F27" s="156"/>
      <c r="G27" s="156"/>
      <c r="H27" s="157"/>
      <c r="I27" s="155"/>
      <c r="J27" s="27"/>
    </row>
    <row r="28" spans="2:10" s="57" customFormat="1" x14ac:dyDescent="0.25">
      <c r="B28" s="201"/>
      <c r="C28" s="57" t="s">
        <v>291</v>
      </c>
      <c r="D28" s="57" t="s">
        <v>38</v>
      </c>
      <c r="H28" s="202"/>
    </row>
    <row r="29" spans="2:10" x14ac:dyDescent="0.2">
      <c r="B29" s="132"/>
      <c r="C29" s="146"/>
      <c r="D29" s="146"/>
      <c r="E29" s="146"/>
      <c r="F29" s="146"/>
      <c r="G29" s="146"/>
      <c r="H29" s="149"/>
      <c r="I29" s="27"/>
      <c r="J29" s="27"/>
    </row>
    <row r="30" spans="2:10" x14ac:dyDescent="0.2">
      <c r="B30" s="174"/>
      <c r="C30" s="145" t="s">
        <v>149</v>
      </c>
      <c r="D30" s="146"/>
      <c r="E30" s="146"/>
      <c r="F30" s="146"/>
      <c r="G30" s="146"/>
      <c r="H30" s="149"/>
      <c r="I30" s="27"/>
      <c r="J30" s="27"/>
    </row>
    <row r="31" spans="2:10" x14ac:dyDescent="0.2">
      <c r="B31" s="174"/>
      <c r="C31" s="146" t="s">
        <v>271</v>
      </c>
      <c r="D31" s="146" t="s">
        <v>8</v>
      </c>
      <c r="E31" s="158">
        <f>Parameters!H23</f>
        <v>6.0100000000000001E-2</v>
      </c>
      <c r="F31" s="146"/>
      <c r="G31" s="146"/>
      <c r="H31" s="149"/>
      <c r="I31" s="27"/>
      <c r="J31" s="27"/>
    </row>
    <row r="32" spans="2:10" x14ac:dyDescent="0.2">
      <c r="B32" s="174"/>
      <c r="C32" s="146" t="s">
        <v>97</v>
      </c>
      <c r="D32" s="146" t="s">
        <v>8</v>
      </c>
      <c r="E32" s="158">
        <f>Parameters!H18</f>
        <v>7.0000000000000001E-3</v>
      </c>
      <c r="F32" s="146"/>
      <c r="G32" s="146"/>
      <c r="H32" s="149"/>
      <c r="I32" s="27"/>
      <c r="J32" s="27"/>
    </row>
    <row r="33" spans="2:28" x14ac:dyDescent="0.2">
      <c r="B33" s="174"/>
      <c r="C33" s="146" t="s">
        <v>272</v>
      </c>
      <c r="D33" s="146" t="s">
        <v>8</v>
      </c>
      <c r="E33" s="158">
        <f>Parameters!H19</f>
        <v>-3.3000000000000002E-2</v>
      </c>
      <c r="F33" s="146"/>
      <c r="G33" s="146"/>
      <c r="H33" s="149"/>
      <c r="I33" s="27"/>
      <c r="J33" s="27"/>
    </row>
    <row r="34" spans="2:28" x14ac:dyDescent="0.2">
      <c r="B34" s="174"/>
      <c r="C34" s="146" t="s">
        <v>292</v>
      </c>
      <c r="D34" s="146" t="s">
        <v>8</v>
      </c>
      <c r="E34" s="158">
        <f>'Data on volumes and tariffs'!P55</f>
        <v>0.02</v>
      </c>
      <c r="F34" s="146"/>
      <c r="G34" s="146"/>
      <c r="H34" s="149"/>
      <c r="I34" s="27"/>
      <c r="J34" s="27"/>
    </row>
    <row r="35" spans="2:28" x14ac:dyDescent="0.2">
      <c r="B35" s="174"/>
      <c r="C35" s="154" t="s">
        <v>238</v>
      </c>
      <c r="D35" s="146" t="s">
        <v>8</v>
      </c>
      <c r="E35" s="158">
        <v>0.5</v>
      </c>
      <c r="F35" s="146"/>
      <c r="G35" s="161"/>
      <c r="H35" s="149"/>
      <c r="I35" s="27"/>
      <c r="J35" s="27"/>
      <c r="K35" s="27"/>
      <c r="L35" s="27"/>
      <c r="M35" s="27"/>
      <c r="N35" s="27"/>
      <c r="O35" s="27"/>
      <c r="P35" s="27"/>
      <c r="Q35" s="27"/>
      <c r="R35" s="27"/>
      <c r="S35" s="27"/>
      <c r="T35" s="27"/>
      <c r="U35" s="27"/>
      <c r="V35" s="27"/>
      <c r="W35" s="27"/>
      <c r="X35" s="27"/>
      <c r="Y35" s="27"/>
      <c r="Z35" s="27"/>
      <c r="AA35" s="27"/>
      <c r="AB35" s="27"/>
    </row>
    <row r="36" spans="2:28" x14ac:dyDescent="0.2">
      <c r="B36" s="174"/>
      <c r="C36" s="161"/>
      <c r="D36" s="146"/>
      <c r="E36" s="161"/>
      <c r="F36" s="161"/>
      <c r="G36" s="161"/>
      <c r="H36" s="149"/>
      <c r="I36" s="27"/>
      <c r="J36" s="27"/>
    </row>
    <row r="37" spans="2:28" ht="25.5" customHeight="1" x14ac:dyDescent="0.2">
      <c r="B37" s="174"/>
      <c r="C37" s="145" t="s">
        <v>273</v>
      </c>
      <c r="D37" s="159"/>
      <c r="E37" s="131" t="s">
        <v>156</v>
      </c>
      <c r="F37" s="131" t="s">
        <v>233</v>
      </c>
      <c r="G37" s="131" t="s">
        <v>157</v>
      </c>
      <c r="H37" s="149"/>
      <c r="I37" s="27"/>
      <c r="J37" s="27"/>
    </row>
    <row r="38" spans="2:28" x14ac:dyDescent="0.2">
      <c r="B38" s="174"/>
      <c r="C38" s="146" t="s">
        <v>274</v>
      </c>
      <c r="D38" s="146" t="s">
        <v>31</v>
      </c>
      <c r="E38" s="160">
        <f>'Fixed-variable costs'!N30</f>
        <v>492369.85370645265</v>
      </c>
      <c r="F38" s="160">
        <f>'Fixed-variable costs'!O30</f>
        <v>806255.17660498561</v>
      </c>
      <c r="G38" s="160">
        <f>'Fixed-variable costs'!P30</f>
        <v>16454.187277652767</v>
      </c>
      <c r="H38" s="149"/>
      <c r="I38" s="27"/>
      <c r="J38" s="27"/>
    </row>
    <row r="39" spans="2:28" x14ac:dyDescent="0.2">
      <c r="B39" s="174"/>
      <c r="C39" s="146" t="s">
        <v>275</v>
      </c>
      <c r="D39" s="146" t="s">
        <v>31</v>
      </c>
      <c r="E39" s="160">
        <f>'Fixed-variable costs'!N31</f>
        <v>104.75536367377158</v>
      </c>
      <c r="F39" s="160">
        <f>'Fixed-variable costs'!O31</f>
        <v>27885.009626074996</v>
      </c>
      <c r="G39" s="160">
        <f>'Fixed-variable costs'!P31</f>
        <v>569.08182910357141</v>
      </c>
      <c r="H39" s="149"/>
      <c r="I39" s="27"/>
      <c r="J39" s="27"/>
    </row>
    <row r="40" spans="2:28" x14ac:dyDescent="0.2">
      <c r="B40" s="174"/>
      <c r="C40" s="146" t="s">
        <v>276</v>
      </c>
      <c r="D40" s="146" t="s">
        <v>98</v>
      </c>
      <c r="E40" s="160">
        <f>'Fixed-variable costs'!N28</f>
        <v>390276.50393205974</v>
      </c>
      <c r="F40" s="160">
        <f>'Fixed-variable costs'!O28</f>
        <v>658669.69816466665</v>
      </c>
      <c r="G40" s="160">
        <f>'Fixed-variable costs'!P28</f>
        <v>13442.238738054422</v>
      </c>
      <c r="H40" s="149"/>
      <c r="I40" s="27"/>
      <c r="J40" s="27"/>
    </row>
    <row r="41" spans="2:28" x14ac:dyDescent="0.2">
      <c r="B41" s="174"/>
      <c r="C41" s="146" t="s">
        <v>277</v>
      </c>
      <c r="D41" s="146" t="s">
        <v>98</v>
      </c>
      <c r="E41" s="160">
        <f>'Fixed-variable costs'!N29</f>
        <v>44626.098002628001</v>
      </c>
      <c r="F41" s="160">
        <f>'Fixed-variable costs'!O29</f>
        <v>68626.725737340486</v>
      </c>
      <c r="G41" s="160">
        <f>'Fixed-variable costs'!P29</f>
        <v>1400.5454232110305</v>
      </c>
      <c r="H41" s="149"/>
      <c r="I41" s="27"/>
      <c r="J41" s="27"/>
    </row>
    <row r="42" spans="2:28" x14ac:dyDescent="0.2">
      <c r="B42" s="174"/>
      <c r="C42" s="146"/>
      <c r="D42" s="146"/>
      <c r="E42" s="146"/>
      <c r="F42" s="146"/>
      <c r="G42" s="146"/>
      <c r="H42" s="149"/>
      <c r="I42" s="27"/>
      <c r="J42" s="27"/>
    </row>
    <row r="43" spans="2:28" x14ac:dyDescent="0.2">
      <c r="B43" s="174"/>
      <c r="C43" s="145" t="s">
        <v>209</v>
      </c>
      <c r="D43" s="146"/>
      <c r="E43" s="146"/>
      <c r="F43" s="146"/>
      <c r="G43" s="161"/>
      <c r="H43" s="149"/>
      <c r="I43" s="27"/>
      <c r="J43" s="27"/>
    </row>
    <row r="44" spans="2:28" x14ac:dyDescent="0.2">
      <c r="B44" s="174"/>
      <c r="C44" s="161" t="s">
        <v>448</v>
      </c>
      <c r="D44" s="161" t="s">
        <v>269</v>
      </c>
      <c r="E44" s="160">
        <f>'Fixed-variable costs'!N40</f>
        <v>773634.2896174863</v>
      </c>
      <c r="F44" s="160">
        <f>'Fixed-variable costs'!O44</f>
        <v>1012365.4371584699</v>
      </c>
      <c r="G44" s="161"/>
      <c r="H44" s="149"/>
      <c r="I44" s="27"/>
      <c r="J44" s="27"/>
    </row>
    <row r="45" spans="2:28" x14ac:dyDescent="0.2">
      <c r="B45" s="174"/>
      <c r="C45" s="161" t="s">
        <v>449</v>
      </c>
      <c r="D45" s="161" t="s">
        <v>269</v>
      </c>
      <c r="E45" s="160">
        <f>'Fixed-variable costs'!N39</f>
        <v>31690</v>
      </c>
      <c r="F45" s="160">
        <f>'Fixed-variable costs'!O43</f>
        <v>52150</v>
      </c>
      <c r="G45" s="161"/>
      <c r="H45" s="149"/>
      <c r="I45" s="27"/>
      <c r="J45" s="27"/>
    </row>
    <row r="46" spans="2:28" x14ac:dyDescent="0.2">
      <c r="B46" s="174"/>
      <c r="C46" s="161" t="s">
        <v>293</v>
      </c>
      <c r="D46" s="161" t="s">
        <v>269</v>
      </c>
      <c r="E46" s="146"/>
      <c r="F46" s="160">
        <f>'Fixed-variable costs'!O47</f>
        <v>115595.5168130564</v>
      </c>
      <c r="G46" s="161"/>
      <c r="H46" s="149"/>
      <c r="I46" s="27"/>
      <c r="J46" s="27"/>
    </row>
    <row r="47" spans="2:28" x14ac:dyDescent="0.2">
      <c r="B47" s="174"/>
      <c r="C47" s="161" t="s">
        <v>294</v>
      </c>
      <c r="D47" s="161" t="s">
        <v>269</v>
      </c>
      <c r="E47" s="146"/>
      <c r="F47" s="160">
        <f>'Fixed-variable costs'!O48</f>
        <v>14471.615327308687</v>
      </c>
      <c r="G47" s="161"/>
      <c r="H47" s="149"/>
      <c r="I47" s="27"/>
      <c r="J47" s="27"/>
    </row>
    <row r="48" spans="2:28" x14ac:dyDescent="0.2">
      <c r="B48" s="174"/>
      <c r="C48" s="161"/>
      <c r="D48" s="161"/>
      <c r="E48" s="161"/>
      <c r="F48" s="161"/>
      <c r="G48" s="161"/>
      <c r="H48" s="149"/>
      <c r="I48" s="27"/>
      <c r="J48" s="27"/>
    </row>
    <row r="49" spans="2:10" x14ac:dyDescent="0.2">
      <c r="B49" s="174"/>
      <c r="C49" s="145" t="s">
        <v>34</v>
      </c>
      <c r="D49" s="146"/>
      <c r="E49" s="161"/>
      <c r="F49" s="161"/>
      <c r="G49" s="161"/>
      <c r="H49" s="175"/>
    </row>
    <row r="50" spans="2:10" x14ac:dyDescent="0.2">
      <c r="B50" s="174"/>
      <c r="C50" s="146" t="s">
        <v>278</v>
      </c>
      <c r="D50" s="161" t="s">
        <v>269</v>
      </c>
      <c r="E50" s="160">
        <f>'Tariffs drinking water'!N22</f>
        <v>-163227.91893727094</v>
      </c>
      <c r="F50" s="160">
        <f>'Tariffs drinking water'!O22</f>
        <v>-22383.265461799474</v>
      </c>
      <c r="G50" s="160">
        <f>'Tariffs drinking water'!P22</f>
        <v>-739.25851761059164</v>
      </c>
      <c r="H50" s="175"/>
    </row>
    <row r="51" spans="2:10" x14ac:dyDescent="0.2">
      <c r="B51" s="174"/>
      <c r="C51" s="146" t="s">
        <v>279</v>
      </c>
      <c r="D51" s="161" t="s">
        <v>269</v>
      </c>
      <c r="E51" s="160">
        <f>'Tariffs drinking water'!N23</f>
        <v>47023.44669212975</v>
      </c>
      <c r="F51" s="160">
        <f>'Tariffs drinking water'!O23</f>
        <v>111439.44029585256</v>
      </c>
      <c r="G51" s="160">
        <f>'Tariffs drinking water'!P23</f>
        <v>364.44595665022518</v>
      </c>
      <c r="H51" s="175"/>
    </row>
    <row r="52" spans="2:10" x14ac:dyDescent="0.2">
      <c r="B52" s="174"/>
      <c r="C52" s="146" t="s">
        <v>280</v>
      </c>
      <c r="D52" s="161" t="s">
        <v>269</v>
      </c>
      <c r="E52" s="161"/>
      <c r="F52" s="160">
        <f>'Tariffs drinking water'!O24</f>
        <v>45246.985064565975</v>
      </c>
      <c r="G52" s="161"/>
      <c r="H52" s="175"/>
    </row>
    <row r="53" spans="2:10" x14ac:dyDescent="0.2">
      <c r="B53" s="174"/>
      <c r="C53" s="146" t="s">
        <v>295</v>
      </c>
      <c r="D53" s="161" t="s">
        <v>269</v>
      </c>
      <c r="E53" s="160">
        <f>'Tariffs drinking water'!N25</f>
        <v>-11865.179070413549</v>
      </c>
      <c r="F53" s="161"/>
      <c r="G53" s="161"/>
      <c r="H53" s="175"/>
    </row>
    <row r="54" spans="2:10" x14ac:dyDescent="0.2">
      <c r="B54" s="174"/>
      <c r="C54" s="161"/>
      <c r="D54" s="161"/>
      <c r="E54" s="161"/>
      <c r="F54" s="161"/>
      <c r="G54" s="161"/>
      <c r="H54" s="175"/>
    </row>
    <row r="55" spans="2:10" x14ac:dyDescent="0.2">
      <c r="B55" s="174"/>
      <c r="C55" s="146" t="s">
        <v>259</v>
      </c>
      <c r="D55" s="161" t="s">
        <v>269</v>
      </c>
      <c r="E55" s="161"/>
      <c r="F55" s="160">
        <f>'Tariffs drinking water'!O28</f>
        <v>428.43160806282845</v>
      </c>
      <c r="G55" s="160">
        <f>'Tariffs drinking water'!P28</f>
        <v>8.7435022053638463</v>
      </c>
      <c r="H55" s="175"/>
    </row>
    <row r="56" spans="2:10" x14ac:dyDescent="0.2">
      <c r="B56" s="174"/>
      <c r="C56" s="145"/>
      <c r="D56" s="146"/>
      <c r="E56" s="146"/>
      <c r="F56" s="146"/>
      <c r="G56" s="146"/>
      <c r="H56" s="149"/>
    </row>
    <row r="57" spans="2:10" x14ac:dyDescent="0.2">
      <c r="B57" s="174"/>
      <c r="C57" s="145" t="s">
        <v>283</v>
      </c>
      <c r="D57" s="146"/>
      <c r="E57" s="146"/>
      <c r="F57" s="146"/>
      <c r="G57" s="161"/>
      <c r="H57" s="149"/>
      <c r="J57" s="27"/>
    </row>
    <row r="58" spans="2:10" x14ac:dyDescent="0.2">
      <c r="B58" s="174"/>
      <c r="C58" s="161" t="s">
        <v>473</v>
      </c>
      <c r="D58" s="146" t="s">
        <v>269</v>
      </c>
      <c r="E58" s="160">
        <f>'Tariffs drinking water'!N20</f>
        <v>629449.84617638704</v>
      </c>
      <c r="F58" s="160">
        <f>'Tariffs drinking water'!O20</f>
        <v>986661.86821529793</v>
      </c>
      <c r="G58" s="160">
        <f>'Tariffs drinking water'!P20</f>
        <v>17902.666174798171</v>
      </c>
      <c r="H58" s="175"/>
    </row>
    <row r="59" spans="2:10" x14ac:dyDescent="0.2">
      <c r="B59" s="174"/>
      <c r="C59" s="161" t="s">
        <v>244</v>
      </c>
      <c r="D59" s="146" t="s">
        <v>284</v>
      </c>
      <c r="E59" s="162">
        <f>'Calculation income level'!N18</f>
        <v>0.49231580119306145</v>
      </c>
      <c r="F59" s="162">
        <f>'Calculation income level'!O18</f>
        <v>0</v>
      </c>
      <c r="G59" s="162">
        <f>'Calculation income level'!P18</f>
        <v>3.0849518922465937</v>
      </c>
      <c r="H59" s="175"/>
      <c r="J59" s="27"/>
    </row>
    <row r="60" spans="2:10" x14ac:dyDescent="0.2">
      <c r="B60" s="174"/>
      <c r="C60" s="161" t="s">
        <v>260</v>
      </c>
      <c r="D60" s="146" t="s">
        <v>284</v>
      </c>
      <c r="E60" s="161"/>
      <c r="F60" s="162">
        <f>'Calculation income level'!O20</f>
        <v>211.73644505583658</v>
      </c>
      <c r="G60" s="161"/>
      <c r="H60" s="175"/>
    </row>
    <row r="61" spans="2:10" x14ac:dyDescent="0.2">
      <c r="B61" s="174"/>
      <c r="C61" s="161" t="s">
        <v>285</v>
      </c>
      <c r="D61" s="146" t="s">
        <v>269</v>
      </c>
      <c r="E61" s="160">
        <f>'Tariffs drinking water'!N30</f>
        <v>501380.1948608323</v>
      </c>
      <c r="F61" s="160">
        <f>'Tariffs drinking water'!O31</f>
        <v>1075718.0430493511</v>
      </c>
      <c r="G61" s="160">
        <f>'Tariffs drinking water'!P32</f>
        <v>17536.597116043169</v>
      </c>
      <c r="H61" s="175"/>
    </row>
    <row r="62" spans="2:10" x14ac:dyDescent="0.2">
      <c r="B62" s="174"/>
      <c r="C62" s="146" t="s">
        <v>243</v>
      </c>
      <c r="D62" s="146" t="s">
        <v>269</v>
      </c>
      <c r="E62" s="160">
        <f>'Tariffs drinking water'!N44</f>
        <v>126006.73996860909</v>
      </c>
      <c r="F62" s="146"/>
      <c r="G62" s="146"/>
      <c r="H62" s="149"/>
    </row>
    <row r="63" spans="2:10" x14ac:dyDescent="0.2">
      <c r="B63" s="174"/>
      <c r="C63" s="161"/>
      <c r="D63" s="161"/>
      <c r="E63" s="161"/>
      <c r="F63" s="161"/>
      <c r="G63" s="161"/>
      <c r="H63" s="175"/>
    </row>
    <row r="64" spans="2:10" x14ac:dyDescent="0.2">
      <c r="B64" s="174"/>
      <c r="C64" s="147" t="s">
        <v>296</v>
      </c>
      <c r="D64" s="161"/>
      <c r="E64" s="161"/>
      <c r="F64" s="161"/>
      <c r="G64" s="161"/>
      <c r="H64" s="175"/>
    </row>
    <row r="65" spans="2:9" x14ac:dyDescent="0.2">
      <c r="B65" s="174"/>
      <c r="C65" s="146" t="s">
        <v>208</v>
      </c>
      <c r="D65" s="146" t="s">
        <v>155</v>
      </c>
      <c r="E65" s="160">
        <f>'Tariffs drinking water'!N36</f>
        <v>133303</v>
      </c>
      <c r="F65" s="161"/>
      <c r="G65" s="161"/>
      <c r="H65" s="175"/>
    </row>
    <row r="66" spans="2:9" x14ac:dyDescent="0.2">
      <c r="B66" s="174"/>
      <c r="C66" s="146" t="s">
        <v>232</v>
      </c>
      <c r="D66" s="146" t="s">
        <v>155</v>
      </c>
      <c r="E66" s="163"/>
      <c r="F66" s="161"/>
      <c r="G66" s="160">
        <f>'Tariffs drinking water'!P36</f>
        <v>2001.3501547477363</v>
      </c>
      <c r="H66" s="175"/>
    </row>
    <row r="67" spans="2:9" x14ac:dyDescent="0.2">
      <c r="B67" s="174"/>
      <c r="C67" s="146" t="s">
        <v>231</v>
      </c>
      <c r="D67" s="146" t="s">
        <v>165</v>
      </c>
      <c r="E67" s="164">
        <f>'Tariffs drinking water'!N42</f>
        <v>3.4550162121682879</v>
      </c>
      <c r="F67" s="161"/>
      <c r="G67" s="163"/>
      <c r="H67" s="175"/>
    </row>
    <row r="68" spans="2:9" x14ac:dyDescent="0.2">
      <c r="B68" s="174"/>
      <c r="C68" s="146" t="s">
        <v>230</v>
      </c>
      <c r="D68" s="146" t="s">
        <v>17</v>
      </c>
      <c r="E68" s="165">
        <v>85.5</v>
      </c>
      <c r="F68" s="161"/>
      <c r="G68" s="163"/>
      <c r="H68" s="175"/>
    </row>
    <row r="69" spans="2:9" s="180" customFormat="1" x14ac:dyDescent="0.2">
      <c r="B69" s="181"/>
      <c r="C69" s="166"/>
      <c r="D69" s="166"/>
      <c r="E69" s="167"/>
      <c r="F69" s="182"/>
      <c r="G69" s="163"/>
      <c r="H69" s="183"/>
    </row>
    <row r="70" spans="2:9" x14ac:dyDescent="0.2">
      <c r="B70" s="174"/>
      <c r="C70" s="146" t="s">
        <v>297</v>
      </c>
      <c r="D70" s="146" t="s">
        <v>8</v>
      </c>
      <c r="E70" s="161"/>
      <c r="F70" s="168">
        <f>'Tariffs drinking water'!O38</f>
        <v>0.249322912932291</v>
      </c>
      <c r="G70" s="161"/>
      <c r="H70" s="175"/>
    </row>
    <row r="71" spans="2:9" x14ac:dyDescent="0.2">
      <c r="B71" s="174"/>
      <c r="C71" s="146" t="s">
        <v>298</v>
      </c>
      <c r="D71" s="146" t="s">
        <v>16</v>
      </c>
      <c r="E71" s="161"/>
      <c r="F71" s="160">
        <f>'Tariffs drinking water'!O36</f>
        <v>939.57500000000016</v>
      </c>
      <c r="G71" s="161"/>
      <c r="H71" s="175"/>
    </row>
    <row r="72" spans="2:9" x14ac:dyDescent="0.2">
      <c r="B72" s="174"/>
      <c r="C72" s="146"/>
      <c r="D72" s="146"/>
      <c r="E72" s="161"/>
      <c r="F72" s="161"/>
      <c r="G72" s="161"/>
      <c r="H72" s="175"/>
    </row>
    <row r="73" spans="2:9" x14ac:dyDescent="0.2">
      <c r="B73" s="174"/>
      <c r="C73" s="161"/>
      <c r="D73" s="161"/>
      <c r="E73" s="161"/>
      <c r="F73" s="161"/>
      <c r="G73" s="161"/>
      <c r="H73" s="175"/>
    </row>
    <row r="74" spans="2:9" x14ac:dyDescent="0.2">
      <c r="B74" s="174"/>
      <c r="C74" s="161" t="s">
        <v>203</v>
      </c>
      <c r="D74" s="161"/>
      <c r="E74" s="161"/>
      <c r="F74" s="161"/>
      <c r="G74" s="161"/>
      <c r="H74" s="175"/>
    </row>
    <row r="75" spans="2:9" x14ac:dyDescent="0.2">
      <c r="B75" s="174"/>
      <c r="C75" s="161"/>
      <c r="D75" s="161"/>
      <c r="E75" s="161"/>
      <c r="F75" s="161"/>
      <c r="G75" s="161"/>
      <c r="H75" s="175"/>
      <c r="I75" s="184"/>
    </row>
    <row r="76" spans="2:9" ht="13.5" thickBot="1" x14ac:dyDescent="0.25">
      <c r="B76" s="185"/>
      <c r="C76" s="186"/>
      <c r="D76" s="186"/>
      <c r="E76" s="186"/>
      <c r="F76" s="186"/>
      <c r="G76" s="186"/>
      <c r="H76" s="187"/>
      <c r="I76" s="184"/>
    </row>
    <row r="77" spans="2:9" x14ac:dyDescent="0.2">
      <c r="I77" s="184"/>
    </row>
    <row r="78" spans="2:9" x14ac:dyDescent="0.2">
      <c r="I78" s="184"/>
    </row>
    <row r="79" spans="2:9" x14ac:dyDescent="0.2">
      <c r="I79" s="18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F34"/>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70" customWidth="1"/>
    <col min="2" max="2" width="19.140625" style="70" customWidth="1"/>
    <col min="3" max="3" width="20.7109375" style="70" customWidth="1"/>
    <col min="4" max="4" width="56.85546875" style="70" customWidth="1"/>
    <col min="5" max="5" width="29.85546875" style="70" customWidth="1"/>
    <col min="6" max="6" width="24.7109375" style="70" customWidth="1"/>
    <col min="7" max="7" width="37.28515625" style="70" customWidth="1"/>
    <col min="8" max="16384" width="9.140625" style="70"/>
  </cols>
  <sheetData>
    <row r="2" spans="2:6" s="14" customFormat="1" ht="18" x14ac:dyDescent="0.25">
      <c r="B2" s="14" t="s">
        <v>66</v>
      </c>
    </row>
    <row r="4" spans="2:6" s="67" customFormat="1" x14ac:dyDescent="0.25">
      <c r="B4" s="67" t="s">
        <v>46</v>
      </c>
    </row>
    <row r="6" spans="2:6" x14ac:dyDescent="0.25">
      <c r="B6" s="27" t="s">
        <v>264</v>
      </c>
    </row>
    <row r="9" spans="2:6" s="67" customFormat="1" x14ac:dyDescent="0.25">
      <c r="B9" s="67" t="s">
        <v>67</v>
      </c>
    </row>
    <row r="10" spans="2:6" x14ac:dyDescent="0.25">
      <c r="C10" s="50"/>
    </row>
    <row r="11" spans="2:6" x14ac:dyDescent="0.25">
      <c r="B11" s="69" t="s">
        <v>68</v>
      </c>
      <c r="C11" s="50"/>
      <c r="D11" s="69" t="s">
        <v>37</v>
      </c>
      <c r="F11" s="20"/>
    </row>
    <row r="12" spans="2:6" x14ac:dyDescent="0.25">
      <c r="C12" s="50"/>
    </row>
    <row r="13" spans="2:6" x14ac:dyDescent="0.25">
      <c r="B13" s="32">
        <v>123</v>
      </c>
      <c r="C13" s="50"/>
      <c r="D13" s="27" t="s">
        <v>69</v>
      </c>
    </row>
    <row r="14" spans="2:6" x14ac:dyDescent="0.25">
      <c r="B14" s="36">
        <f>B13</f>
        <v>123</v>
      </c>
      <c r="C14" s="50"/>
      <c r="D14" s="70" t="s">
        <v>70</v>
      </c>
    </row>
    <row r="15" spans="2:6" x14ac:dyDescent="0.25">
      <c r="B15" s="65">
        <f>B14+B13</f>
        <v>246</v>
      </c>
      <c r="C15" s="50"/>
      <c r="D15" s="70" t="s">
        <v>71</v>
      </c>
    </row>
    <row r="16" spans="2:6" x14ac:dyDescent="0.25">
      <c r="B16" s="37">
        <f>B14+B15</f>
        <v>369</v>
      </c>
      <c r="C16" s="50"/>
      <c r="D16" s="27" t="s">
        <v>72</v>
      </c>
      <c r="E16" s="20"/>
      <c r="F16" s="12"/>
    </row>
    <row r="17" spans="2:5" x14ac:dyDescent="0.25">
      <c r="B17" s="21"/>
      <c r="C17" s="50"/>
      <c r="D17" s="27" t="s">
        <v>73</v>
      </c>
      <c r="E17" s="20"/>
    </row>
    <row r="18" spans="2:5" x14ac:dyDescent="0.25">
      <c r="B18" s="50"/>
      <c r="C18" s="50"/>
    </row>
    <row r="19" spans="2:5" x14ac:dyDescent="0.25">
      <c r="B19" s="60" t="s">
        <v>74</v>
      </c>
      <c r="C19" s="50"/>
    </row>
    <row r="20" spans="2:5" x14ac:dyDescent="0.25">
      <c r="B20" s="75">
        <f>B16+16</f>
        <v>385</v>
      </c>
      <c r="C20" s="50"/>
      <c r="D20" s="70" t="s">
        <v>75</v>
      </c>
    </row>
    <row r="21" spans="2:5" x14ac:dyDescent="0.25">
      <c r="B21" s="76">
        <f>B14*PI()</f>
        <v>386.41589639154455</v>
      </c>
      <c r="C21" s="23"/>
      <c r="D21" s="70" t="s">
        <v>76</v>
      </c>
    </row>
    <row r="22" spans="2:5" x14ac:dyDescent="0.25">
      <c r="B22" s="23"/>
      <c r="C22" s="23"/>
    </row>
    <row r="24" spans="2:5" x14ac:dyDescent="0.25">
      <c r="B24" s="69" t="s">
        <v>77</v>
      </c>
    </row>
    <row r="25" spans="2:5" x14ac:dyDescent="0.25">
      <c r="B25" s="66"/>
    </row>
    <row r="26" spans="2:5" x14ac:dyDescent="0.25">
      <c r="B26" s="60" t="s">
        <v>78</v>
      </c>
    </row>
    <row r="27" spans="2:5" x14ac:dyDescent="0.25">
      <c r="B27" s="77" t="s">
        <v>40</v>
      </c>
      <c r="C27" s="50"/>
      <c r="D27" s="27" t="s">
        <v>79</v>
      </c>
    </row>
    <row r="28" spans="2:5" x14ac:dyDescent="0.25">
      <c r="B28" s="78" t="s">
        <v>1</v>
      </c>
      <c r="C28" s="50"/>
      <c r="D28" s="27" t="s">
        <v>80</v>
      </c>
    </row>
    <row r="29" spans="2:5" x14ac:dyDescent="0.25">
      <c r="B29" s="79" t="s">
        <v>81</v>
      </c>
      <c r="C29" s="50"/>
      <c r="D29" s="27" t="s">
        <v>82</v>
      </c>
    </row>
    <row r="30" spans="2:5" x14ac:dyDescent="0.25">
      <c r="B30" s="22" t="s">
        <v>81</v>
      </c>
      <c r="C30" s="50"/>
      <c r="D30" s="27" t="s">
        <v>83</v>
      </c>
    </row>
    <row r="31" spans="2:5" x14ac:dyDescent="0.25">
      <c r="C31" s="50"/>
      <c r="D31" s="27"/>
    </row>
    <row r="32" spans="2:5" x14ac:dyDescent="0.25">
      <c r="B32" s="60" t="s">
        <v>84</v>
      </c>
      <c r="C32" s="50"/>
      <c r="D32" s="27"/>
    </row>
    <row r="33" spans="2:4" x14ac:dyDescent="0.25">
      <c r="B33" s="26" t="s">
        <v>2</v>
      </c>
      <c r="C33" s="50"/>
      <c r="D33" s="27" t="s">
        <v>85</v>
      </c>
    </row>
    <row r="34" spans="2:4" x14ac:dyDescent="0.25">
      <c r="B34" s="80" t="s">
        <v>86</v>
      </c>
      <c r="D34" s="27" t="s">
        <v>87</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1:J43"/>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1" width="2.85546875" style="9" customWidth="1"/>
    <col min="2" max="2" width="7.5703125" style="9" customWidth="1"/>
    <col min="3" max="3" width="48.7109375" style="9" customWidth="1"/>
    <col min="4" max="4" width="95.42578125" style="91" customWidth="1"/>
    <col min="5" max="5" width="118.28515625" style="9" customWidth="1"/>
    <col min="6" max="6" width="4.5703125" style="9" customWidth="1"/>
    <col min="7" max="7" width="43.42578125" style="9" customWidth="1"/>
    <col min="8" max="8" width="28.7109375" style="9" customWidth="1"/>
    <col min="9" max="9" width="26.85546875" style="9" customWidth="1"/>
    <col min="10" max="10" width="58.42578125" style="9" customWidth="1"/>
    <col min="11" max="11" width="22" style="9" customWidth="1"/>
    <col min="12" max="16384" width="9.140625" style="9"/>
  </cols>
  <sheetData>
    <row r="1" spans="2:10" ht="12" customHeight="1" x14ac:dyDescent="0.25"/>
    <row r="2" spans="2:10" s="14" customFormat="1" ht="18" x14ac:dyDescent="0.25">
      <c r="B2" s="14" t="s">
        <v>55</v>
      </c>
      <c r="D2" s="92"/>
    </row>
    <row r="4" spans="2:10" s="57" customFormat="1" x14ac:dyDescent="0.25">
      <c r="B4" s="57" t="s">
        <v>56</v>
      </c>
      <c r="D4" s="93"/>
    </row>
    <row r="6" spans="2:10" s="70" customFormat="1" x14ac:dyDescent="0.25">
      <c r="B6" s="11" t="s">
        <v>57</v>
      </c>
      <c r="D6" s="91"/>
    </row>
    <row r="7" spans="2:10" s="70" customFormat="1" x14ac:dyDescent="0.25">
      <c r="B7" s="11" t="s">
        <v>58</v>
      </c>
      <c r="D7" s="91"/>
    </row>
    <row r="8" spans="2:10" x14ac:dyDescent="0.25">
      <c r="G8" s="70"/>
      <c r="H8" s="70"/>
      <c r="I8" s="70"/>
      <c r="J8" s="70"/>
    </row>
    <row r="9" spans="2:10" x14ac:dyDescent="0.25">
      <c r="B9" s="74" t="s">
        <v>59</v>
      </c>
      <c r="C9" s="74" t="s">
        <v>60</v>
      </c>
      <c r="D9" s="94" t="s">
        <v>61</v>
      </c>
      <c r="E9" s="74" t="s">
        <v>64</v>
      </c>
      <c r="G9" s="70"/>
      <c r="H9" s="70"/>
      <c r="I9" s="70"/>
      <c r="J9" s="70"/>
    </row>
    <row r="10" spans="2:10" x14ac:dyDescent="0.25">
      <c r="B10" s="28"/>
      <c r="C10" s="28" t="s">
        <v>62</v>
      </c>
      <c r="D10" s="95" t="s">
        <v>63</v>
      </c>
      <c r="E10" s="28" t="s">
        <v>65</v>
      </c>
      <c r="G10" s="70"/>
      <c r="H10" s="70"/>
      <c r="I10" s="70"/>
      <c r="J10" s="70"/>
    </row>
    <row r="11" spans="2:10" ht="12.75" customHeight="1" x14ac:dyDescent="0.25">
      <c r="B11" s="29">
        <v>1</v>
      </c>
      <c r="C11" s="13" t="s">
        <v>115</v>
      </c>
      <c r="D11" s="62"/>
      <c r="E11" s="1" t="s">
        <v>397</v>
      </c>
      <c r="G11" s="70"/>
      <c r="H11" s="70"/>
      <c r="I11" s="70"/>
      <c r="J11" s="70"/>
    </row>
    <row r="12" spans="2:10" ht="12.75" customHeight="1" x14ac:dyDescent="0.25">
      <c r="B12" s="13">
        <v>2</v>
      </c>
      <c r="C12" s="13" t="s">
        <v>104</v>
      </c>
      <c r="D12" s="62"/>
      <c r="E12" s="1" t="s">
        <v>398</v>
      </c>
      <c r="G12" s="70"/>
      <c r="H12" s="70"/>
      <c r="I12" s="70"/>
      <c r="J12" s="70"/>
    </row>
    <row r="13" spans="2:10" ht="12.75" customHeight="1" x14ac:dyDescent="0.25">
      <c r="B13" s="29">
        <v>3</v>
      </c>
      <c r="C13" s="13" t="s">
        <v>145</v>
      </c>
      <c r="D13" s="17" t="s">
        <v>481</v>
      </c>
      <c r="E13" s="29"/>
      <c r="G13" s="70"/>
      <c r="H13" s="70"/>
      <c r="I13" s="70"/>
      <c r="J13" s="70"/>
    </row>
    <row r="14" spans="2:10" ht="12.75" customHeight="1" x14ac:dyDescent="0.25">
      <c r="B14" s="13">
        <v>4</v>
      </c>
      <c r="C14" s="13" t="s">
        <v>146</v>
      </c>
      <c r="D14" s="62" t="s">
        <v>480</v>
      </c>
      <c r="E14" s="29"/>
      <c r="G14" s="70"/>
      <c r="H14" s="70"/>
      <c r="I14" s="70"/>
      <c r="J14" s="70"/>
    </row>
    <row r="15" spans="2:10" ht="12.75" customHeight="1" x14ac:dyDescent="0.25">
      <c r="B15" s="29">
        <v>5</v>
      </c>
      <c r="C15" s="62" t="s">
        <v>403</v>
      </c>
      <c r="D15" s="62"/>
      <c r="E15" s="29" t="s">
        <v>484</v>
      </c>
      <c r="G15" s="70"/>
      <c r="H15" s="70"/>
      <c r="I15" s="70"/>
      <c r="J15" s="70"/>
    </row>
    <row r="16" spans="2:10" ht="12.75" customHeight="1" x14ac:dyDescent="0.25">
      <c r="B16" s="13">
        <v>6</v>
      </c>
      <c r="C16" s="62" t="s">
        <v>404</v>
      </c>
      <c r="D16" s="62"/>
      <c r="E16" s="29" t="s">
        <v>484</v>
      </c>
      <c r="G16" s="70"/>
      <c r="H16" s="70"/>
      <c r="I16" s="70"/>
      <c r="J16" s="70"/>
    </row>
    <row r="17" spans="2:10" ht="12.75" customHeight="1" x14ac:dyDescent="0.25">
      <c r="B17" s="29">
        <v>7</v>
      </c>
      <c r="C17" s="62" t="s">
        <v>405</v>
      </c>
      <c r="D17" s="62"/>
      <c r="E17" s="29" t="s">
        <v>484</v>
      </c>
      <c r="G17" s="70"/>
      <c r="H17" s="70"/>
      <c r="I17" s="70"/>
      <c r="J17" s="70"/>
    </row>
    <row r="18" spans="2:10" ht="12.75" customHeight="1" x14ac:dyDescent="0.25">
      <c r="B18" s="13">
        <v>8</v>
      </c>
      <c r="C18" s="62" t="s">
        <v>406</v>
      </c>
      <c r="D18" s="62"/>
      <c r="E18" s="29" t="s">
        <v>484</v>
      </c>
      <c r="G18" s="70"/>
      <c r="H18" s="70"/>
      <c r="I18" s="70"/>
      <c r="J18" s="70"/>
    </row>
    <row r="19" spans="2:10" ht="12.75" customHeight="1" x14ac:dyDescent="0.25">
      <c r="B19" s="29">
        <v>9</v>
      </c>
      <c r="C19" s="62" t="s">
        <v>407</v>
      </c>
      <c r="D19" s="62"/>
      <c r="E19" s="29" t="s">
        <v>484</v>
      </c>
      <c r="G19" s="70"/>
      <c r="H19" s="70"/>
      <c r="I19" s="70"/>
      <c r="J19" s="70"/>
    </row>
    <row r="20" spans="2:10" s="51" customFormat="1" ht="12.75" customHeight="1" x14ac:dyDescent="0.25">
      <c r="B20" s="13">
        <v>10</v>
      </c>
      <c r="C20" s="62" t="s">
        <v>350</v>
      </c>
      <c r="D20" s="62"/>
      <c r="E20" s="29" t="s">
        <v>484</v>
      </c>
      <c r="G20" s="70"/>
      <c r="H20" s="70"/>
      <c r="I20" s="70"/>
      <c r="J20" s="70"/>
    </row>
    <row r="21" spans="2:10" s="51" customFormat="1" ht="12.75" customHeight="1" x14ac:dyDescent="0.25">
      <c r="B21" s="29">
        <v>11</v>
      </c>
      <c r="C21" s="62" t="s">
        <v>147</v>
      </c>
      <c r="D21" s="17" t="s">
        <v>482</v>
      </c>
      <c r="E21" s="29"/>
      <c r="G21" s="63"/>
      <c r="H21" s="63"/>
      <c r="I21" s="63"/>
      <c r="J21" s="63"/>
    </row>
    <row r="22" spans="2:10" s="51" customFormat="1" ht="12.75" customHeight="1" x14ac:dyDescent="0.25">
      <c r="B22" s="13">
        <v>12</v>
      </c>
      <c r="C22" s="62" t="s">
        <v>352</v>
      </c>
      <c r="D22" s="62"/>
      <c r="E22" s="29" t="s">
        <v>484</v>
      </c>
      <c r="G22" s="63"/>
      <c r="H22" s="63"/>
      <c r="I22" s="63"/>
      <c r="J22" s="63"/>
    </row>
    <row r="23" spans="2:10" s="51" customFormat="1" ht="12.75" customHeight="1" x14ac:dyDescent="0.25">
      <c r="B23" s="29">
        <v>13</v>
      </c>
      <c r="C23" s="13" t="s">
        <v>353</v>
      </c>
      <c r="D23" s="62"/>
      <c r="E23" s="29" t="s">
        <v>484</v>
      </c>
      <c r="G23" s="63"/>
      <c r="H23" s="63"/>
      <c r="I23" s="63"/>
      <c r="J23" s="63"/>
    </row>
    <row r="24" spans="2:10" s="51" customFormat="1" ht="12.75" customHeight="1" x14ac:dyDescent="0.25">
      <c r="B24" s="13">
        <v>14</v>
      </c>
      <c r="C24" s="13" t="s">
        <v>410</v>
      </c>
      <c r="D24" s="62"/>
      <c r="E24" s="29" t="s">
        <v>484</v>
      </c>
      <c r="G24" s="63"/>
      <c r="H24" s="63"/>
      <c r="I24" s="63"/>
      <c r="J24" s="63"/>
    </row>
    <row r="25" spans="2:10" s="51" customFormat="1" ht="12.75" customHeight="1" x14ac:dyDescent="0.25">
      <c r="B25" s="29">
        <v>15</v>
      </c>
      <c r="C25" s="62" t="s">
        <v>411</v>
      </c>
      <c r="D25" s="62"/>
      <c r="E25" s="29" t="s">
        <v>484</v>
      </c>
      <c r="G25" s="63"/>
      <c r="H25" s="63"/>
      <c r="I25" s="63"/>
      <c r="J25" s="63"/>
    </row>
    <row r="26" spans="2:10" s="51" customFormat="1" ht="12.75" customHeight="1" x14ac:dyDescent="0.25">
      <c r="B26" s="13">
        <v>16</v>
      </c>
      <c r="C26" s="62" t="s">
        <v>359</v>
      </c>
      <c r="D26" s="62" t="s">
        <v>359</v>
      </c>
      <c r="E26" s="1" t="s">
        <v>429</v>
      </c>
      <c r="G26" s="63"/>
      <c r="H26" s="63"/>
      <c r="I26" s="63"/>
      <c r="J26" s="63"/>
    </row>
    <row r="27" spans="2:10" s="51" customFormat="1" ht="12.75" customHeight="1" x14ac:dyDescent="0.25">
      <c r="B27" s="29">
        <v>17</v>
      </c>
      <c r="C27" s="62" t="s">
        <v>360</v>
      </c>
      <c r="D27" s="62"/>
      <c r="E27" s="29" t="s">
        <v>484</v>
      </c>
      <c r="G27" s="63"/>
      <c r="H27" s="63"/>
      <c r="I27" s="63"/>
      <c r="J27" s="63"/>
    </row>
    <row r="28" spans="2:10" s="51" customFormat="1" ht="12.75" customHeight="1" x14ac:dyDescent="0.25">
      <c r="B28" s="13">
        <v>18</v>
      </c>
      <c r="C28" s="62" t="s">
        <v>152</v>
      </c>
      <c r="D28" s="62" t="s">
        <v>152</v>
      </c>
      <c r="E28" s="1" t="s">
        <v>428</v>
      </c>
      <c r="G28" s="63"/>
      <c r="H28" s="63"/>
      <c r="I28" s="63"/>
      <c r="J28" s="63"/>
    </row>
    <row r="29" spans="2:10" s="51" customFormat="1" ht="12.75" customHeight="1" x14ac:dyDescent="0.25">
      <c r="B29" s="29">
        <v>19</v>
      </c>
      <c r="C29" s="13" t="s">
        <v>363</v>
      </c>
      <c r="D29" s="62"/>
      <c r="E29" s="29" t="s">
        <v>484</v>
      </c>
      <c r="G29" s="63"/>
      <c r="H29" s="63"/>
      <c r="I29" s="63"/>
      <c r="J29" s="63"/>
    </row>
    <row r="30" spans="2:10" s="138" customFormat="1" ht="12.75" customHeight="1" x14ac:dyDescent="0.25">
      <c r="B30" s="13">
        <v>20</v>
      </c>
      <c r="C30" s="64" t="s">
        <v>365</v>
      </c>
      <c r="D30" s="62"/>
      <c r="E30" s="29" t="s">
        <v>485</v>
      </c>
      <c r="G30" s="73"/>
      <c r="H30" s="73"/>
      <c r="I30" s="73"/>
      <c r="J30" s="73"/>
    </row>
    <row r="31" spans="2:10" s="138" customFormat="1" ht="12.75" customHeight="1" x14ac:dyDescent="0.25">
      <c r="B31" s="29">
        <v>21</v>
      </c>
      <c r="C31" s="13" t="s">
        <v>426</v>
      </c>
      <c r="D31" s="17" t="s">
        <v>483</v>
      </c>
      <c r="E31" s="29"/>
      <c r="G31" s="73"/>
      <c r="H31" s="73"/>
      <c r="I31" s="73"/>
      <c r="J31" s="73"/>
    </row>
    <row r="32" spans="2:10" s="138" customFormat="1" ht="12.75" customHeight="1" x14ac:dyDescent="0.25">
      <c r="B32" s="29">
        <v>22</v>
      </c>
      <c r="C32" s="13" t="s">
        <v>427</v>
      </c>
      <c r="D32" s="62"/>
      <c r="E32" s="29" t="s">
        <v>485</v>
      </c>
      <c r="G32" s="73"/>
      <c r="H32" s="73"/>
      <c r="I32" s="73"/>
      <c r="J32" s="73"/>
    </row>
    <row r="33" spans="2:10" s="138" customFormat="1" ht="12.75" customHeight="1" x14ac:dyDescent="0.25">
      <c r="B33" s="29">
        <v>23</v>
      </c>
      <c r="C33" s="13" t="s">
        <v>431</v>
      </c>
      <c r="D33" s="62"/>
      <c r="E33" s="29" t="s">
        <v>484</v>
      </c>
      <c r="G33" s="73"/>
      <c r="H33" s="73"/>
      <c r="I33" s="73"/>
      <c r="J33" s="73"/>
    </row>
    <row r="34" spans="2:10" s="138" customFormat="1" ht="12.75" customHeight="1" x14ac:dyDescent="0.25">
      <c r="B34" s="29">
        <v>24</v>
      </c>
      <c r="C34" s="13" t="s">
        <v>430</v>
      </c>
      <c r="D34" s="62"/>
      <c r="E34" s="29" t="s">
        <v>484</v>
      </c>
      <c r="G34" s="73"/>
      <c r="H34" s="73"/>
      <c r="I34" s="73"/>
      <c r="J34" s="73"/>
    </row>
    <row r="35" spans="2:10" s="138" customFormat="1" ht="12.75" customHeight="1" x14ac:dyDescent="0.25">
      <c r="B35" s="29">
        <v>25</v>
      </c>
      <c r="C35" s="13" t="s">
        <v>447</v>
      </c>
      <c r="D35" s="62"/>
      <c r="E35" s="29" t="s">
        <v>484</v>
      </c>
      <c r="G35" s="73"/>
      <c r="H35" s="73"/>
      <c r="I35" s="73"/>
      <c r="J35" s="73"/>
    </row>
    <row r="36" spans="2:10" s="138" customFormat="1" ht="12.75" customHeight="1" x14ac:dyDescent="0.25">
      <c r="B36" s="73"/>
      <c r="C36" s="197"/>
      <c r="D36" s="197"/>
      <c r="E36" s="146"/>
      <c r="G36" s="73"/>
      <c r="H36" s="73"/>
      <c r="I36" s="73"/>
      <c r="J36" s="73"/>
    </row>
    <row r="37" spans="2:10" s="70" customFormat="1" ht="12.75" customHeight="1" x14ac:dyDescent="0.25">
      <c r="D37" s="91"/>
    </row>
    <row r="38" spans="2:10" s="70" customFormat="1" ht="12.75" customHeight="1" x14ac:dyDescent="0.25">
      <c r="D38" s="91"/>
    </row>
    <row r="39" spans="2:10" s="70" customFormat="1" ht="12.75" customHeight="1" x14ac:dyDescent="0.25">
      <c r="D39" s="91"/>
    </row>
    <row r="40" spans="2:10" s="70" customFormat="1" ht="12.75" customHeight="1" x14ac:dyDescent="0.25">
      <c r="D40" s="91"/>
    </row>
    <row r="41" spans="2:10" x14ac:dyDescent="0.25">
      <c r="C41" s="73"/>
      <c r="D41" s="96"/>
      <c r="E41" s="73"/>
    </row>
    <row r="42" spans="2:10" x14ac:dyDescent="0.25">
      <c r="C42" s="73"/>
      <c r="D42" s="96"/>
      <c r="E42" s="73"/>
    </row>
    <row r="43" spans="2:10" x14ac:dyDescent="0.25">
      <c r="C43" s="73"/>
      <c r="D43" s="96"/>
      <c r="E43" s="73"/>
    </row>
  </sheetData>
  <hyperlinks>
    <hyperlink ref="E11" r:id="rId1" location="/CBS/nl/dataset/84046NED/table?ts=1600788763622 "/>
    <hyperlink ref="E12" r:id="rId2"/>
    <hyperlink ref="E28" r:id="rId3"/>
    <hyperlink ref="E26" r:id="rId4"/>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113"/>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x14ac:dyDescent="0.25"/>
  <cols>
    <col min="1" max="1" width="4" style="9" customWidth="1"/>
    <col min="2" max="2" width="41.42578125" style="9" customWidth="1"/>
    <col min="3" max="5" width="4.5703125" style="9" customWidth="1"/>
    <col min="6" max="6" width="21" style="9" customWidth="1"/>
    <col min="7" max="7" width="2.7109375" style="9" customWidth="1"/>
    <col min="8" max="8" width="13.7109375" style="9" customWidth="1"/>
    <col min="9" max="10" width="2.7109375" style="70" customWidth="1"/>
    <col min="11" max="11" width="2.7109375" style="9" customWidth="1"/>
    <col min="12" max="13" width="21.7109375" style="9" customWidth="1"/>
    <col min="14" max="14" width="2.7109375" style="9" customWidth="1"/>
    <col min="15" max="15" width="8" style="9" bestFit="1" customWidth="1"/>
    <col min="16" max="29" width="13.7109375" style="9" customWidth="1"/>
    <col min="30" max="16384" width="9.140625" style="9"/>
  </cols>
  <sheetData>
    <row r="1" spans="1:15" x14ac:dyDescent="0.25">
      <c r="A1" s="51"/>
    </row>
    <row r="2" spans="1:15" s="24" customFormat="1" ht="18" x14ac:dyDescent="0.25">
      <c r="B2" s="24" t="s">
        <v>299</v>
      </c>
    </row>
    <row r="3" spans="1:15" x14ac:dyDescent="0.25">
      <c r="A3" s="70"/>
    </row>
    <row r="4" spans="1:15" x14ac:dyDescent="0.25">
      <c r="A4" s="70"/>
      <c r="B4" s="8" t="s">
        <v>44</v>
      </c>
      <c r="C4" s="8"/>
      <c r="D4" s="8"/>
      <c r="H4" s="68"/>
    </row>
    <row r="5" spans="1:15" x14ac:dyDescent="0.25">
      <c r="A5" s="70"/>
      <c r="B5" s="27" t="s">
        <v>103</v>
      </c>
      <c r="C5" s="10"/>
      <c r="D5" s="10"/>
      <c r="H5" s="25"/>
      <c r="I5" s="68"/>
      <c r="J5" s="68"/>
    </row>
    <row r="6" spans="1:15" s="70" customFormat="1" x14ac:dyDescent="0.25">
      <c r="B6" s="27"/>
      <c r="C6" s="10"/>
      <c r="D6" s="10"/>
      <c r="H6" s="68"/>
      <c r="I6" s="68"/>
      <c r="J6" s="68"/>
    </row>
    <row r="7" spans="1:15" s="70" customFormat="1" x14ac:dyDescent="0.25">
      <c r="B7" s="60" t="s">
        <v>46</v>
      </c>
      <c r="C7" s="10"/>
      <c r="D7" s="10"/>
      <c r="H7" s="68"/>
      <c r="I7" s="68"/>
      <c r="J7" s="68"/>
    </row>
    <row r="8" spans="1:15" s="70" customFormat="1" x14ac:dyDescent="0.25">
      <c r="B8" s="60" t="s">
        <v>140</v>
      </c>
      <c r="C8" s="10"/>
      <c r="D8" s="10"/>
      <c r="H8" s="68"/>
      <c r="I8" s="68"/>
      <c r="J8" s="68"/>
    </row>
    <row r="9" spans="1:15" x14ac:dyDescent="0.25">
      <c r="A9" s="70"/>
    </row>
    <row r="10" spans="1:15" s="15" customFormat="1" x14ac:dyDescent="0.25">
      <c r="A10" s="67"/>
      <c r="B10" s="15" t="s">
        <v>4</v>
      </c>
      <c r="F10" s="15" t="s">
        <v>5</v>
      </c>
      <c r="H10" s="15" t="s">
        <v>9</v>
      </c>
      <c r="I10" s="67"/>
      <c r="J10" s="67"/>
      <c r="L10" s="15" t="s">
        <v>42</v>
      </c>
      <c r="M10" s="15" t="s">
        <v>43</v>
      </c>
      <c r="O10" s="15" t="s">
        <v>39</v>
      </c>
    </row>
    <row r="11" spans="1:15" x14ac:dyDescent="0.25">
      <c r="A11" s="70"/>
    </row>
    <row r="12" spans="1:15" s="15" customFormat="1" ht="12.75" customHeight="1" x14ac:dyDescent="0.25">
      <c r="A12" s="67"/>
      <c r="B12" s="56" t="s">
        <v>22</v>
      </c>
      <c r="I12" s="67"/>
      <c r="J12" s="67"/>
    </row>
    <row r="13" spans="1:15" ht="12.75" customHeight="1" x14ac:dyDescent="0.25">
      <c r="A13" s="70"/>
    </row>
    <row r="14" spans="1:15" ht="12.75" customHeight="1" x14ac:dyDescent="0.25">
      <c r="A14" s="70"/>
      <c r="B14" s="30" t="s">
        <v>149</v>
      </c>
    </row>
    <row r="15" spans="1:15" s="138" customFormat="1" ht="12.75" customHeight="1" x14ac:dyDescent="0.25">
      <c r="B15" s="138" t="s">
        <v>97</v>
      </c>
      <c r="F15" s="138" t="s">
        <v>8</v>
      </c>
      <c r="H15" s="83">
        <f>Parameters!H18</f>
        <v>7.0000000000000001E-3</v>
      </c>
    </row>
    <row r="16" spans="1:15" ht="12.75" customHeight="1" x14ac:dyDescent="0.25">
      <c r="A16" s="70"/>
      <c r="B16" s="9" t="s">
        <v>272</v>
      </c>
      <c r="F16" s="9" t="s">
        <v>8</v>
      </c>
      <c r="H16" s="83">
        <f>Parameters!H19</f>
        <v>-3.3000000000000002E-2</v>
      </c>
    </row>
    <row r="17" spans="1:15" ht="12.75" customHeight="1" x14ac:dyDescent="0.25">
      <c r="A17" s="70"/>
    </row>
    <row r="18" spans="1:15" ht="12.75" customHeight="1" x14ac:dyDescent="0.25">
      <c r="A18" s="70"/>
      <c r="B18" s="8" t="s">
        <v>300</v>
      </c>
    </row>
    <row r="19" spans="1:15" ht="12.75" customHeight="1" x14ac:dyDescent="0.25">
      <c r="A19" s="70"/>
      <c r="B19" s="9" t="s">
        <v>138</v>
      </c>
      <c r="F19" s="9" t="s">
        <v>269</v>
      </c>
      <c r="L19" s="39">
        <f>'Calculation income level'!L41</f>
        <v>2387664.4616589271</v>
      </c>
      <c r="M19" s="39">
        <f>'Calculation income level'!M41</f>
        <v>774643.42597921833</v>
      </c>
    </row>
    <row r="20" spans="1:15" s="70" customFormat="1" ht="12.75" customHeight="1" x14ac:dyDescent="0.25"/>
    <row r="21" spans="1:15" s="70" customFormat="1" ht="12.75" customHeight="1" x14ac:dyDescent="0.25">
      <c r="B21" s="70" t="s">
        <v>278</v>
      </c>
      <c r="F21" s="138" t="s">
        <v>269</v>
      </c>
      <c r="L21" s="39">
        <f>'Calculation income level'!L43</f>
        <v>-109497.34571975251</v>
      </c>
      <c r="M21" s="39">
        <f>'Calculation income level'!M43</f>
        <v>-38566.78738899032</v>
      </c>
      <c r="O21" s="70" t="s">
        <v>303</v>
      </c>
    </row>
    <row r="22" spans="1:15" s="70" customFormat="1" ht="12.75" customHeight="1" x14ac:dyDescent="0.25">
      <c r="B22" s="70" t="s">
        <v>279</v>
      </c>
      <c r="F22" s="138" t="s">
        <v>269</v>
      </c>
      <c r="L22" s="39">
        <f>'Calculation income level'!L44</f>
        <v>135328.69250201981</v>
      </c>
      <c r="M22" s="39">
        <f>'Calculation income level'!M44</f>
        <v>-208833.43592196566</v>
      </c>
      <c r="O22" s="70" t="s">
        <v>304</v>
      </c>
    </row>
    <row r="23" spans="1:15" s="70" customFormat="1" ht="12.75" customHeight="1" x14ac:dyDescent="0.25">
      <c r="B23" s="70" t="s">
        <v>280</v>
      </c>
      <c r="F23" s="138" t="s">
        <v>269</v>
      </c>
      <c r="L23" s="6"/>
      <c r="M23" s="39">
        <f>'Calculation income level'!M45</f>
        <v>15698.079628169715</v>
      </c>
      <c r="O23" s="70" t="s">
        <v>305</v>
      </c>
    </row>
    <row r="24" spans="1:15" s="70" customFormat="1" ht="12.75" customHeight="1" x14ac:dyDescent="0.25">
      <c r="B24" s="4" t="s">
        <v>281</v>
      </c>
      <c r="F24" s="138" t="s">
        <v>269</v>
      </c>
      <c r="L24" s="39">
        <f>'Calculation income level'!L46</f>
        <v>34351.24066830727</v>
      </c>
      <c r="M24" s="6"/>
      <c r="O24" s="70" t="s">
        <v>306</v>
      </c>
    </row>
    <row r="25" spans="1:15" s="70" customFormat="1" ht="12.75" customHeight="1" x14ac:dyDescent="0.25">
      <c r="B25" s="4" t="s">
        <v>282</v>
      </c>
      <c r="F25" s="138" t="s">
        <v>269</v>
      </c>
      <c r="L25" s="6"/>
      <c r="M25" s="39">
        <f>'Calculation income level'!M47</f>
        <v>-8095.2728830397182</v>
      </c>
      <c r="O25" s="70" t="s">
        <v>307</v>
      </c>
    </row>
    <row r="26" spans="1:15" s="70" customFormat="1" ht="12.75" customHeight="1" x14ac:dyDescent="0.25"/>
    <row r="27" spans="1:15" s="70" customFormat="1" ht="12.75" customHeight="1" x14ac:dyDescent="0.25">
      <c r="B27" s="70" t="s">
        <v>202</v>
      </c>
      <c r="F27" s="138" t="s">
        <v>31</v>
      </c>
      <c r="L27" s="6"/>
      <c r="M27" s="39">
        <f>'Data on costs'!M15</f>
        <v>16730.706490632838</v>
      </c>
      <c r="O27" s="70" t="s">
        <v>308</v>
      </c>
    </row>
    <row r="28" spans="1:15" s="138" customFormat="1" ht="12.75" customHeight="1" x14ac:dyDescent="0.25">
      <c r="B28" s="138" t="s">
        <v>202</v>
      </c>
      <c r="F28" s="138" t="s">
        <v>269</v>
      </c>
      <c r="L28" s="6"/>
      <c r="M28" s="141">
        <f>M27*(1+H15)*(1+H16)</f>
        <v>16291.843328677045</v>
      </c>
    </row>
    <row r="29" spans="1:15" s="70" customFormat="1" ht="12.75" customHeight="1" x14ac:dyDescent="0.25">
      <c r="B29" s="138"/>
    </row>
    <row r="30" spans="1:15" s="70" customFormat="1" ht="12.75" customHeight="1" x14ac:dyDescent="0.25">
      <c r="B30" s="70" t="s">
        <v>301</v>
      </c>
      <c r="F30" s="138" t="s">
        <v>269</v>
      </c>
      <c r="L30" s="71">
        <f>SUM(L19:L25)</f>
        <v>2447847.0491095018</v>
      </c>
      <c r="M30" s="6"/>
    </row>
    <row r="31" spans="1:15" s="70" customFormat="1" ht="12.75" customHeight="1" x14ac:dyDescent="0.25">
      <c r="B31" s="70" t="s">
        <v>302</v>
      </c>
      <c r="F31" s="138" t="s">
        <v>269</v>
      </c>
      <c r="L31" s="6"/>
      <c r="M31" s="71">
        <f>SUM(M19:M22)+M28</f>
        <v>543535.04599693941</v>
      </c>
    </row>
    <row r="32" spans="1:15" s="70" customFormat="1" ht="12.75" customHeight="1" x14ac:dyDescent="0.25"/>
    <row r="33" spans="1:13" s="57" customFormat="1" ht="12.75" customHeight="1" x14ac:dyDescent="0.25">
      <c r="A33" s="67"/>
      <c r="B33" s="57" t="s">
        <v>105</v>
      </c>
    </row>
    <row r="34" spans="1:13" s="70" customFormat="1" ht="12.75" customHeight="1" x14ac:dyDescent="0.25"/>
    <row r="35" spans="1:13" ht="12.75" customHeight="1" x14ac:dyDescent="0.25">
      <c r="A35" s="70"/>
      <c r="B35" s="9" t="s">
        <v>107</v>
      </c>
      <c r="F35" s="9" t="s">
        <v>14</v>
      </c>
      <c r="L35" s="41">
        <f>'Data on volumes and tariffs'!L24</f>
        <v>0.26822619178414686</v>
      </c>
      <c r="M35" s="55"/>
    </row>
    <row r="36" spans="1:13" ht="12.75" customHeight="1" x14ac:dyDescent="0.25">
      <c r="A36" s="70"/>
      <c r="B36" s="9" t="s">
        <v>108</v>
      </c>
      <c r="F36" s="9" t="s">
        <v>8</v>
      </c>
      <c r="L36" s="83">
        <f>'Data on volumes and tariffs'!L20</f>
        <v>0.61954966855167126</v>
      </c>
      <c r="M36" s="55"/>
    </row>
    <row r="37" spans="1:13" ht="12.75" customHeight="1" x14ac:dyDescent="0.25">
      <c r="A37" s="70"/>
      <c r="B37" s="9" t="s">
        <v>53</v>
      </c>
      <c r="F37" s="9" t="s">
        <v>15</v>
      </c>
      <c r="L37" s="35">
        <f>'Data on volumes and tariffs'!L26</f>
        <v>0.53380000000000005</v>
      </c>
      <c r="M37" s="55"/>
    </row>
    <row r="38" spans="1:13" s="70" customFormat="1" ht="12.75" customHeight="1" x14ac:dyDescent="0.25">
      <c r="B38" s="70" t="s">
        <v>11</v>
      </c>
      <c r="F38" s="70" t="s">
        <v>23</v>
      </c>
      <c r="L38" s="39">
        <f>'Data on volumes and tariffs'!L18</f>
        <v>16427900</v>
      </c>
      <c r="M38" s="55"/>
    </row>
    <row r="39" spans="1:13" s="70" customFormat="1" ht="12.75" customHeight="1" x14ac:dyDescent="0.25">
      <c r="B39" s="70" t="s">
        <v>309</v>
      </c>
      <c r="F39" s="70" t="s">
        <v>13</v>
      </c>
      <c r="L39" s="39">
        <f>'Data on volumes and tariffs'!L19</f>
        <v>7591500</v>
      </c>
      <c r="M39" s="55"/>
    </row>
    <row r="40" spans="1:13" s="70" customFormat="1" ht="12.75" customHeight="1" x14ac:dyDescent="0.25"/>
    <row r="41" spans="1:13" s="57" customFormat="1" ht="12.75" customHeight="1" x14ac:dyDescent="0.25">
      <c r="A41" s="67"/>
      <c r="B41" s="57" t="s">
        <v>106</v>
      </c>
    </row>
    <row r="42" spans="1:13" s="70" customFormat="1" ht="12.75" customHeight="1" x14ac:dyDescent="0.25"/>
    <row r="43" spans="1:13" ht="12.75" customHeight="1" x14ac:dyDescent="0.25">
      <c r="A43" s="70"/>
      <c r="B43" s="9" t="s">
        <v>310</v>
      </c>
      <c r="F43" s="9" t="s">
        <v>8</v>
      </c>
      <c r="L43" s="55"/>
      <c r="M43" s="83">
        <f>'Data on volumes and tariffs'!M35</f>
        <v>0.13154961612924801</v>
      </c>
    </row>
    <row r="44" spans="1:13" ht="12.75" customHeight="1" x14ac:dyDescent="0.25">
      <c r="A44" s="70"/>
    </row>
    <row r="45" spans="1:13" ht="12.75" customHeight="1" x14ac:dyDescent="0.25">
      <c r="A45" s="70"/>
      <c r="B45" s="27" t="s">
        <v>133</v>
      </c>
      <c r="H45" s="138"/>
      <c r="M45" s="9" t="s">
        <v>172</v>
      </c>
    </row>
    <row r="46" spans="1:13" ht="12.75" customHeight="1" x14ac:dyDescent="0.25">
      <c r="A46" s="70"/>
      <c r="B46" s="40">
        <f>'Data on volumes and tariffs'!B64</f>
        <v>3.2</v>
      </c>
      <c r="F46" s="9" t="s">
        <v>16</v>
      </c>
      <c r="H46" s="138"/>
      <c r="L46" s="55"/>
      <c r="M46" s="39">
        <f>'Data on volumes and tariffs'!M64</f>
        <v>242.66958333333335</v>
      </c>
    </row>
    <row r="47" spans="1:13" ht="12.75" customHeight="1" x14ac:dyDescent="0.25">
      <c r="A47" s="70"/>
      <c r="B47" s="40">
        <f>'Data on volumes and tariffs'!B65</f>
        <v>7.7</v>
      </c>
      <c r="F47" s="9" t="s">
        <v>16</v>
      </c>
      <c r="H47" s="138"/>
      <c r="L47" s="55"/>
      <c r="M47" s="39">
        <f>'Data on volumes and tariffs'!M65</f>
        <v>1407.6904166666664</v>
      </c>
    </row>
    <row r="48" spans="1:13" ht="12.75" customHeight="1" x14ac:dyDescent="0.25">
      <c r="A48" s="70"/>
      <c r="B48" s="40">
        <f>'Data on volumes and tariffs'!B66</f>
        <v>11</v>
      </c>
      <c r="F48" s="9" t="s">
        <v>16</v>
      </c>
      <c r="H48" s="138"/>
      <c r="L48" s="55"/>
      <c r="M48" s="39">
        <f>'Data on volumes and tariffs'!M66</f>
        <v>87.628333333333316</v>
      </c>
    </row>
    <row r="49" spans="1:13" ht="12.75" customHeight="1" x14ac:dyDescent="0.25">
      <c r="A49" s="70"/>
      <c r="B49" s="40">
        <f>'Data on volumes and tariffs'!B67</f>
        <v>13.86</v>
      </c>
      <c r="F49" s="9" t="s">
        <v>16</v>
      </c>
      <c r="H49" s="138"/>
      <c r="L49" s="55"/>
      <c r="M49" s="39">
        <f>'Data on volumes and tariffs'!M67</f>
        <v>34.703066666666658</v>
      </c>
    </row>
    <row r="50" spans="1:13" ht="12.75" customHeight="1" x14ac:dyDescent="0.25">
      <c r="A50" s="70"/>
      <c r="B50" s="40">
        <f>'Data on volumes and tariffs'!B68</f>
        <v>13.3</v>
      </c>
      <c r="F50" s="9" t="s">
        <v>16</v>
      </c>
      <c r="H50" s="138"/>
      <c r="L50" s="55"/>
      <c r="M50" s="39">
        <f>'Data on volumes and tariffs'!M68</f>
        <v>19.755716666666668</v>
      </c>
    </row>
    <row r="51" spans="1:13" ht="12.75" customHeight="1" x14ac:dyDescent="0.25">
      <c r="A51" s="70"/>
      <c r="B51" s="40">
        <f>'Data on volumes and tariffs'!B69</f>
        <v>19</v>
      </c>
      <c r="F51" s="9" t="s">
        <v>16</v>
      </c>
      <c r="H51" s="138"/>
      <c r="L51" s="55"/>
      <c r="M51" s="39">
        <f>'Data on volumes and tariffs'!M69</f>
        <v>26.982083333333325</v>
      </c>
    </row>
    <row r="52" spans="1:13" ht="12.75" customHeight="1" x14ac:dyDescent="0.25">
      <c r="A52" s="70"/>
      <c r="B52" s="40">
        <f>'Data on volumes and tariffs'!B70</f>
        <v>23.94</v>
      </c>
      <c r="F52" s="9" t="s">
        <v>16</v>
      </c>
      <c r="H52" s="138"/>
      <c r="L52" s="55"/>
      <c r="M52" s="39">
        <f>'Data on volumes and tariffs'!M70</f>
        <v>37.385833333333345</v>
      </c>
    </row>
    <row r="53" spans="1:13" ht="12.75" customHeight="1" x14ac:dyDescent="0.25">
      <c r="A53" s="70"/>
      <c r="B53" s="40">
        <f>'Data on volumes and tariffs'!B71</f>
        <v>30.4</v>
      </c>
      <c r="F53" s="9" t="s">
        <v>16</v>
      </c>
      <c r="H53" s="138"/>
      <c r="L53" s="55"/>
      <c r="M53" s="39">
        <f>'Data on volumes and tariffs'!M71</f>
        <v>11.334166666666668</v>
      </c>
    </row>
    <row r="54" spans="1:13" ht="12.75" customHeight="1" x14ac:dyDescent="0.25">
      <c r="A54" s="70"/>
      <c r="B54" s="40">
        <f>'Data on volumes and tariffs'!B72</f>
        <v>38</v>
      </c>
      <c r="F54" s="9" t="s">
        <v>16</v>
      </c>
      <c r="H54" s="138"/>
      <c r="L54" s="55"/>
      <c r="M54" s="39">
        <f>'Data on volumes and tariffs'!M72</f>
        <v>14.125416666666666</v>
      </c>
    </row>
    <row r="55" spans="1:13" ht="12.75" customHeight="1" x14ac:dyDescent="0.25">
      <c r="A55" s="70"/>
      <c r="B55" s="40">
        <f>'Data on volumes and tariffs'!B73</f>
        <v>47.5</v>
      </c>
      <c r="F55" s="9" t="s">
        <v>16</v>
      </c>
      <c r="H55" s="138"/>
      <c r="L55" s="55"/>
      <c r="M55" s="39">
        <f>'Data on volumes and tariffs'!M73</f>
        <v>17.7864</v>
      </c>
    </row>
    <row r="56" spans="1:13" ht="12.75" customHeight="1" x14ac:dyDescent="0.25">
      <c r="A56" s="70"/>
      <c r="B56" s="40">
        <f>'Data on volumes and tariffs'!B74</f>
        <v>60.8</v>
      </c>
      <c r="F56" s="9" t="s">
        <v>16</v>
      </c>
      <c r="H56" s="138"/>
      <c r="L56" s="55"/>
      <c r="M56" s="39">
        <f>'Data on volumes and tariffs'!M74</f>
        <v>6.6213999999999986</v>
      </c>
    </row>
    <row r="57" spans="1:13" ht="12.75" customHeight="1" x14ac:dyDescent="0.25">
      <c r="A57" s="70"/>
      <c r="B57" s="40">
        <f>'Data on volumes and tariffs'!B75</f>
        <v>76</v>
      </c>
      <c r="F57" s="9" t="s">
        <v>16</v>
      </c>
      <c r="H57" s="138"/>
      <c r="L57" s="55"/>
      <c r="M57" s="39">
        <f>'Data on volumes and tariffs'!M75</f>
        <v>3.0450000000000004</v>
      </c>
    </row>
    <row r="58" spans="1:13" ht="12.75" customHeight="1" x14ac:dyDescent="0.25">
      <c r="A58" s="70"/>
      <c r="B58" s="40">
        <f>'Data on volumes and tariffs'!B76</f>
        <v>85.5</v>
      </c>
      <c r="F58" s="9" t="s">
        <v>16</v>
      </c>
      <c r="H58" s="138"/>
      <c r="L58" s="55"/>
      <c r="M58" s="39">
        <f>'Data on volumes and tariffs'!M76</f>
        <v>3.0689000000000002</v>
      </c>
    </row>
    <row r="59" spans="1:13" ht="12.75" customHeight="1" x14ac:dyDescent="0.25">
      <c r="A59" s="70"/>
      <c r="B59" s="40">
        <f>'Data on volumes and tariffs'!B77</f>
        <v>95</v>
      </c>
      <c r="F59" s="9" t="s">
        <v>16</v>
      </c>
      <c r="H59" s="138"/>
      <c r="L59" s="55"/>
      <c r="M59" s="39">
        <f>'Data on volumes and tariffs'!M77</f>
        <v>1.0150000000000001</v>
      </c>
    </row>
    <row r="60" spans="1:13" ht="12.75" customHeight="1" x14ac:dyDescent="0.25">
      <c r="A60" s="70"/>
      <c r="H60" s="138"/>
    </row>
    <row r="61" spans="1:13" ht="12.75" customHeight="1" x14ac:dyDescent="0.25">
      <c r="A61" s="70"/>
      <c r="B61" s="30" t="s">
        <v>254</v>
      </c>
    </row>
    <row r="62" spans="1:13" ht="12.75" customHeight="1" x14ac:dyDescent="0.25">
      <c r="A62" s="70"/>
      <c r="B62" s="9" t="s">
        <v>166</v>
      </c>
      <c r="F62" s="9" t="s">
        <v>102</v>
      </c>
      <c r="L62" s="55"/>
      <c r="M62" s="36">
        <f>'Data on volumes and tariffs'!M43</f>
        <v>293.12762999999995</v>
      </c>
    </row>
    <row r="63" spans="1:13" ht="12.75" customHeight="1" x14ac:dyDescent="0.25">
      <c r="A63" s="70"/>
      <c r="B63" s="9" t="s">
        <v>167</v>
      </c>
      <c r="F63" s="9" t="s">
        <v>102</v>
      </c>
      <c r="L63" s="55"/>
      <c r="M63" s="36">
        <f>'Data on volumes and tariffs'!M44</f>
        <v>181.91454999999999</v>
      </c>
    </row>
    <row r="64" spans="1:13" ht="12.75" customHeight="1" x14ac:dyDescent="0.25">
      <c r="A64" s="70"/>
      <c r="B64" s="9" t="s">
        <v>168</v>
      </c>
      <c r="F64" s="9" t="s">
        <v>102</v>
      </c>
      <c r="L64" s="55"/>
      <c r="M64" s="36">
        <f>'Data on volumes and tariffs'!M45</f>
        <v>197.49283999999997</v>
      </c>
    </row>
    <row r="65" spans="1:15" ht="12.75" customHeight="1" x14ac:dyDescent="0.25">
      <c r="A65" s="70"/>
    </row>
    <row r="66" spans="1:15" ht="12.75" customHeight="1" x14ac:dyDescent="0.25">
      <c r="A66" s="70"/>
    </row>
    <row r="67" spans="1:15" s="15" customFormat="1" ht="12.75" customHeight="1" x14ac:dyDescent="0.25">
      <c r="A67" s="67"/>
      <c r="B67" s="56" t="s">
        <v>96</v>
      </c>
      <c r="I67" s="67"/>
      <c r="J67" s="67"/>
    </row>
    <row r="68" spans="1:15" ht="12.75" customHeight="1" x14ac:dyDescent="0.25">
      <c r="A68" s="70"/>
    </row>
    <row r="69" spans="1:15" ht="12.75" customHeight="1" x14ac:dyDescent="0.25">
      <c r="A69" s="70"/>
      <c r="B69" s="8" t="s">
        <v>41</v>
      </c>
    </row>
    <row r="70" spans="1:15" ht="12.75" customHeight="1" x14ac:dyDescent="0.25">
      <c r="A70" s="70"/>
      <c r="B70" s="9" t="s">
        <v>24</v>
      </c>
      <c r="F70" s="70" t="s">
        <v>311</v>
      </c>
      <c r="L70" s="38">
        <f>L30/L38</f>
        <v>0.14900547538696374</v>
      </c>
      <c r="M70" s="55"/>
    </row>
    <row r="71" spans="1:15" ht="12.75" customHeight="1" x14ac:dyDescent="0.25">
      <c r="A71" s="70"/>
      <c r="B71" s="9" t="s">
        <v>110</v>
      </c>
      <c r="F71" s="70" t="s">
        <v>311</v>
      </c>
      <c r="L71" s="33">
        <f>L35*L36*L37</f>
        <v>8.8706589458098589E-2</v>
      </c>
      <c r="M71" s="55"/>
    </row>
    <row r="72" spans="1:15" ht="12.75" customHeight="1" x14ac:dyDescent="0.25">
      <c r="A72" s="70"/>
      <c r="B72" s="9" t="s">
        <v>26</v>
      </c>
      <c r="F72" s="70" t="s">
        <v>311</v>
      </c>
      <c r="L72" s="38">
        <f>L70+L71</f>
        <v>0.23771206484506233</v>
      </c>
      <c r="M72" s="55"/>
    </row>
    <row r="73" spans="1:15" ht="12.75" customHeight="1" x14ac:dyDescent="0.25">
      <c r="A73" s="70"/>
    </row>
    <row r="74" spans="1:15" ht="12.75" customHeight="1" x14ac:dyDescent="0.25">
      <c r="A74" s="70"/>
      <c r="B74" s="8" t="s">
        <v>25</v>
      </c>
      <c r="O74" s="70"/>
    </row>
    <row r="75" spans="1:15" s="70" customFormat="1" ht="12.75" customHeight="1" x14ac:dyDescent="0.25">
      <c r="B75" s="70" t="s">
        <v>141</v>
      </c>
      <c r="F75" s="70" t="s">
        <v>269</v>
      </c>
      <c r="L75" s="55"/>
      <c r="M75" s="71">
        <f>SUM(M23:M23)</f>
        <v>15698.079628169715</v>
      </c>
    </row>
    <row r="76" spans="1:15" s="70" customFormat="1" ht="12.75" customHeight="1" x14ac:dyDescent="0.25">
      <c r="B76" s="27" t="s">
        <v>131</v>
      </c>
      <c r="F76" s="70" t="s">
        <v>311</v>
      </c>
      <c r="L76" s="55"/>
      <c r="M76" s="33">
        <f>M75/L38</f>
        <v>9.555743356223081E-4</v>
      </c>
    </row>
    <row r="77" spans="1:15" s="70" customFormat="1" ht="12.75" customHeight="1" x14ac:dyDescent="0.25">
      <c r="B77" s="70" t="s">
        <v>458</v>
      </c>
      <c r="F77" s="70" t="s">
        <v>311</v>
      </c>
      <c r="L77" s="55"/>
      <c r="M77" s="33">
        <f>L72+M76</f>
        <v>0.23866763918068462</v>
      </c>
    </row>
    <row r="78" spans="1:15" s="70" customFormat="1" ht="12.75" customHeight="1" x14ac:dyDescent="0.25"/>
    <row r="79" spans="1:15" s="70" customFormat="1" ht="12.75" customHeight="1" x14ac:dyDescent="0.25">
      <c r="B79" s="27" t="s">
        <v>99</v>
      </c>
      <c r="F79" s="70" t="s">
        <v>269</v>
      </c>
      <c r="L79" s="55"/>
      <c r="M79" s="39">
        <f>M25</f>
        <v>-8095.2728830397182</v>
      </c>
    </row>
    <row r="80" spans="1:15" ht="12.75" customHeight="1" x14ac:dyDescent="0.25">
      <c r="A80" s="70"/>
      <c r="B80" s="27" t="s">
        <v>312</v>
      </c>
      <c r="F80" s="9" t="s">
        <v>23</v>
      </c>
      <c r="L80" s="55"/>
      <c r="M80" s="123">
        <f>L39</f>
        <v>7591500</v>
      </c>
    </row>
    <row r="81" spans="1:15" ht="12.75" customHeight="1" x14ac:dyDescent="0.25">
      <c r="A81" s="70"/>
      <c r="B81" s="27" t="s">
        <v>132</v>
      </c>
      <c r="F81" s="70" t="s">
        <v>311</v>
      </c>
      <c r="L81" s="55"/>
      <c r="M81" s="33">
        <f>M79/M80</f>
        <v>-1.0663601242231072E-3</v>
      </c>
      <c r="O81" s="70" t="s">
        <v>316</v>
      </c>
    </row>
    <row r="82" spans="1:15" ht="12.75" customHeight="1" x14ac:dyDescent="0.25">
      <c r="A82" s="70"/>
      <c r="B82" s="9" t="s">
        <v>27</v>
      </c>
      <c r="F82" s="70" t="s">
        <v>311</v>
      </c>
      <c r="L82" s="55"/>
      <c r="M82" s="38">
        <f>(M77+M81)/(1-M43)</f>
        <v>0.27359223217503092</v>
      </c>
      <c r="O82" s="9" t="s">
        <v>317</v>
      </c>
    </row>
    <row r="83" spans="1:15" ht="12.75" customHeight="1" x14ac:dyDescent="0.25">
      <c r="A83" s="70"/>
    </row>
    <row r="84" spans="1:15" ht="12.75" customHeight="1" x14ac:dyDescent="0.25">
      <c r="A84" s="70"/>
      <c r="B84" s="30" t="s">
        <v>28</v>
      </c>
    </row>
    <row r="85" spans="1:15" ht="12.75" customHeight="1" x14ac:dyDescent="0.25">
      <c r="A85" s="70"/>
      <c r="B85" s="9" t="s">
        <v>313</v>
      </c>
      <c r="F85" s="9" t="s">
        <v>17</v>
      </c>
      <c r="M85" s="71">
        <f>SUMPRODUCT(B46:B59,M46:M59)</f>
        <v>17450.078080666663</v>
      </c>
    </row>
    <row r="86" spans="1:15" ht="12.75" customHeight="1" x14ac:dyDescent="0.25">
      <c r="A86" s="70"/>
      <c r="B86" s="9" t="s">
        <v>29</v>
      </c>
      <c r="F86" s="9" t="s">
        <v>314</v>
      </c>
      <c r="M86" s="65">
        <f>M31/M85/12</f>
        <v>2.5956667332391206</v>
      </c>
    </row>
    <row r="87" spans="1:15" ht="12.75" customHeight="1" x14ac:dyDescent="0.25">
      <c r="A87" s="70"/>
    </row>
    <row r="88" spans="1:15" ht="12.75" customHeight="1" x14ac:dyDescent="0.25">
      <c r="A88" s="70"/>
      <c r="B88" s="40">
        <f t="shared" ref="B88:B101" si="0">B46</f>
        <v>3.2</v>
      </c>
      <c r="F88" s="9" t="s">
        <v>315</v>
      </c>
      <c r="M88" s="37">
        <f>$M$86*B88</f>
        <v>8.3061335463651869</v>
      </c>
    </row>
    <row r="89" spans="1:15" ht="12.75" customHeight="1" x14ac:dyDescent="0.25">
      <c r="A89" s="70"/>
      <c r="B89" s="40">
        <f t="shared" si="0"/>
        <v>7.7</v>
      </c>
      <c r="F89" s="138" t="s">
        <v>315</v>
      </c>
      <c r="M89" s="37">
        <f t="shared" ref="M89:M101" si="1">$M$86*B89</f>
        <v>19.986633845941228</v>
      </c>
    </row>
    <row r="90" spans="1:15" ht="12.75" customHeight="1" x14ac:dyDescent="0.25">
      <c r="A90" s="70"/>
      <c r="B90" s="40">
        <f t="shared" si="0"/>
        <v>11</v>
      </c>
      <c r="F90" s="138" t="s">
        <v>315</v>
      </c>
      <c r="M90" s="37">
        <f t="shared" si="1"/>
        <v>28.552334065630326</v>
      </c>
    </row>
    <row r="91" spans="1:15" ht="12.75" customHeight="1" x14ac:dyDescent="0.25">
      <c r="A91" s="70"/>
      <c r="B91" s="40">
        <f t="shared" si="0"/>
        <v>13.86</v>
      </c>
      <c r="F91" s="138" t="s">
        <v>315</v>
      </c>
      <c r="M91" s="37">
        <f t="shared" si="1"/>
        <v>35.975940922694207</v>
      </c>
    </row>
    <row r="92" spans="1:15" ht="12.75" customHeight="1" x14ac:dyDescent="0.25">
      <c r="A92" s="70"/>
      <c r="B92" s="40">
        <f t="shared" si="0"/>
        <v>13.3</v>
      </c>
      <c r="F92" s="138" t="s">
        <v>315</v>
      </c>
      <c r="M92" s="37">
        <f t="shared" si="1"/>
        <v>34.522367552080304</v>
      </c>
    </row>
    <row r="93" spans="1:15" ht="12.75" customHeight="1" x14ac:dyDescent="0.25">
      <c r="A93" s="70"/>
      <c r="B93" s="40">
        <f t="shared" si="0"/>
        <v>19</v>
      </c>
      <c r="F93" s="138" t="s">
        <v>315</v>
      </c>
      <c r="M93" s="37">
        <f t="shared" si="1"/>
        <v>49.317667931543291</v>
      </c>
    </row>
    <row r="94" spans="1:15" ht="12.75" customHeight="1" x14ac:dyDescent="0.25">
      <c r="A94" s="70"/>
      <c r="B94" s="40">
        <f t="shared" si="0"/>
        <v>23.94</v>
      </c>
      <c r="F94" s="138" t="s">
        <v>315</v>
      </c>
      <c r="M94" s="37">
        <f t="shared" si="1"/>
        <v>62.140261593744547</v>
      </c>
    </row>
    <row r="95" spans="1:15" ht="12.75" customHeight="1" x14ac:dyDescent="0.25">
      <c r="A95" s="70"/>
      <c r="B95" s="40">
        <f t="shared" si="0"/>
        <v>30.4</v>
      </c>
      <c r="F95" s="138" t="s">
        <v>315</v>
      </c>
      <c r="M95" s="37">
        <f t="shared" si="1"/>
        <v>78.908268690469257</v>
      </c>
    </row>
    <row r="96" spans="1:15" ht="12.75" customHeight="1" x14ac:dyDescent="0.25">
      <c r="A96" s="70"/>
      <c r="B96" s="40">
        <f t="shared" si="0"/>
        <v>38</v>
      </c>
      <c r="F96" s="138" t="s">
        <v>315</v>
      </c>
      <c r="M96" s="37">
        <f t="shared" si="1"/>
        <v>98.635335863086581</v>
      </c>
    </row>
    <row r="97" spans="1:15" ht="12.75" customHeight="1" x14ac:dyDescent="0.25">
      <c r="A97" s="70"/>
      <c r="B97" s="40">
        <f t="shared" si="0"/>
        <v>47.5</v>
      </c>
      <c r="F97" s="138" t="s">
        <v>315</v>
      </c>
      <c r="M97" s="37">
        <f t="shared" si="1"/>
        <v>123.29416982885823</v>
      </c>
    </row>
    <row r="98" spans="1:15" ht="12.75" customHeight="1" x14ac:dyDescent="0.25">
      <c r="A98" s="70"/>
      <c r="B98" s="40">
        <f t="shared" si="0"/>
        <v>60.8</v>
      </c>
      <c r="F98" s="138" t="s">
        <v>315</v>
      </c>
      <c r="M98" s="37">
        <f t="shared" si="1"/>
        <v>157.81653738093851</v>
      </c>
    </row>
    <row r="99" spans="1:15" ht="12.75" customHeight="1" x14ac:dyDescent="0.25">
      <c r="A99" s="70"/>
      <c r="B99" s="40">
        <f t="shared" si="0"/>
        <v>76</v>
      </c>
      <c r="F99" s="138" t="s">
        <v>315</v>
      </c>
      <c r="M99" s="37">
        <f t="shared" si="1"/>
        <v>197.27067172617316</v>
      </c>
    </row>
    <row r="100" spans="1:15" ht="12.75" customHeight="1" x14ac:dyDescent="0.25">
      <c r="A100" s="70"/>
      <c r="B100" s="40">
        <f t="shared" si="0"/>
        <v>85.5</v>
      </c>
      <c r="F100" s="138" t="s">
        <v>315</v>
      </c>
      <c r="M100" s="37">
        <f t="shared" si="1"/>
        <v>221.9295056919448</v>
      </c>
    </row>
    <row r="101" spans="1:15" ht="12.75" customHeight="1" x14ac:dyDescent="0.25">
      <c r="A101" s="70"/>
      <c r="B101" s="40">
        <f t="shared" si="0"/>
        <v>95</v>
      </c>
      <c r="F101" s="138" t="s">
        <v>315</v>
      </c>
      <c r="M101" s="37">
        <f t="shared" si="1"/>
        <v>246.58833965771646</v>
      </c>
    </row>
    <row r="102" spans="1:15" s="70" customFormat="1" ht="12.75" customHeight="1" x14ac:dyDescent="0.25">
      <c r="B102" s="5"/>
    </row>
    <row r="103" spans="1:15" ht="12.75" customHeight="1" x14ac:dyDescent="0.25">
      <c r="A103" s="70"/>
      <c r="B103" s="30" t="s">
        <v>30</v>
      </c>
    </row>
    <row r="104" spans="1:15" ht="12.75" customHeight="1" x14ac:dyDescent="0.25">
      <c r="A104" s="70"/>
      <c r="B104" s="9" t="s">
        <v>30</v>
      </c>
      <c r="F104" s="9" t="s">
        <v>269</v>
      </c>
      <c r="M104" s="109">
        <f>'Data on volumes and tariffs'!M47</f>
        <v>40</v>
      </c>
      <c r="O104" s="9" t="s">
        <v>189</v>
      </c>
    </row>
    <row r="105" spans="1:15" ht="12.75" customHeight="1" x14ac:dyDescent="0.25">
      <c r="A105" s="70"/>
    </row>
    <row r="106" spans="1:15" ht="12.75" customHeight="1" x14ac:dyDescent="0.25">
      <c r="A106" s="70"/>
      <c r="B106" s="8" t="s">
        <v>33</v>
      </c>
    </row>
    <row r="107" spans="1:15" ht="12.75" customHeight="1" x14ac:dyDescent="0.25">
      <c r="A107" s="70"/>
      <c r="B107" s="9" t="s">
        <v>166</v>
      </c>
      <c r="F107" s="9" t="s">
        <v>269</v>
      </c>
      <c r="M107" s="37">
        <f>M62*(1+$H$16)</f>
        <v>283.45441820999997</v>
      </c>
    </row>
    <row r="108" spans="1:15" ht="12.75" customHeight="1" x14ac:dyDescent="0.25">
      <c r="A108" s="70"/>
      <c r="B108" s="9" t="s">
        <v>167</v>
      </c>
      <c r="F108" s="9" t="s">
        <v>269</v>
      </c>
      <c r="M108" s="37">
        <f>M63*(1+$H$16)</f>
        <v>175.91136985</v>
      </c>
    </row>
    <row r="109" spans="1:15" ht="12.75" customHeight="1" x14ac:dyDescent="0.25">
      <c r="A109" s="70"/>
      <c r="B109" s="9" t="s">
        <v>168</v>
      </c>
      <c r="F109" s="9" t="s">
        <v>269</v>
      </c>
      <c r="M109" s="37">
        <f>M64*(1+$H$16)</f>
        <v>190.97557627999996</v>
      </c>
    </row>
    <row r="110" spans="1:15" x14ac:dyDescent="0.25">
      <c r="A110" s="70"/>
    </row>
    <row r="111" spans="1:15" x14ac:dyDescent="0.25">
      <c r="A111" s="70"/>
    </row>
    <row r="112" spans="1:15" x14ac:dyDescent="0.25">
      <c r="A112" s="70"/>
    </row>
    <row r="113" spans="2:2" x14ac:dyDescent="0.25">
      <c r="B113" s="9" t="s">
        <v>191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R124"/>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x14ac:dyDescent="0.25"/>
  <cols>
    <col min="1" max="1" width="4" style="70" customWidth="1"/>
    <col min="2" max="2" width="49.28515625" style="70" customWidth="1"/>
    <col min="3" max="5" width="4.5703125" style="70" customWidth="1"/>
    <col min="6" max="6" width="19.28515625" style="70" customWidth="1"/>
    <col min="7" max="7" width="2.7109375" style="70" customWidth="1"/>
    <col min="8" max="8" width="13.7109375" style="70" customWidth="1"/>
    <col min="9" max="13" width="2.7109375" style="70" customWidth="1"/>
    <col min="14" max="16" width="21.7109375" style="70" customWidth="1"/>
    <col min="17" max="17" width="2.7109375" style="70" customWidth="1"/>
    <col min="18" max="18" width="8.42578125" style="70" bestFit="1" customWidth="1"/>
    <col min="19" max="32" width="13.7109375" style="70" customWidth="1"/>
    <col min="33" max="16384" width="9.140625" style="70"/>
  </cols>
  <sheetData>
    <row r="2" spans="2:18" s="24" customFormat="1" ht="18" x14ac:dyDescent="0.25">
      <c r="B2" s="24" t="s">
        <v>318</v>
      </c>
    </row>
    <row r="4" spans="2:18" x14ac:dyDescent="0.25">
      <c r="B4" s="66" t="s">
        <v>44</v>
      </c>
      <c r="C4" s="66"/>
      <c r="D4" s="66"/>
      <c r="H4" s="68"/>
    </row>
    <row r="5" spans="2:18" x14ac:dyDescent="0.25">
      <c r="B5" s="27" t="s">
        <v>103</v>
      </c>
      <c r="C5" s="10"/>
      <c r="D5" s="10"/>
      <c r="H5" s="68"/>
      <c r="I5" s="68"/>
      <c r="J5" s="68"/>
      <c r="K5" s="68"/>
      <c r="L5" s="68"/>
    </row>
    <row r="6" spans="2:18" x14ac:dyDescent="0.25">
      <c r="B6" s="27"/>
      <c r="C6" s="10"/>
      <c r="D6" s="10"/>
      <c r="H6" s="68"/>
      <c r="I6" s="68"/>
      <c r="J6" s="68"/>
      <c r="K6" s="68"/>
      <c r="L6" s="68"/>
    </row>
    <row r="7" spans="2:18" x14ac:dyDescent="0.25">
      <c r="B7" s="60" t="s">
        <v>46</v>
      </c>
      <c r="C7" s="10"/>
      <c r="D7" s="10"/>
      <c r="H7" s="68"/>
      <c r="I7" s="68"/>
      <c r="J7" s="68"/>
      <c r="K7" s="68"/>
      <c r="L7" s="68"/>
    </row>
    <row r="8" spans="2:18" x14ac:dyDescent="0.25">
      <c r="B8" s="60" t="s">
        <v>257</v>
      </c>
      <c r="C8" s="10"/>
      <c r="D8" s="10"/>
      <c r="H8" s="68"/>
      <c r="I8" s="68"/>
      <c r="J8" s="68"/>
      <c r="K8" s="68"/>
      <c r="L8" s="68"/>
    </row>
    <row r="10" spans="2:18" s="67" customFormat="1" x14ac:dyDescent="0.25">
      <c r="B10" s="67" t="s">
        <v>4</v>
      </c>
      <c r="F10" s="67" t="s">
        <v>5</v>
      </c>
      <c r="H10" s="67" t="s">
        <v>9</v>
      </c>
      <c r="N10" s="67" t="s">
        <v>156</v>
      </c>
      <c r="O10" s="67" t="s">
        <v>154</v>
      </c>
      <c r="P10" s="67" t="s">
        <v>157</v>
      </c>
      <c r="R10" s="67" t="s">
        <v>39</v>
      </c>
    </row>
    <row r="12" spans="2:18" s="67" customFormat="1" ht="12.75" customHeight="1" x14ac:dyDescent="0.25">
      <c r="B12" s="56" t="s">
        <v>22</v>
      </c>
    </row>
    <row r="13" spans="2:18" ht="12.75" customHeight="1" x14ac:dyDescent="0.25"/>
    <row r="14" spans="2:18" ht="12.75" customHeight="1" x14ac:dyDescent="0.25">
      <c r="B14" s="69" t="s">
        <v>149</v>
      </c>
    </row>
    <row r="15" spans="2:18" s="138" customFormat="1" ht="12.75" customHeight="1" x14ac:dyDescent="0.25">
      <c r="B15" s="138" t="s">
        <v>97</v>
      </c>
      <c r="F15" s="138" t="s">
        <v>8</v>
      </c>
      <c r="H15" s="83">
        <f>Parameters!H18</f>
        <v>7.0000000000000001E-3</v>
      </c>
    </row>
    <row r="16" spans="2:18" ht="12.75" customHeight="1" x14ac:dyDescent="0.25">
      <c r="B16" s="70" t="s">
        <v>272</v>
      </c>
      <c r="F16" s="70" t="s">
        <v>8</v>
      </c>
      <c r="H16" s="83">
        <f>Parameters!H19</f>
        <v>-3.3000000000000002E-2</v>
      </c>
    </row>
    <row r="17" spans="2:18" s="138" customFormat="1" ht="12.75" customHeight="1" x14ac:dyDescent="0.25">
      <c r="B17" s="138" t="s">
        <v>462</v>
      </c>
      <c r="F17" s="138" t="s">
        <v>8</v>
      </c>
      <c r="H17" s="83">
        <f>'Data on volumes and tariffs'!P55</f>
        <v>0.02</v>
      </c>
    </row>
    <row r="18" spans="2:18" ht="12.75" customHeight="1" x14ac:dyDescent="0.25"/>
    <row r="19" spans="2:18" ht="12.75" customHeight="1" x14ac:dyDescent="0.25">
      <c r="B19" s="66" t="s">
        <v>300</v>
      </c>
    </row>
    <row r="20" spans="2:18" ht="12.75" customHeight="1" x14ac:dyDescent="0.25">
      <c r="B20" s="70" t="s">
        <v>138</v>
      </c>
      <c r="F20" s="70" t="s">
        <v>269</v>
      </c>
      <c r="N20" s="39">
        <f>'Calculation income level'!N41</f>
        <v>629449.84617638704</v>
      </c>
      <c r="O20" s="39">
        <f>'Calculation income level'!O41</f>
        <v>986661.86821529793</v>
      </c>
      <c r="P20" s="39">
        <f>'Calculation income level'!P41</f>
        <v>17902.666174798171</v>
      </c>
    </row>
    <row r="21" spans="2:18" ht="12.75" customHeight="1" x14ac:dyDescent="0.25"/>
    <row r="22" spans="2:18" ht="12.75" customHeight="1" x14ac:dyDescent="0.25">
      <c r="B22" s="70" t="s">
        <v>278</v>
      </c>
      <c r="F22" s="70" t="s">
        <v>269</v>
      </c>
      <c r="N22" s="39">
        <f>'Calculation income level'!N43</f>
        <v>-163227.91893727094</v>
      </c>
      <c r="O22" s="39">
        <f>'Calculation income level'!O43</f>
        <v>-22383.265461799474</v>
      </c>
      <c r="P22" s="39">
        <f>'Calculation income level'!P43</f>
        <v>-739.25851761059164</v>
      </c>
      <c r="R22" s="138" t="s">
        <v>319</v>
      </c>
    </row>
    <row r="23" spans="2:18" ht="12.75" customHeight="1" x14ac:dyDescent="0.25">
      <c r="B23" s="70" t="s">
        <v>279</v>
      </c>
      <c r="F23" s="70" t="s">
        <v>269</v>
      </c>
      <c r="N23" s="39">
        <f>'Calculation income level'!N44</f>
        <v>47023.44669212975</v>
      </c>
      <c r="O23" s="39">
        <f>'Calculation income level'!O44</f>
        <v>111439.44029585256</v>
      </c>
      <c r="P23" s="39">
        <f>'Calculation income level'!P44</f>
        <v>364.44595665022518</v>
      </c>
      <c r="R23" s="138" t="s">
        <v>320</v>
      </c>
    </row>
    <row r="24" spans="2:18" ht="12.75" customHeight="1" x14ac:dyDescent="0.25">
      <c r="B24" s="70" t="s">
        <v>280</v>
      </c>
      <c r="F24" s="70" t="s">
        <v>269</v>
      </c>
      <c r="N24" s="6"/>
      <c r="O24" s="39">
        <f>'Calculation income level'!O45</f>
        <v>45246.985064565975</v>
      </c>
      <c r="P24" s="6"/>
      <c r="R24" s="70" t="s">
        <v>305</v>
      </c>
    </row>
    <row r="25" spans="2:18" ht="12.75" customHeight="1" x14ac:dyDescent="0.25">
      <c r="B25" s="70" t="s">
        <v>295</v>
      </c>
      <c r="F25" s="70" t="s">
        <v>269</v>
      </c>
      <c r="N25" s="39">
        <f>'Calculation income level'!N48</f>
        <v>-11865.179070413549</v>
      </c>
      <c r="O25" s="6"/>
      <c r="P25" s="6"/>
      <c r="R25" s="138" t="s">
        <v>321</v>
      </c>
    </row>
    <row r="26" spans="2:18" ht="12.75" customHeight="1" x14ac:dyDescent="0.25"/>
    <row r="27" spans="2:18" ht="12.75" customHeight="1" x14ac:dyDescent="0.25">
      <c r="B27" s="70" t="s">
        <v>202</v>
      </c>
      <c r="F27" s="70" t="s">
        <v>31</v>
      </c>
      <c r="N27" s="6"/>
      <c r="O27" s="39">
        <f>'Data on costs'!O15</f>
        <v>448.95155860187822</v>
      </c>
      <c r="P27" s="6"/>
    </row>
    <row r="28" spans="2:18" s="138" customFormat="1" ht="12.75" customHeight="1" x14ac:dyDescent="0.25">
      <c r="B28" s="138" t="s">
        <v>202</v>
      </c>
      <c r="F28" s="138" t="s">
        <v>269</v>
      </c>
      <c r="N28" s="6"/>
      <c r="O28" s="141">
        <f>O27*(1+H15)*(1+H16)*(1-H17)</f>
        <v>428.43160806282845</v>
      </c>
      <c r="P28" s="141">
        <f>O27*(1+H15)*(1+H16)*H17</f>
        <v>8.7435022053638463</v>
      </c>
    </row>
    <row r="29" spans="2:18" ht="12.75" customHeight="1" x14ac:dyDescent="0.25"/>
    <row r="30" spans="2:18" ht="12.75" customHeight="1" x14ac:dyDescent="0.25">
      <c r="B30" s="70" t="s">
        <v>301</v>
      </c>
      <c r="F30" s="70" t="s">
        <v>269</v>
      </c>
      <c r="N30" s="71">
        <f>SUM(N20:N25)</f>
        <v>501380.1948608323</v>
      </c>
      <c r="O30" s="6"/>
      <c r="P30" s="6"/>
    </row>
    <row r="31" spans="2:18" ht="12.75" customHeight="1" x14ac:dyDescent="0.25">
      <c r="B31" s="70" t="s">
        <v>302</v>
      </c>
      <c r="F31" s="70" t="s">
        <v>269</v>
      </c>
      <c r="N31" s="6"/>
      <c r="O31" s="71">
        <f>SUM(O20:O23)</f>
        <v>1075718.0430493511</v>
      </c>
      <c r="P31" s="6"/>
    </row>
    <row r="32" spans="2:18" ht="12.75" customHeight="1" x14ac:dyDescent="0.25">
      <c r="B32" s="70" t="s">
        <v>322</v>
      </c>
      <c r="F32" s="70" t="s">
        <v>269</v>
      </c>
      <c r="N32" s="6"/>
      <c r="O32" s="6"/>
      <c r="P32" s="71">
        <f>SUM(P20:P23)+P28</f>
        <v>17536.597116043169</v>
      </c>
    </row>
    <row r="33" spans="2:18" ht="12.75" customHeight="1" x14ac:dyDescent="0.25"/>
    <row r="34" spans="2:18" ht="12.75" customHeight="1" x14ac:dyDescent="0.25">
      <c r="B34" s="69" t="s">
        <v>128</v>
      </c>
    </row>
    <row r="35" spans="2:18" ht="12.75" customHeight="1" x14ac:dyDescent="0.25">
      <c r="B35" s="60" t="s">
        <v>38</v>
      </c>
      <c r="C35" s="60"/>
      <c r="D35" s="60"/>
      <c r="E35" s="60"/>
      <c r="F35" s="60" t="s">
        <v>118</v>
      </c>
      <c r="G35" s="60"/>
      <c r="H35" s="60"/>
      <c r="I35" s="60"/>
      <c r="J35" s="60"/>
      <c r="K35" s="60"/>
      <c r="M35" s="60"/>
      <c r="N35" s="60" t="s">
        <v>155</v>
      </c>
      <c r="O35" s="60" t="s">
        <v>176</v>
      </c>
      <c r="P35" s="60" t="s">
        <v>155</v>
      </c>
    </row>
    <row r="36" spans="2:18" ht="12.75" customHeight="1" x14ac:dyDescent="0.25">
      <c r="B36" s="70" t="s">
        <v>130</v>
      </c>
      <c r="F36" s="70" t="s">
        <v>118</v>
      </c>
      <c r="N36" s="39">
        <f>'Calculation income level'!N24</f>
        <v>133303</v>
      </c>
      <c r="O36" s="39">
        <f>'Calculation income level'!O24</f>
        <v>939.57500000000016</v>
      </c>
      <c r="P36" s="39">
        <f>'Calculation income level'!P24</f>
        <v>2001.3501547477363</v>
      </c>
    </row>
    <row r="37" spans="2:18" ht="12.75" customHeight="1" x14ac:dyDescent="0.25"/>
    <row r="38" spans="2:18" ht="12.75" customHeight="1" x14ac:dyDescent="0.25">
      <c r="B38" s="70" t="s">
        <v>178</v>
      </c>
      <c r="F38" s="70" t="s">
        <v>8</v>
      </c>
      <c r="N38" s="21"/>
      <c r="O38" s="113">
        <f>'Data on volumes and tariffs'!O35</f>
        <v>0.249322912932291</v>
      </c>
      <c r="P38" s="21"/>
    </row>
    <row r="39" spans="2:18" ht="12.75" customHeight="1" x14ac:dyDescent="0.25"/>
    <row r="40" spans="2:18" ht="12.75" customHeight="1" x14ac:dyDescent="0.25">
      <c r="B40" s="66" t="s">
        <v>179</v>
      </c>
    </row>
    <row r="41" spans="2:18" ht="12.75" customHeight="1" x14ac:dyDescent="0.25">
      <c r="B41" s="70" t="s">
        <v>323</v>
      </c>
      <c r="F41" s="70" t="s">
        <v>311</v>
      </c>
      <c r="N41" s="110">
        <f>'Tariffs electricity'!M82</f>
        <v>0.27359223217503092</v>
      </c>
      <c r="O41" s="21"/>
      <c r="P41" s="21"/>
    </row>
    <row r="42" spans="2:18" ht="12.75" customHeight="1" x14ac:dyDescent="0.25">
      <c r="B42" s="70" t="s">
        <v>164</v>
      </c>
      <c r="F42" s="70" t="s">
        <v>165</v>
      </c>
      <c r="N42" s="36">
        <f>'Data on volumes and tariffs'!N32</f>
        <v>3.4550162121682879</v>
      </c>
      <c r="O42" s="21"/>
      <c r="P42" s="21"/>
    </row>
    <row r="43" spans="2:18" ht="12.75" customHeight="1" x14ac:dyDescent="0.25">
      <c r="B43" s="70" t="s">
        <v>177</v>
      </c>
      <c r="F43" s="70" t="s">
        <v>315</v>
      </c>
      <c r="N43" s="75">
        <v>0</v>
      </c>
      <c r="O43" s="21"/>
      <c r="P43" s="21"/>
      <c r="R43" s="70" t="s">
        <v>444</v>
      </c>
    </row>
    <row r="44" spans="2:18" ht="12.75" customHeight="1" x14ac:dyDescent="0.25">
      <c r="B44" s="70" t="s">
        <v>463</v>
      </c>
      <c r="F44" s="70" t="s">
        <v>269</v>
      </c>
      <c r="N44" s="71">
        <f>N36*N41*N42+N43*12</f>
        <v>126006.73996860909</v>
      </c>
      <c r="O44" s="21"/>
      <c r="P44" s="21"/>
    </row>
    <row r="45" spans="2:18" ht="12.75" customHeight="1" x14ac:dyDescent="0.25">
      <c r="B45" s="70" t="s">
        <v>195</v>
      </c>
      <c r="F45" s="70" t="s">
        <v>324</v>
      </c>
      <c r="N45" s="112">
        <f>N44/N36</f>
        <v>0.94526559768804219</v>
      </c>
      <c r="O45" s="21"/>
      <c r="P45" s="21"/>
    </row>
    <row r="46" spans="2:18" ht="12.75" customHeight="1" x14ac:dyDescent="0.25"/>
    <row r="47" spans="2:18" ht="12.75" customHeight="1" x14ac:dyDescent="0.25">
      <c r="B47" s="69" t="s">
        <v>254</v>
      </c>
    </row>
    <row r="48" spans="2:18" ht="12.75" customHeight="1" x14ac:dyDescent="0.25">
      <c r="B48" s="70" t="s">
        <v>325</v>
      </c>
      <c r="F48" s="70" t="s">
        <v>102</v>
      </c>
      <c r="N48" s="21"/>
      <c r="O48" s="111">
        <f>'Data on volumes and tariffs'!O40</f>
        <v>261.94083999999998</v>
      </c>
      <c r="P48" s="21"/>
    </row>
    <row r="49" spans="2:18" ht="12.75" customHeight="1" x14ac:dyDescent="0.25">
      <c r="B49" s="70" t="s">
        <v>326</v>
      </c>
      <c r="F49" s="70" t="s">
        <v>102</v>
      </c>
      <c r="N49" s="21"/>
      <c r="O49" s="111">
        <f>'Data on volumes and tariffs'!O41</f>
        <v>181.91454999999999</v>
      </c>
      <c r="P49" s="21"/>
    </row>
    <row r="50" spans="2:18" ht="12.75" customHeight="1" x14ac:dyDescent="0.25"/>
    <row r="51" spans="2:18" s="67" customFormat="1" ht="12.75" customHeight="1" x14ac:dyDescent="0.25">
      <c r="B51" s="56" t="s">
        <v>96</v>
      </c>
    </row>
    <row r="52" spans="2:18" ht="12.75" customHeight="1" x14ac:dyDescent="0.25"/>
    <row r="53" spans="2:18" ht="12.75" customHeight="1" x14ac:dyDescent="0.25">
      <c r="B53" s="66" t="s">
        <v>464</v>
      </c>
    </row>
    <row r="54" spans="2:18" ht="12.75" customHeight="1" x14ac:dyDescent="0.25">
      <c r="B54" s="70" t="s">
        <v>194</v>
      </c>
      <c r="F54" s="70" t="s">
        <v>324</v>
      </c>
      <c r="N54" s="100">
        <f>N30/N36</f>
        <v>3.7612071360797006</v>
      </c>
      <c r="O54" s="21"/>
      <c r="P54" s="21"/>
    </row>
    <row r="55" spans="2:18" ht="12.75" customHeight="1" x14ac:dyDescent="0.25">
      <c r="B55" s="70" t="s">
        <v>195</v>
      </c>
      <c r="F55" s="70" t="s">
        <v>324</v>
      </c>
      <c r="N55" s="41">
        <f>N45</f>
        <v>0.94526559768804219</v>
      </c>
      <c r="O55" s="21"/>
      <c r="P55" s="21"/>
    </row>
    <row r="56" spans="2:18" ht="12.75" customHeight="1" x14ac:dyDescent="0.25">
      <c r="B56" s="70" t="s">
        <v>196</v>
      </c>
      <c r="F56" s="70" t="s">
        <v>324</v>
      </c>
      <c r="N56" s="200">
        <f>N54+N55</f>
        <v>4.7064727337677432</v>
      </c>
      <c r="O56" s="21"/>
      <c r="P56" s="21"/>
    </row>
    <row r="57" spans="2:18" ht="12.75" customHeight="1" x14ac:dyDescent="0.25">
      <c r="B57" s="70" t="s">
        <v>465</v>
      </c>
      <c r="F57" s="70" t="s">
        <v>324</v>
      </c>
      <c r="N57" s="21"/>
      <c r="O57" s="112">
        <f>N56/(1-O38)</f>
        <v>6.269636858309001</v>
      </c>
      <c r="P57" s="21"/>
    </row>
    <row r="58" spans="2:18" ht="12.75" customHeight="1" x14ac:dyDescent="0.25">
      <c r="B58" s="70" t="s">
        <v>327</v>
      </c>
      <c r="F58" s="70" t="s">
        <v>269</v>
      </c>
      <c r="N58" s="21"/>
      <c r="O58" s="71">
        <f>O24+O28</f>
        <v>45675.416672628802</v>
      </c>
      <c r="P58" s="21"/>
      <c r="R58" s="70" t="s">
        <v>455</v>
      </c>
    </row>
    <row r="59" spans="2:18" ht="12.75" customHeight="1" x14ac:dyDescent="0.25">
      <c r="B59" s="27" t="s">
        <v>190</v>
      </c>
      <c r="F59" s="70" t="s">
        <v>324</v>
      </c>
      <c r="N59" s="21"/>
      <c r="O59" s="100">
        <f>O58/(N36*(1-O38))</f>
        <v>0.45644603033881437</v>
      </c>
      <c r="P59" s="21"/>
    </row>
    <row r="60" spans="2:18" ht="12.75" customHeight="1" x14ac:dyDescent="0.25">
      <c r="B60" s="70" t="s">
        <v>464</v>
      </c>
      <c r="F60" s="70" t="s">
        <v>324</v>
      </c>
      <c r="N60" s="21"/>
      <c r="O60" s="38">
        <f>O57+O59</f>
        <v>6.7260828886478157</v>
      </c>
      <c r="P60" s="21"/>
    </row>
    <row r="61" spans="2:18" ht="12.75" customHeight="1" x14ac:dyDescent="0.25"/>
    <row r="62" spans="2:18" ht="12.75" customHeight="1" x14ac:dyDescent="0.25">
      <c r="B62" s="66" t="s">
        <v>466</v>
      </c>
    </row>
    <row r="63" spans="2:18" ht="12.75" customHeight="1" x14ac:dyDescent="0.25">
      <c r="B63" s="70" t="s">
        <v>197</v>
      </c>
      <c r="F63" s="70" t="s">
        <v>315</v>
      </c>
      <c r="N63" s="21"/>
      <c r="O63" s="114">
        <f>O31/O36/12</f>
        <v>95.408211429755553</v>
      </c>
      <c r="P63" s="21"/>
      <c r="R63" s="130"/>
    </row>
    <row r="64" spans="2:18" ht="12.75" customHeight="1" x14ac:dyDescent="0.25"/>
    <row r="65" spans="1:18" ht="12.75" customHeight="1" x14ac:dyDescent="0.25">
      <c r="B65" s="66" t="s">
        <v>328</v>
      </c>
    </row>
    <row r="66" spans="1:18" ht="12.75" customHeight="1" x14ac:dyDescent="0.25">
      <c r="B66" s="70" t="s">
        <v>30</v>
      </c>
      <c r="F66" s="70" t="s">
        <v>269</v>
      </c>
      <c r="N66" s="21"/>
      <c r="O66" s="115">
        <f>'Data on volumes and tariffs'!O47</f>
        <v>40</v>
      </c>
      <c r="P66" s="21"/>
      <c r="R66" s="70" t="s">
        <v>189</v>
      </c>
    </row>
    <row r="67" spans="1:18" ht="12.75" customHeight="1" x14ac:dyDescent="0.25"/>
    <row r="68" spans="1:18" ht="12.75" customHeight="1" x14ac:dyDescent="0.25">
      <c r="B68" s="66" t="s">
        <v>186</v>
      </c>
    </row>
    <row r="69" spans="1:18" ht="12.75" customHeight="1" x14ac:dyDescent="0.25">
      <c r="B69" s="70" t="s">
        <v>180</v>
      </c>
      <c r="F69" s="70" t="s">
        <v>269</v>
      </c>
      <c r="N69" s="21"/>
      <c r="O69" s="115">
        <f>O48*(1+$H$16)</f>
        <v>253.29679227999998</v>
      </c>
      <c r="P69" s="21"/>
    </row>
    <row r="70" spans="1:18" ht="12.75" customHeight="1" x14ac:dyDescent="0.25">
      <c r="B70" s="70" t="s">
        <v>181</v>
      </c>
      <c r="F70" s="70" t="s">
        <v>269</v>
      </c>
      <c r="N70" s="21"/>
      <c r="O70" s="115">
        <f>O49*(1+$H$16)</f>
        <v>175.91136985</v>
      </c>
      <c r="P70" s="21"/>
    </row>
    <row r="71" spans="1:18" ht="12.75" customHeight="1" x14ac:dyDescent="0.25"/>
    <row r="72" spans="1:18" ht="12.75" customHeight="1" x14ac:dyDescent="0.25">
      <c r="B72" s="66" t="s">
        <v>182</v>
      </c>
    </row>
    <row r="73" spans="1:18" ht="12.75" customHeight="1" x14ac:dyDescent="0.25">
      <c r="B73" s="70" t="s">
        <v>183</v>
      </c>
      <c r="F73" s="70" t="s">
        <v>324</v>
      </c>
      <c r="N73" s="21"/>
      <c r="O73" s="21"/>
      <c r="P73" s="116">
        <f>P32/P36</f>
        <v>8.7623832713339471</v>
      </c>
    </row>
    <row r="74" spans="1:18" ht="12.75" customHeight="1" x14ac:dyDescent="0.25">
      <c r="A74" s="138"/>
      <c r="B74" s="70" t="s">
        <v>184</v>
      </c>
      <c r="F74" s="70" t="s">
        <v>324</v>
      </c>
      <c r="N74" s="21"/>
      <c r="O74" s="21"/>
      <c r="P74" s="117">
        <f>N56</f>
        <v>4.7064727337677432</v>
      </c>
    </row>
    <row r="75" spans="1:18" ht="12.75" customHeight="1" x14ac:dyDescent="0.25">
      <c r="B75" s="70" t="s">
        <v>467</v>
      </c>
      <c r="F75" s="70" t="s">
        <v>324</v>
      </c>
      <c r="N75" s="21"/>
      <c r="O75" s="21"/>
      <c r="P75" s="119">
        <f>P73+P74</f>
        <v>13.46885600510169</v>
      </c>
    </row>
    <row r="76" spans="1:18" ht="12.75" customHeight="1" x14ac:dyDescent="0.25"/>
    <row r="77" spans="1:18" ht="12.75" customHeight="1" x14ac:dyDescent="0.25"/>
    <row r="78" spans="1:18" ht="12.75" customHeight="1" x14ac:dyDescent="0.25"/>
    <row r="79" spans="1:18" ht="12.75" customHeight="1" x14ac:dyDescent="0.25">
      <c r="B79" s="70" t="s">
        <v>191</v>
      </c>
    </row>
    <row r="80" spans="1:18"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x14ac:dyDescent="0.25"/>
  <cols>
    <col min="1" max="16384" width="9.140625" style="26"/>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36"/>
  <sheetViews>
    <sheetView showGridLines="0" zoomScale="85" zoomScaleNormal="85" workbookViewId="0">
      <pane xSplit="6" ySplit="14" topLeftCell="G15" activePane="bottomRight" state="frozen"/>
      <selection pane="topRight" activeCell="G1" sqref="G1"/>
      <selection pane="bottomLeft" activeCell="A15" sqref="A15"/>
      <selection pane="bottomRight" activeCell="G15" sqref="G15"/>
    </sheetView>
  </sheetViews>
  <sheetFormatPr defaultRowHeight="12.75" x14ac:dyDescent="0.25"/>
  <cols>
    <col min="1" max="1" width="4" style="51" customWidth="1"/>
    <col min="2" max="2" width="41.42578125" style="51" customWidth="1"/>
    <col min="3" max="5" width="4.5703125" style="51" customWidth="1"/>
    <col min="6" max="6" width="13.7109375" style="51" customWidth="1"/>
    <col min="7" max="7" width="2.7109375" style="51" customWidth="1"/>
    <col min="8" max="8" width="13.7109375" style="51" customWidth="1"/>
    <col min="9" max="9" width="2.7109375" style="51" customWidth="1"/>
    <col min="10" max="10" width="13.7109375" style="51" customWidth="1"/>
    <col min="11" max="11" width="2.7109375" style="51" customWidth="1"/>
    <col min="12" max="13" width="21.7109375" style="51" customWidth="1"/>
    <col min="14" max="16" width="21.7109375" style="70" customWidth="1"/>
    <col min="17" max="17" width="2.7109375" style="51" customWidth="1"/>
    <col min="18" max="18" width="36.7109375" style="51" customWidth="1"/>
    <col min="19" max="19" width="2.7109375" style="51" customWidth="1"/>
    <col min="20" max="20" width="13.7109375" style="51" customWidth="1"/>
    <col min="21" max="21" width="2.7109375" style="51" customWidth="1"/>
    <col min="22" max="36" width="13.7109375" style="51" customWidth="1"/>
    <col min="37" max="16384" width="9.140625" style="51"/>
  </cols>
  <sheetData>
    <row r="1" spans="1:20" x14ac:dyDescent="0.25">
      <c r="A1" s="70"/>
    </row>
    <row r="2" spans="1:20" s="24" customFormat="1" ht="18" x14ac:dyDescent="0.25">
      <c r="B2" s="24" t="s">
        <v>149</v>
      </c>
    </row>
    <row r="3" spans="1:20" x14ac:dyDescent="0.25">
      <c r="A3" s="70"/>
    </row>
    <row r="4" spans="1:20" ht="15" x14ac:dyDescent="0.25">
      <c r="A4" s="70"/>
      <c r="B4" s="48" t="s">
        <v>45</v>
      </c>
      <c r="C4" s="8"/>
      <c r="D4" s="8"/>
      <c r="L4" s="59"/>
    </row>
    <row r="5" spans="1:20" x14ac:dyDescent="0.25">
      <c r="A5" s="70"/>
      <c r="B5" s="27" t="s">
        <v>151</v>
      </c>
      <c r="C5" s="27"/>
      <c r="D5" s="27"/>
      <c r="H5" s="25"/>
    </row>
    <row r="6" spans="1:20" x14ac:dyDescent="0.25">
      <c r="A6" s="70"/>
      <c r="B6" s="27"/>
      <c r="C6" s="27"/>
      <c r="D6" s="27"/>
      <c r="H6" s="25"/>
    </row>
    <row r="7" spans="1:20" x14ac:dyDescent="0.25">
      <c r="A7" s="70"/>
      <c r="B7" s="60" t="s">
        <v>46</v>
      </c>
      <c r="C7" s="27"/>
      <c r="D7" s="27"/>
      <c r="H7" s="25"/>
    </row>
    <row r="8" spans="1:20" x14ac:dyDescent="0.25">
      <c r="A8" s="70"/>
      <c r="B8" s="27" t="s">
        <v>47</v>
      </c>
      <c r="C8" s="27"/>
      <c r="D8" s="27"/>
    </row>
    <row r="9" spans="1:20" x14ac:dyDescent="0.25">
      <c r="A9" s="70"/>
      <c r="B9" s="27" t="s">
        <v>48</v>
      </c>
      <c r="C9" s="27"/>
      <c r="D9" s="27"/>
    </row>
    <row r="10" spans="1:20" x14ac:dyDescent="0.25">
      <c r="A10" s="70"/>
    </row>
    <row r="11" spans="1:20" x14ac:dyDescent="0.25">
      <c r="A11" s="70"/>
      <c r="B11" s="11" t="s">
        <v>433</v>
      </c>
    </row>
    <row r="12" spans="1:20" x14ac:dyDescent="0.25">
      <c r="A12" s="70"/>
    </row>
    <row r="13" spans="1:20" s="49" customFormat="1" x14ac:dyDescent="0.25">
      <c r="A13" s="67"/>
      <c r="B13" s="49" t="s">
        <v>37</v>
      </c>
      <c r="F13" s="49" t="s">
        <v>38</v>
      </c>
      <c r="H13" s="49" t="s">
        <v>6</v>
      </c>
      <c r="J13" s="49" t="s">
        <v>7</v>
      </c>
      <c r="L13" s="67" t="s">
        <v>42</v>
      </c>
      <c r="M13" s="67" t="s">
        <v>43</v>
      </c>
      <c r="N13" s="67" t="s">
        <v>153</v>
      </c>
      <c r="O13" s="67" t="s">
        <v>154</v>
      </c>
      <c r="P13" s="67" t="s">
        <v>157</v>
      </c>
      <c r="R13" s="49" t="s">
        <v>21</v>
      </c>
      <c r="T13" s="49" t="s">
        <v>49</v>
      </c>
    </row>
    <row r="14" spans="1:20" x14ac:dyDescent="0.25">
      <c r="A14" s="70"/>
    </row>
    <row r="15" spans="1:20" x14ac:dyDescent="0.25">
      <c r="A15" s="70"/>
    </row>
    <row r="16" spans="1:20" s="49" customFormat="1" x14ac:dyDescent="0.25">
      <c r="A16" s="67"/>
      <c r="B16" s="49" t="s">
        <v>32</v>
      </c>
      <c r="H16" s="67"/>
      <c r="N16" s="67"/>
      <c r="O16" s="67"/>
      <c r="P16" s="67"/>
    </row>
    <row r="17" spans="1:20" x14ac:dyDescent="0.25">
      <c r="A17" s="70"/>
    </row>
    <row r="18" spans="1:20" x14ac:dyDescent="0.25">
      <c r="A18" s="70"/>
      <c r="B18" s="70" t="s">
        <v>97</v>
      </c>
      <c r="C18" s="70"/>
      <c r="D18" s="70"/>
      <c r="E18" s="70"/>
      <c r="F18" s="70" t="s">
        <v>8</v>
      </c>
      <c r="H18" s="43">
        <v>7.0000000000000001E-3</v>
      </c>
      <c r="L18" s="70"/>
      <c r="M18" s="70"/>
      <c r="R18" s="70" t="s">
        <v>115</v>
      </c>
    </row>
    <row r="19" spans="1:20" x14ac:dyDescent="0.25">
      <c r="A19" s="70"/>
      <c r="B19" s="70" t="s">
        <v>272</v>
      </c>
      <c r="F19" s="70" t="s">
        <v>8</v>
      </c>
      <c r="H19" s="43">
        <v>-3.3000000000000002E-2</v>
      </c>
      <c r="L19" s="70"/>
      <c r="M19" s="70"/>
      <c r="R19" s="51" t="s">
        <v>115</v>
      </c>
      <c r="T19" s="70"/>
    </row>
    <row r="20" spans="1:20" x14ac:dyDescent="0.25">
      <c r="A20" s="70"/>
    </row>
    <row r="21" spans="1:20" s="49" customFormat="1" x14ac:dyDescent="0.25">
      <c r="A21" s="67"/>
      <c r="B21" s="49" t="s">
        <v>50</v>
      </c>
      <c r="H21" s="84"/>
      <c r="L21" s="61"/>
      <c r="M21" s="61"/>
      <c r="N21" s="61"/>
      <c r="O21" s="61"/>
      <c r="P21" s="61"/>
    </row>
    <row r="22" spans="1:20" x14ac:dyDescent="0.25">
      <c r="A22" s="70"/>
    </row>
    <row r="23" spans="1:20" x14ac:dyDescent="0.25">
      <c r="A23" s="70"/>
      <c r="B23" s="70" t="s">
        <v>271</v>
      </c>
      <c r="C23" s="70"/>
      <c r="D23" s="70"/>
      <c r="E23" s="70"/>
      <c r="F23" s="70" t="s">
        <v>8</v>
      </c>
      <c r="H23" s="7">
        <v>6.0100000000000001E-2</v>
      </c>
      <c r="L23" s="70"/>
      <c r="M23" s="70"/>
      <c r="R23" s="51" t="s">
        <v>104</v>
      </c>
    </row>
    <row r="24" spans="1:20" x14ac:dyDescent="0.25">
      <c r="A24" s="70"/>
    </row>
    <row r="25" spans="1:20" s="67" customFormat="1" x14ac:dyDescent="0.25">
      <c r="B25" s="67" t="s">
        <v>116</v>
      </c>
    </row>
    <row r="26" spans="1:20" s="70" customFormat="1" x14ac:dyDescent="0.25"/>
    <row r="27" spans="1:20" s="70" customFormat="1" x14ac:dyDescent="0.25">
      <c r="B27" s="70" t="s">
        <v>117</v>
      </c>
      <c r="F27" s="70" t="s">
        <v>8</v>
      </c>
      <c r="L27" s="136">
        <v>0.19410125059831115</v>
      </c>
      <c r="M27" s="136">
        <v>0.27580884597893079</v>
      </c>
      <c r="N27" s="136">
        <v>0.12889013723645187</v>
      </c>
      <c r="O27" s="136">
        <v>0.30232576550308171</v>
      </c>
      <c r="P27" s="136">
        <v>0.30232576550308171</v>
      </c>
      <c r="T27" s="70" t="s">
        <v>135</v>
      </c>
    </row>
    <row r="28" spans="1:20" s="70" customFormat="1" x14ac:dyDescent="0.25">
      <c r="B28" s="70" t="s">
        <v>134</v>
      </c>
      <c r="F28" s="70" t="s">
        <v>8</v>
      </c>
      <c r="L28" s="136">
        <v>0</v>
      </c>
      <c r="M28" s="136">
        <v>0.5</v>
      </c>
      <c r="N28" s="136">
        <v>0</v>
      </c>
      <c r="O28" s="136">
        <v>0.5</v>
      </c>
      <c r="P28" s="136">
        <v>0.5</v>
      </c>
      <c r="T28" s="70" t="s">
        <v>144</v>
      </c>
    </row>
    <row r="29" spans="1:20" s="138" customFormat="1" x14ac:dyDescent="0.25"/>
    <row r="30" spans="1:20" s="67" customFormat="1" x14ac:dyDescent="0.25">
      <c r="B30" s="67" t="s">
        <v>255</v>
      </c>
    </row>
    <row r="31" spans="1:20" s="138" customFormat="1" x14ac:dyDescent="0.25"/>
    <row r="32" spans="1:20" s="138" customFormat="1" x14ac:dyDescent="0.25">
      <c r="B32" s="138" t="s">
        <v>256</v>
      </c>
      <c r="F32" s="138" t="s">
        <v>8</v>
      </c>
      <c r="H32" s="43">
        <v>0.01</v>
      </c>
      <c r="T32" s="138" t="s">
        <v>432</v>
      </c>
    </row>
    <row r="33" spans="1:2" x14ac:dyDescent="0.25">
      <c r="A33" s="70"/>
    </row>
    <row r="34" spans="1:2" x14ac:dyDescent="0.25">
      <c r="A34" s="70"/>
    </row>
    <row r="35" spans="1:2" x14ac:dyDescent="0.25">
      <c r="A35" s="70"/>
      <c r="B35" s="51" t="s">
        <v>191</v>
      </c>
    </row>
    <row r="36" spans="1:2" x14ac:dyDescent="0.25">
      <c r="A36" s="7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T54"/>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x14ac:dyDescent="0.25"/>
  <cols>
    <col min="1" max="1" width="4" style="9" customWidth="1"/>
    <col min="2" max="2" width="41.42578125" style="9" customWidth="1"/>
    <col min="3" max="5" width="4.5703125" style="9" customWidth="1"/>
    <col min="6" max="6" width="13.710937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3" width="21.7109375" style="9" customWidth="1"/>
    <col min="14" max="16" width="21.7109375" style="70" customWidth="1"/>
    <col min="17" max="17" width="2.7109375" style="9" customWidth="1"/>
    <col min="18" max="18" width="43.28515625" style="9" customWidth="1"/>
    <col min="19" max="19" width="5.5703125" style="9" customWidth="1"/>
    <col min="20" max="20" width="13.7109375" style="9" customWidth="1"/>
    <col min="21" max="21" width="2.7109375" style="9" customWidth="1"/>
    <col min="22" max="36" width="13.7109375" style="9" customWidth="1"/>
    <col min="37" max="16384" width="9.140625" style="9"/>
  </cols>
  <sheetData>
    <row r="1" spans="1:20" x14ac:dyDescent="0.25">
      <c r="A1" s="70"/>
    </row>
    <row r="2" spans="1:20" s="24" customFormat="1" ht="18" x14ac:dyDescent="0.25">
      <c r="B2" s="24" t="s">
        <v>51</v>
      </c>
    </row>
    <row r="3" spans="1:20" x14ac:dyDescent="0.25">
      <c r="A3" s="70"/>
    </row>
    <row r="4" spans="1:20" x14ac:dyDescent="0.25">
      <c r="A4" s="70"/>
      <c r="B4" s="8" t="s">
        <v>3</v>
      </c>
      <c r="C4" s="8"/>
      <c r="D4" s="8"/>
    </row>
    <row r="5" spans="1:20" x14ac:dyDescent="0.25">
      <c r="A5" s="70"/>
      <c r="B5" s="27" t="s">
        <v>150</v>
      </c>
      <c r="C5" s="10"/>
      <c r="D5" s="10"/>
      <c r="H5" s="25"/>
    </row>
    <row r="6" spans="1:20" x14ac:dyDescent="0.25">
      <c r="A6" s="70"/>
      <c r="B6" s="27" t="s">
        <v>329</v>
      </c>
      <c r="C6" s="10"/>
      <c r="D6" s="10"/>
      <c r="H6" s="25"/>
    </row>
    <row r="7" spans="1:20" x14ac:dyDescent="0.25">
      <c r="A7" s="70"/>
    </row>
    <row r="8" spans="1:20" s="67" customFormat="1" x14ac:dyDescent="0.25">
      <c r="B8" s="67" t="s">
        <v>4</v>
      </c>
      <c r="F8" s="67" t="s">
        <v>5</v>
      </c>
      <c r="H8" s="67" t="s">
        <v>9</v>
      </c>
      <c r="J8" s="67" t="s">
        <v>10</v>
      </c>
      <c r="L8" s="67" t="s">
        <v>42</v>
      </c>
      <c r="M8" s="67" t="s">
        <v>43</v>
      </c>
      <c r="N8" s="56" t="s">
        <v>153</v>
      </c>
      <c r="O8" s="56" t="s">
        <v>154</v>
      </c>
      <c r="P8" s="67" t="s">
        <v>157</v>
      </c>
      <c r="R8" s="67" t="s">
        <v>21</v>
      </c>
      <c r="T8" s="67" t="s">
        <v>39</v>
      </c>
    </row>
    <row r="9" spans="1:20" x14ac:dyDescent="0.25">
      <c r="A9" s="70"/>
    </row>
    <row r="10" spans="1:20" s="15" customFormat="1" x14ac:dyDescent="0.25">
      <c r="A10" s="67"/>
      <c r="B10" s="15" t="s">
        <v>330</v>
      </c>
      <c r="N10" s="67"/>
      <c r="O10" s="67"/>
      <c r="P10" s="67"/>
    </row>
    <row r="11" spans="1:20" x14ac:dyDescent="0.25">
      <c r="A11" s="70"/>
    </row>
    <row r="12" spans="1:20" x14ac:dyDescent="0.25">
      <c r="A12" s="70"/>
      <c r="B12" s="60" t="s">
        <v>126</v>
      </c>
    </row>
    <row r="13" spans="1:20" x14ac:dyDescent="0.25">
      <c r="A13" s="70"/>
      <c r="B13" s="70" t="s">
        <v>331</v>
      </c>
      <c r="F13" s="9" t="s">
        <v>31</v>
      </c>
      <c r="J13" s="34">
        <f>SUM(L13:P13)</f>
        <v>3876998.5901853037</v>
      </c>
      <c r="L13" s="128">
        <v>1904050.2302020853</v>
      </c>
      <c r="M13" s="128">
        <v>657869.14239412756</v>
      </c>
      <c r="N13" s="128">
        <v>492369.85370645265</v>
      </c>
      <c r="O13" s="128">
        <v>822709.3638826384</v>
      </c>
      <c r="P13" s="88"/>
      <c r="R13" s="9" t="s">
        <v>399</v>
      </c>
    </row>
    <row r="14" spans="1:20" x14ac:dyDescent="0.25">
      <c r="A14" s="70"/>
      <c r="B14" s="70" t="s">
        <v>275</v>
      </c>
      <c r="F14" s="9" t="s">
        <v>31</v>
      </c>
      <c r="J14" s="71">
        <f>SUM(L14:P14)</f>
        <v>145318.57999999999</v>
      </c>
      <c r="L14" s="128">
        <v>332.40516183827208</v>
      </c>
      <c r="M14" s="128">
        <v>116427.32801930938</v>
      </c>
      <c r="N14" s="128">
        <v>104.75536367377158</v>
      </c>
      <c r="O14" s="128">
        <v>28454.091455178568</v>
      </c>
      <c r="P14" s="88"/>
      <c r="R14" s="138" t="s">
        <v>400</v>
      </c>
    </row>
    <row r="15" spans="1:20" s="138" customFormat="1" x14ac:dyDescent="0.25">
      <c r="B15" s="138" t="s">
        <v>456</v>
      </c>
      <c r="F15" s="138" t="s">
        <v>31</v>
      </c>
      <c r="J15" s="141">
        <f>SUM(L15:P15)</f>
        <v>17179.658049234717</v>
      </c>
      <c r="L15" s="88"/>
      <c r="M15" s="128">
        <v>16730.706490632838</v>
      </c>
      <c r="N15" s="88"/>
      <c r="O15" s="128">
        <v>448.95155860187822</v>
      </c>
      <c r="P15" s="88"/>
      <c r="R15" s="138" t="s">
        <v>457</v>
      </c>
    </row>
    <row r="16" spans="1:20" x14ac:dyDescent="0.25">
      <c r="A16" s="70"/>
      <c r="J16" s="44"/>
    </row>
    <row r="17" spans="1:20" x14ac:dyDescent="0.25">
      <c r="A17" s="70"/>
      <c r="B17" s="60" t="s">
        <v>127</v>
      </c>
      <c r="J17" s="44"/>
      <c r="P17" s="44"/>
    </row>
    <row r="18" spans="1:20" x14ac:dyDescent="0.25">
      <c r="A18" s="70"/>
      <c r="B18" s="70" t="s">
        <v>332</v>
      </c>
      <c r="F18" s="9" t="s">
        <v>98</v>
      </c>
      <c r="J18" s="71">
        <f>SUM(L18:P18)</f>
        <v>5424245.2912942618</v>
      </c>
      <c r="L18" s="128">
        <v>2949735.6692770356</v>
      </c>
      <c r="M18" s="128">
        <v>1412121.1811824446</v>
      </c>
      <c r="N18" s="128">
        <v>390276.50393205974</v>
      </c>
      <c r="O18" s="128">
        <v>672111.93690272106</v>
      </c>
      <c r="P18" s="88"/>
      <c r="R18" s="9" t="s">
        <v>401</v>
      </c>
      <c r="T18" s="9" t="s">
        <v>137</v>
      </c>
    </row>
    <row r="19" spans="1:20" x14ac:dyDescent="0.25">
      <c r="A19" s="70"/>
      <c r="B19" s="70" t="s">
        <v>333</v>
      </c>
      <c r="F19" s="9" t="s">
        <v>98</v>
      </c>
      <c r="J19" s="71">
        <f>SUM(L19:P19)</f>
        <v>582264.79638419324</v>
      </c>
      <c r="L19" s="128">
        <v>321792.80314421421</v>
      </c>
      <c r="M19" s="128">
        <v>145818.62407679949</v>
      </c>
      <c r="N19" s="128">
        <v>44626.098002628001</v>
      </c>
      <c r="O19" s="128">
        <v>70027.271160551521</v>
      </c>
      <c r="P19" s="88"/>
      <c r="R19" s="138" t="s">
        <v>402</v>
      </c>
      <c r="T19" s="9" t="s">
        <v>136</v>
      </c>
    </row>
    <row r="20" spans="1:20" x14ac:dyDescent="0.25">
      <c r="A20" s="70"/>
    </row>
    <row r="21" spans="1:20" s="57" customFormat="1" x14ac:dyDescent="0.25">
      <c r="A21" s="67"/>
      <c r="B21" s="57" t="s">
        <v>334</v>
      </c>
    </row>
    <row r="22" spans="1:20" x14ac:dyDescent="0.25">
      <c r="A22" s="70"/>
    </row>
    <row r="23" spans="1:20" s="138" customFormat="1" x14ac:dyDescent="0.25">
      <c r="B23" s="66" t="s">
        <v>459</v>
      </c>
      <c r="N23" s="90"/>
    </row>
    <row r="24" spans="1:20" s="70" customFormat="1" x14ac:dyDescent="0.25">
      <c r="B24" s="27" t="s">
        <v>161</v>
      </c>
      <c r="F24" s="70" t="s">
        <v>192</v>
      </c>
      <c r="J24" s="55"/>
      <c r="L24" s="55"/>
      <c r="M24" s="55"/>
      <c r="N24" s="120">
        <v>44165</v>
      </c>
      <c r="O24" s="55"/>
      <c r="P24" s="55"/>
      <c r="T24" s="138" t="s">
        <v>438</v>
      </c>
    </row>
    <row r="25" spans="1:20" x14ac:dyDescent="0.25">
      <c r="A25" s="138"/>
      <c r="B25" s="27" t="s">
        <v>159</v>
      </c>
      <c r="F25" s="9" t="s">
        <v>98</v>
      </c>
      <c r="J25" s="71">
        <f>SUM(L25:P25)</f>
        <v>792250</v>
      </c>
      <c r="L25" s="55"/>
      <c r="M25" s="55"/>
      <c r="N25" s="142">
        <v>792250</v>
      </c>
      <c r="O25" s="55"/>
      <c r="P25" s="55"/>
      <c r="R25" s="138" t="s">
        <v>431</v>
      </c>
    </row>
    <row r="26" spans="1:20" x14ac:dyDescent="0.25">
      <c r="A26" s="70"/>
      <c r="B26" s="9" t="s">
        <v>160</v>
      </c>
      <c r="F26" s="9" t="s">
        <v>8</v>
      </c>
      <c r="J26" s="55"/>
      <c r="L26" s="55"/>
      <c r="M26" s="55"/>
      <c r="N26" s="7">
        <v>0.04</v>
      </c>
      <c r="O26" s="55"/>
      <c r="P26" s="55"/>
      <c r="R26" s="9" t="s">
        <v>436</v>
      </c>
      <c r="T26" s="9" t="s">
        <v>437</v>
      </c>
    </row>
    <row r="27" spans="1:20" x14ac:dyDescent="0.25">
      <c r="A27" s="70"/>
      <c r="B27" s="9" t="s">
        <v>434</v>
      </c>
      <c r="F27" s="138" t="s">
        <v>98</v>
      </c>
      <c r="J27" s="71">
        <f>SUM(L27:P27)</f>
        <v>31690</v>
      </c>
      <c r="K27" s="70"/>
      <c r="L27" s="55"/>
      <c r="M27" s="55"/>
      <c r="N27" s="89">
        <f>N26*N25</f>
        <v>31690</v>
      </c>
      <c r="O27" s="55"/>
      <c r="P27" s="55"/>
      <c r="R27" s="138"/>
    </row>
    <row r="28" spans="1:20" s="138" customFormat="1" x14ac:dyDescent="0.25">
      <c r="B28" s="138" t="s">
        <v>435</v>
      </c>
      <c r="F28" s="138" t="s">
        <v>98</v>
      </c>
      <c r="J28" s="141">
        <f>SUM(L28:P28)</f>
        <v>789479.2896174863</v>
      </c>
      <c r="L28" s="55"/>
      <c r="M28" s="55"/>
      <c r="N28" s="89">
        <f>N25-(DATE(2021,1,1)-N24)/366*N27</f>
        <v>789479.2896174863</v>
      </c>
      <c r="O28" s="55"/>
      <c r="P28" s="55"/>
    </row>
    <row r="29" spans="1:20" x14ac:dyDescent="0.25">
      <c r="A29" s="70"/>
      <c r="B29" s="9" t="s">
        <v>336</v>
      </c>
      <c r="F29" s="9" t="s">
        <v>98</v>
      </c>
      <c r="J29" s="71">
        <f>SUM(L29:P29)</f>
        <v>757789.2896174863</v>
      </c>
      <c r="K29" s="70"/>
      <c r="L29" s="55"/>
      <c r="M29" s="55"/>
      <c r="N29" s="89">
        <f>N28-N27</f>
        <v>757789.2896174863</v>
      </c>
      <c r="O29" s="55"/>
      <c r="P29" s="55"/>
      <c r="R29" s="138"/>
    </row>
    <row r="30" spans="1:20" s="70" customFormat="1" x14ac:dyDescent="0.25">
      <c r="A30" s="138"/>
      <c r="B30" s="70" t="s">
        <v>337</v>
      </c>
      <c r="F30" s="70" t="s">
        <v>98</v>
      </c>
      <c r="J30" s="71">
        <f>SUM(L30:P30)</f>
        <v>773634.2896174863</v>
      </c>
      <c r="L30" s="55"/>
      <c r="M30" s="55"/>
      <c r="N30" s="141">
        <f>AVERAGE(N28,N29)</f>
        <v>773634.2896174863</v>
      </c>
      <c r="O30" s="55"/>
      <c r="P30" s="55"/>
      <c r="R30" s="138"/>
    </row>
    <row r="31" spans="1:20" s="138" customFormat="1" x14ac:dyDescent="0.25"/>
    <row r="32" spans="1:20" s="138" customFormat="1" x14ac:dyDescent="0.25">
      <c r="B32" s="66" t="s">
        <v>460</v>
      </c>
      <c r="N32" s="90"/>
    </row>
    <row r="33" spans="1:20" s="138" customFormat="1" x14ac:dyDescent="0.25">
      <c r="B33" s="27" t="s">
        <v>161</v>
      </c>
      <c r="F33" s="138" t="s">
        <v>192</v>
      </c>
      <c r="J33" s="55"/>
      <c r="L33" s="55"/>
      <c r="M33" s="55"/>
      <c r="N33" s="55"/>
      <c r="O33" s="120">
        <v>44165</v>
      </c>
      <c r="P33" s="55"/>
      <c r="T33" s="138" t="s">
        <v>438</v>
      </c>
    </row>
    <row r="34" spans="1:20" s="138" customFormat="1" x14ac:dyDescent="0.25">
      <c r="B34" s="27" t="s">
        <v>159</v>
      </c>
      <c r="F34" s="138" t="s">
        <v>98</v>
      </c>
      <c r="J34" s="141">
        <f>SUM(L34:P34)</f>
        <v>1043000</v>
      </c>
      <c r="L34" s="55"/>
      <c r="M34" s="55"/>
      <c r="N34" s="55"/>
      <c r="O34" s="142">
        <v>1043000</v>
      </c>
      <c r="P34" s="55"/>
      <c r="R34" s="138" t="s">
        <v>430</v>
      </c>
    </row>
    <row r="35" spans="1:20" s="138" customFormat="1" x14ac:dyDescent="0.25">
      <c r="B35" s="138" t="s">
        <v>160</v>
      </c>
      <c r="F35" s="138" t="s">
        <v>8</v>
      </c>
      <c r="J35" s="55"/>
      <c r="L35" s="55"/>
      <c r="M35" s="55"/>
      <c r="N35" s="55"/>
      <c r="O35" s="7">
        <v>0.05</v>
      </c>
      <c r="P35" s="55"/>
      <c r="T35" s="138" t="s">
        <v>450</v>
      </c>
    </row>
    <row r="36" spans="1:20" s="138" customFormat="1" x14ac:dyDescent="0.25">
      <c r="B36" s="138" t="s">
        <v>434</v>
      </c>
      <c r="F36" s="138" t="s">
        <v>98</v>
      </c>
      <c r="J36" s="141">
        <f>SUM(L36:P36)</f>
        <v>52150</v>
      </c>
      <c r="L36" s="55"/>
      <c r="M36" s="55"/>
      <c r="N36" s="55"/>
      <c r="O36" s="89">
        <f>O35*O34</f>
        <v>52150</v>
      </c>
      <c r="P36" s="55"/>
    </row>
    <row r="37" spans="1:20" s="138" customFormat="1" x14ac:dyDescent="0.25">
      <c r="B37" s="138" t="s">
        <v>435</v>
      </c>
      <c r="F37" s="138" t="s">
        <v>98</v>
      </c>
      <c r="J37" s="141">
        <f>SUM(L37:P37)</f>
        <v>1038440.4371584699</v>
      </c>
      <c r="L37" s="55"/>
      <c r="M37" s="55"/>
      <c r="N37" s="55"/>
      <c r="O37" s="89">
        <f>O34-(DATE(2021,1,1)-O33)/366*O36</f>
        <v>1038440.4371584699</v>
      </c>
      <c r="P37" s="55"/>
    </row>
    <row r="38" spans="1:20" s="138" customFormat="1" x14ac:dyDescent="0.25">
      <c r="B38" s="138" t="s">
        <v>336</v>
      </c>
      <c r="F38" s="138" t="s">
        <v>98</v>
      </c>
      <c r="J38" s="141">
        <f>SUM(L38:P38)</f>
        <v>986290.43715846993</v>
      </c>
      <c r="L38" s="55"/>
      <c r="M38" s="55"/>
      <c r="N38" s="55"/>
      <c r="O38" s="89">
        <f>O37-O36</f>
        <v>986290.43715846993</v>
      </c>
      <c r="P38" s="55"/>
    </row>
    <row r="39" spans="1:20" s="138" customFormat="1" x14ac:dyDescent="0.25">
      <c r="B39" s="138" t="s">
        <v>337</v>
      </c>
      <c r="F39" s="138" t="s">
        <v>98</v>
      </c>
      <c r="J39" s="141">
        <f>SUM(L39:P39)</f>
        <v>1012365.4371584699</v>
      </c>
      <c r="L39" s="55"/>
      <c r="M39" s="55"/>
      <c r="N39" s="55"/>
      <c r="O39" s="141">
        <f>AVERAGE(O37,O38)</f>
        <v>1012365.4371584699</v>
      </c>
      <c r="P39" s="55"/>
    </row>
    <row r="40" spans="1:20" s="138" customFormat="1" x14ac:dyDescent="0.25"/>
    <row r="41" spans="1:20" x14ac:dyDescent="0.25">
      <c r="A41" s="70"/>
      <c r="B41" s="66" t="s">
        <v>338</v>
      </c>
      <c r="R41" s="138"/>
    </row>
    <row r="42" spans="1:20" x14ac:dyDescent="0.25">
      <c r="A42" s="70"/>
      <c r="B42" s="9" t="s">
        <v>339</v>
      </c>
      <c r="F42" s="70" t="s">
        <v>98</v>
      </c>
      <c r="J42" s="71">
        <f>SUM(L42:P42)</f>
        <v>115595.5168130564</v>
      </c>
      <c r="L42" s="21"/>
      <c r="M42" s="21"/>
      <c r="N42" s="21"/>
      <c r="O42" s="142">
        <v>115595.5168130564</v>
      </c>
      <c r="P42" s="21"/>
      <c r="R42" s="9" t="s">
        <v>427</v>
      </c>
      <c r="T42" s="125" t="s">
        <v>439</v>
      </c>
    </row>
    <row r="43" spans="1:20" x14ac:dyDescent="0.25">
      <c r="A43" s="70"/>
      <c r="B43" s="70" t="s">
        <v>340</v>
      </c>
      <c r="F43" s="70" t="s">
        <v>98</v>
      </c>
      <c r="J43" s="71">
        <f>SUM(L43:P43)</f>
        <v>14471.615327308687</v>
      </c>
      <c r="L43" s="21"/>
      <c r="M43" s="21"/>
      <c r="N43" s="21"/>
      <c r="O43" s="142">
        <v>14471.615327308687</v>
      </c>
      <c r="P43" s="21"/>
      <c r="R43" s="138" t="s">
        <v>427</v>
      </c>
      <c r="T43" s="125" t="s">
        <v>440</v>
      </c>
    </row>
    <row r="44" spans="1:20" x14ac:dyDescent="0.25">
      <c r="A44" s="70"/>
    </row>
    <row r="45" spans="1:20" x14ac:dyDescent="0.25">
      <c r="A45" s="70"/>
    </row>
    <row r="46" spans="1:20" x14ac:dyDescent="0.25">
      <c r="A46" s="70"/>
    </row>
    <row r="47" spans="1:20" x14ac:dyDescent="0.25">
      <c r="A47" s="70"/>
      <c r="B47" s="9" t="s">
        <v>191</v>
      </c>
      <c r="N47" s="138"/>
    </row>
    <row r="48" spans="1:20" x14ac:dyDescent="0.25">
      <c r="A48" s="70"/>
      <c r="N48" s="138"/>
    </row>
    <row r="49" spans="1:14" x14ac:dyDescent="0.25">
      <c r="A49" s="70"/>
      <c r="N49" s="138"/>
    </row>
    <row r="50" spans="1:14" x14ac:dyDescent="0.25">
      <c r="A50" s="70"/>
      <c r="N50" s="138"/>
    </row>
    <row r="51" spans="1:14" x14ac:dyDescent="0.25">
      <c r="N51" s="138"/>
    </row>
    <row r="52" spans="1:14" x14ac:dyDescent="0.25">
      <c r="N52" s="138"/>
    </row>
    <row r="53" spans="1:14" x14ac:dyDescent="0.25">
      <c r="N53" s="138"/>
    </row>
    <row r="54" spans="1:14" x14ac:dyDescent="0.25">
      <c r="N54" s="138"/>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87"/>
  <sheetViews>
    <sheetView showGridLines="0" zoomScale="85" zoomScaleNormal="85" workbookViewId="0">
      <pane xSplit="6" ySplit="7" topLeftCell="G8" activePane="bottomRight" state="frozen"/>
      <selection activeCell="Q51" sqref="Q51"/>
      <selection pane="topRight" activeCell="Q51" sqref="Q51"/>
      <selection pane="bottomLeft" activeCell="Q51" sqref="Q51"/>
      <selection pane="bottomRight" activeCell="G8" sqref="G8"/>
    </sheetView>
  </sheetViews>
  <sheetFormatPr defaultRowHeight="12.75" x14ac:dyDescent="0.25"/>
  <cols>
    <col min="1" max="1" width="4" style="9" customWidth="1"/>
    <col min="2" max="2" width="50.7109375" style="9" customWidth="1"/>
    <col min="3" max="5" width="4.5703125" style="9" customWidth="1"/>
    <col min="6" max="6" width="13.7109375" style="9" customWidth="1"/>
    <col min="7" max="7" width="2.7109375" style="9" customWidth="1"/>
    <col min="8" max="8" width="13.7109375" style="9" customWidth="1"/>
    <col min="9" max="9" width="2.7109375" style="9" customWidth="1"/>
    <col min="10" max="10" width="13.7109375" style="9" customWidth="1"/>
    <col min="11" max="11" width="2.7109375" style="9" customWidth="1"/>
    <col min="12" max="13" width="21.7109375" style="9" customWidth="1"/>
    <col min="14" max="16" width="21.7109375" style="70" customWidth="1"/>
    <col min="17" max="17" width="2.7109375" style="9" customWidth="1"/>
    <col min="18" max="18" width="52.42578125" style="9" customWidth="1"/>
    <col min="19" max="19" width="2.7109375" style="9" customWidth="1"/>
    <col min="20" max="20" width="13.7109375" style="9" customWidth="1"/>
    <col min="21" max="21" width="2.7109375" style="9" customWidth="1"/>
    <col min="22" max="36" width="13.7109375" style="9" customWidth="1"/>
    <col min="37" max="16384" width="9.140625" style="9"/>
  </cols>
  <sheetData>
    <row r="1" spans="1:20" x14ac:dyDescent="0.25">
      <c r="A1" s="70"/>
    </row>
    <row r="2" spans="1:20" s="24" customFormat="1" ht="18" x14ac:dyDescent="0.25">
      <c r="B2" s="24" t="s">
        <v>52</v>
      </c>
    </row>
    <row r="3" spans="1:20" x14ac:dyDescent="0.25">
      <c r="A3" s="70"/>
    </row>
    <row r="4" spans="1:20" x14ac:dyDescent="0.25">
      <c r="A4" s="70"/>
      <c r="B4" s="8" t="s">
        <v>3</v>
      </c>
      <c r="C4" s="8"/>
      <c r="D4" s="8"/>
    </row>
    <row r="5" spans="1:20" x14ac:dyDescent="0.25">
      <c r="A5" s="70"/>
      <c r="B5" s="27" t="s">
        <v>250</v>
      </c>
      <c r="C5" s="10"/>
      <c r="D5" s="10"/>
      <c r="H5" s="25"/>
    </row>
    <row r="6" spans="1:20" x14ac:dyDescent="0.25">
      <c r="A6" s="70"/>
    </row>
    <row r="7" spans="1:20" s="15" customFormat="1" x14ac:dyDescent="0.25">
      <c r="A7" s="67"/>
      <c r="B7" s="15" t="s">
        <v>4</v>
      </c>
      <c r="F7" s="15" t="s">
        <v>5</v>
      </c>
      <c r="H7" s="15" t="s">
        <v>9</v>
      </c>
      <c r="J7" s="15" t="s">
        <v>10</v>
      </c>
      <c r="L7" s="49" t="s">
        <v>42</v>
      </c>
      <c r="M7" s="49" t="s">
        <v>43</v>
      </c>
      <c r="N7" s="56" t="s">
        <v>153</v>
      </c>
      <c r="O7" s="56" t="s">
        <v>154</v>
      </c>
      <c r="P7" s="67" t="s">
        <v>157</v>
      </c>
      <c r="R7" s="15" t="s">
        <v>21</v>
      </c>
      <c r="T7" s="15" t="s">
        <v>39</v>
      </c>
    </row>
    <row r="8" spans="1:20" ht="12.75" customHeight="1" x14ac:dyDescent="0.25">
      <c r="A8" s="70"/>
    </row>
    <row r="9" spans="1:20" s="15" customFormat="1" ht="12.75" customHeight="1" x14ac:dyDescent="0.25">
      <c r="A9" s="67"/>
      <c r="B9" s="15" t="s">
        <v>12</v>
      </c>
      <c r="N9" s="67"/>
      <c r="O9" s="67"/>
      <c r="P9" s="67"/>
    </row>
    <row r="10" spans="1:20" ht="12.75" customHeight="1" x14ac:dyDescent="0.25">
      <c r="A10" s="70"/>
    </row>
    <row r="11" spans="1:20" s="70" customFormat="1" ht="12.75" customHeight="1" x14ac:dyDescent="0.25">
      <c r="B11" s="69" t="s">
        <v>143</v>
      </c>
    </row>
    <row r="12" spans="1:20" s="60" customFormat="1" ht="12.75" customHeight="1" x14ac:dyDescent="0.25">
      <c r="A12" s="70"/>
      <c r="B12" s="60" t="s">
        <v>38</v>
      </c>
      <c r="F12" s="60" t="s">
        <v>118</v>
      </c>
      <c r="L12" s="60" t="s">
        <v>23</v>
      </c>
      <c r="M12" s="60" t="s">
        <v>17</v>
      </c>
      <c r="N12" s="60" t="s">
        <v>155</v>
      </c>
      <c r="O12" s="60" t="s">
        <v>176</v>
      </c>
      <c r="P12" s="60" t="s">
        <v>155</v>
      </c>
    </row>
    <row r="13" spans="1:20" s="70" customFormat="1" ht="12.75" customHeight="1" x14ac:dyDescent="0.25">
      <c r="B13" s="70" t="s">
        <v>341</v>
      </c>
      <c r="F13" s="70" t="s">
        <v>118</v>
      </c>
      <c r="L13" s="52">
        <v>14979000</v>
      </c>
      <c r="M13" s="52">
        <v>16505.24666666667</v>
      </c>
      <c r="N13" s="52">
        <v>125523</v>
      </c>
      <c r="O13" s="52">
        <v>838.41666666666663</v>
      </c>
      <c r="P13" s="52">
        <v>1928.15</v>
      </c>
      <c r="R13" s="70" t="s">
        <v>349</v>
      </c>
    </row>
    <row r="14" spans="1:20" s="70" customFormat="1" ht="12.75" customHeight="1" x14ac:dyDescent="0.25"/>
    <row r="15" spans="1:20" ht="12.75" customHeight="1" x14ac:dyDescent="0.25">
      <c r="A15" s="70"/>
      <c r="B15" s="8" t="s">
        <v>193</v>
      </c>
    </row>
    <row r="16" spans="1:20" ht="12.75" customHeight="1" x14ac:dyDescent="0.25">
      <c r="A16" s="70"/>
      <c r="B16" s="9" t="s">
        <v>342</v>
      </c>
      <c r="F16" s="9" t="s">
        <v>13</v>
      </c>
      <c r="L16" s="42">
        <v>6250000</v>
      </c>
      <c r="M16" s="55"/>
      <c r="N16" s="55"/>
      <c r="O16" s="55"/>
      <c r="P16" s="55"/>
      <c r="R16" s="70" t="s">
        <v>350</v>
      </c>
    </row>
    <row r="17" spans="1:20" ht="12.75" customHeight="1" x14ac:dyDescent="0.25">
      <c r="A17" s="70"/>
      <c r="B17" s="9" t="s">
        <v>343</v>
      </c>
      <c r="F17" s="9" t="s">
        <v>13</v>
      </c>
      <c r="L17" s="42">
        <v>10177900</v>
      </c>
      <c r="M17" s="55"/>
      <c r="N17" s="55"/>
      <c r="O17" s="55"/>
      <c r="P17" s="55"/>
      <c r="R17" s="70" t="s">
        <v>350</v>
      </c>
    </row>
    <row r="18" spans="1:20" ht="12.75" customHeight="1" x14ac:dyDescent="0.25">
      <c r="A18" s="70"/>
      <c r="B18" s="9" t="s">
        <v>344</v>
      </c>
      <c r="F18" s="9" t="s">
        <v>13</v>
      </c>
      <c r="L18" s="34">
        <f>L16+L17</f>
        <v>16427900</v>
      </c>
      <c r="M18" s="55"/>
      <c r="N18" s="55"/>
      <c r="O18" s="55"/>
      <c r="P18" s="55"/>
    </row>
    <row r="19" spans="1:20" s="70" customFormat="1" ht="12.75" customHeight="1" x14ac:dyDescent="0.25">
      <c r="B19" s="70" t="s">
        <v>309</v>
      </c>
      <c r="F19" s="70" t="s">
        <v>13</v>
      </c>
      <c r="L19" s="122">
        <v>7591500</v>
      </c>
      <c r="M19" s="55"/>
      <c r="N19" s="55"/>
      <c r="O19" s="55"/>
      <c r="P19" s="55"/>
      <c r="R19" s="70" t="s">
        <v>350</v>
      </c>
    </row>
    <row r="20" spans="1:20" s="70" customFormat="1" ht="12.75" customHeight="1" x14ac:dyDescent="0.25">
      <c r="B20" s="70" t="s">
        <v>345</v>
      </c>
      <c r="F20" s="70" t="s">
        <v>8</v>
      </c>
      <c r="L20" s="198">
        <f>L17/L18</f>
        <v>0.61954966855167126</v>
      </c>
      <c r="M20" s="55"/>
      <c r="N20" s="55"/>
      <c r="O20" s="55"/>
      <c r="P20" s="55"/>
    </row>
    <row r="21" spans="1:20" s="70" customFormat="1" ht="12.75" customHeight="1" x14ac:dyDescent="0.25"/>
    <row r="22" spans="1:20" s="70" customFormat="1" ht="12.75" customHeight="1" x14ac:dyDescent="0.25">
      <c r="A22" s="138"/>
      <c r="B22" s="70" t="s">
        <v>346</v>
      </c>
      <c r="F22" s="70" t="s">
        <v>162</v>
      </c>
      <c r="L22" s="97">
        <v>2333923</v>
      </c>
      <c r="M22" s="55"/>
      <c r="N22" s="55"/>
      <c r="O22" s="55"/>
      <c r="P22" s="55"/>
      <c r="R22" s="70" t="s">
        <v>408</v>
      </c>
    </row>
    <row r="23" spans="1:20" s="70" customFormat="1" ht="12.75" customHeight="1" x14ac:dyDescent="0.25">
      <c r="B23" s="70" t="s">
        <v>347</v>
      </c>
      <c r="F23" s="70" t="s">
        <v>13</v>
      </c>
      <c r="L23" s="97">
        <v>8701324</v>
      </c>
      <c r="M23" s="55"/>
      <c r="N23" s="55"/>
      <c r="O23" s="55"/>
      <c r="P23" s="55"/>
      <c r="R23" s="138" t="s">
        <v>409</v>
      </c>
    </row>
    <row r="24" spans="1:20" ht="12.75" customHeight="1" x14ac:dyDescent="0.25">
      <c r="A24" s="70"/>
      <c r="B24" s="9" t="s">
        <v>163</v>
      </c>
      <c r="F24" s="9" t="s">
        <v>14</v>
      </c>
      <c r="L24" s="98">
        <f>L22/L23</f>
        <v>0.26822619178414686</v>
      </c>
      <c r="M24" s="55"/>
      <c r="N24" s="55"/>
      <c r="O24" s="55"/>
      <c r="P24" s="55"/>
      <c r="T24" s="9" t="s">
        <v>351</v>
      </c>
    </row>
    <row r="25" spans="1:20" ht="12.75" customHeight="1" x14ac:dyDescent="0.25">
      <c r="A25" s="70"/>
    </row>
    <row r="26" spans="1:20" ht="12.75" customHeight="1" x14ac:dyDescent="0.25">
      <c r="A26" s="70"/>
      <c r="B26" s="9" t="s">
        <v>53</v>
      </c>
      <c r="F26" s="9" t="s">
        <v>15</v>
      </c>
      <c r="L26" s="196">
        <v>0.53380000000000005</v>
      </c>
      <c r="M26" s="55"/>
      <c r="N26" s="55"/>
      <c r="O26" s="55"/>
      <c r="P26" s="55"/>
      <c r="R26" s="138" t="s">
        <v>447</v>
      </c>
      <c r="T26" s="70"/>
    </row>
    <row r="27" spans="1:20" ht="12.75" customHeight="1" x14ac:dyDescent="0.25">
      <c r="A27" s="70"/>
    </row>
    <row r="28" spans="1:20" s="70" customFormat="1" ht="12.75" customHeight="1" x14ac:dyDescent="0.25">
      <c r="B28" s="99" t="s">
        <v>468</v>
      </c>
      <c r="C28" s="59"/>
      <c r="D28" s="59"/>
      <c r="E28" s="59"/>
    </row>
    <row r="29" spans="1:20" s="70" customFormat="1" ht="12.75" customHeight="1" x14ac:dyDescent="0.25">
      <c r="B29" s="70" t="s">
        <v>396</v>
      </c>
      <c r="F29" s="70" t="s">
        <v>155</v>
      </c>
      <c r="L29" s="21"/>
      <c r="M29" s="101"/>
      <c r="N29" s="142">
        <v>133303</v>
      </c>
      <c r="O29" s="21"/>
      <c r="P29" s="21"/>
      <c r="R29" s="70" t="s">
        <v>352</v>
      </c>
    </row>
    <row r="30" spans="1:20" s="138" customFormat="1" ht="12.75" customHeight="1" x14ac:dyDescent="0.25">
      <c r="B30" s="59"/>
      <c r="C30" s="59"/>
      <c r="D30" s="59"/>
      <c r="E30" s="59"/>
      <c r="F30" s="59"/>
      <c r="G30" s="59"/>
    </row>
    <row r="31" spans="1:20" s="70" customFormat="1" ht="12.75" customHeight="1" x14ac:dyDescent="0.25">
      <c r="B31" s="70" t="s">
        <v>348</v>
      </c>
      <c r="F31" s="70" t="s">
        <v>23</v>
      </c>
      <c r="L31" s="21"/>
      <c r="M31" s="102"/>
      <c r="N31" s="52">
        <v>433684</v>
      </c>
      <c r="O31" s="21"/>
      <c r="P31" s="21"/>
      <c r="R31" s="70" t="s">
        <v>353</v>
      </c>
    </row>
    <row r="32" spans="1:20" s="70" customFormat="1" ht="12.75" customHeight="1" x14ac:dyDescent="0.25">
      <c r="B32" s="70" t="s">
        <v>164</v>
      </c>
      <c r="F32" s="70" t="s">
        <v>165</v>
      </c>
      <c r="L32" s="21"/>
      <c r="M32" s="102"/>
      <c r="N32" s="65">
        <f>N31/N13</f>
        <v>3.4550162121682879</v>
      </c>
      <c r="O32" s="21"/>
      <c r="P32" s="21"/>
      <c r="T32" s="70" t="s">
        <v>351</v>
      </c>
    </row>
    <row r="33" spans="1:18" s="70" customFormat="1" ht="12.75" customHeight="1" x14ac:dyDescent="0.25">
      <c r="B33" s="59"/>
      <c r="C33" s="59"/>
      <c r="D33" s="59"/>
      <c r="E33" s="59"/>
      <c r="F33" s="59"/>
      <c r="G33" s="59"/>
    </row>
    <row r="34" spans="1:18" ht="12.75" customHeight="1" x14ac:dyDescent="0.25">
      <c r="A34" s="70"/>
      <c r="B34" s="8" t="s">
        <v>142</v>
      </c>
    </row>
    <row r="35" spans="1:18" ht="12.75" customHeight="1" x14ac:dyDescent="0.25">
      <c r="A35" s="138"/>
      <c r="B35" s="9" t="s">
        <v>442</v>
      </c>
      <c r="F35" s="9" t="s">
        <v>8</v>
      </c>
      <c r="L35" s="55"/>
      <c r="M35" s="3">
        <v>0.13154961612924801</v>
      </c>
      <c r="N35" s="103"/>
      <c r="O35" s="3">
        <v>0.249322912932291</v>
      </c>
      <c r="P35" s="103"/>
      <c r="R35" s="138" t="s">
        <v>441</v>
      </c>
    </row>
    <row r="36" spans="1:18" ht="12.75" customHeight="1" x14ac:dyDescent="0.25">
      <c r="A36" s="70"/>
    </row>
    <row r="37" spans="1:18" s="15" customFormat="1" ht="12.75" customHeight="1" x14ac:dyDescent="0.25">
      <c r="A37" s="67"/>
      <c r="B37" s="15" t="s">
        <v>139</v>
      </c>
      <c r="N37" s="67"/>
      <c r="O37" s="67"/>
      <c r="P37" s="67"/>
    </row>
    <row r="38" spans="1:18" s="51" customFormat="1" ht="12.75" customHeight="1" x14ac:dyDescent="0.25">
      <c r="A38" s="70"/>
      <c r="N38" s="70"/>
      <c r="O38" s="70"/>
      <c r="P38" s="70"/>
    </row>
    <row r="39" spans="1:18" ht="12.75" customHeight="1" x14ac:dyDescent="0.25">
      <c r="A39" s="70"/>
      <c r="B39" s="66" t="s">
        <v>354</v>
      </c>
      <c r="C39" s="10"/>
      <c r="D39" s="10"/>
      <c r="H39" s="25"/>
      <c r="Q39" s="51"/>
    </row>
    <row r="40" spans="1:18" s="70" customFormat="1" ht="12.75" customHeight="1" x14ac:dyDescent="0.25">
      <c r="B40" s="70" t="s">
        <v>355</v>
      </c>
      <c r="C40" s="10"/>
      <c r="D40" s="10"/>
      <c r="F40" s="70" t="s">
        <v>102</v>
      </c>
      <c r="H40" s="68"/>
      <c r="L40" s="55"/>
      <c r="M40" s="55"/>
      <c r="N40" s="104"/>
      <c r="O40" s="32">
        <v>261.94083999999998</v>
      </c>
      <c r="P40" s="104"/>
      <c r="R40" s="70" t="s">
        <v>412</v>
      </c>
    </row>
    <row r="41" spans="1:18" s="70" customFormat="1" ht="12.75" customHeight="1" x14ac:dyDescent="0.25">
      <c r="B41" s="70" t="s">
        <v>169</v>
      </c>
      <c r="C41" s="10"/>
      <c r="D41" s="10"/>
      <c r="F41" s="70" t="s">
        <v>102</v>
      </c>
      <c r="H41" s="68"/>
      <c r="L41" s="55"/>
      <c r="M41" s="55"/>
      <c r="N41" s="104"/>
      <c r="O41" s="32">
        <v>181.91454999999999</v>
      </c>
      <c r="P41" s="104"/>
      <c r="R41" s="138" t="s">
        <v>413</v>
      </c>
    </row>
    <row r="43" spans="1:18" ht="12.75" customHeight="1" x14ac:dyDescent="0.25">
      <c r="A43" s="70"/>
      <c r="B43" s="70" t="s">
        <v>248</v>
      </c>
      <c r="C43" s="10"/>
      <c r="D43" s="10"/>
      <c r="F43" s="9" t="s">
        <v>102</v>
      </c>
      <c r="H43" s="25"/>
      <c r="L43" s="55"/>
      <c r="M43" s="32">
        <v>293.12762999999995</v>
      </c>
      <c r="N43" s="104"/>
      <c r="O43" s="104"/>
      <c r="P43" s="104"/>
      <c r="R43" s="138" t="s">
        <v>414</v>
      </c>
    </row>
    <row r="44" spans="1:18" ht="12.75" customHeight="1" x14ac:dyDescent="0.25">
      <c r="A44" s="70"/>
      <c r="B44" s="70" t="s">
        <v>167</v>
      </c>
      <c r="C44" s="10"/>
      <c r="D44" s="10"/>
      <c r="F44" s="9" t="s">
        <v>102</v>
      </c>
      <c r="H44" s="25"/>
      <c r="L44" s="55"/>
      <c r="M44" s="32">
        <v>181.91454999999999</v>
      </c>
      <c r="N44" s="104"/>
      <c r="O44" s="104"/>
      <c r="P44" s="104"/>
      <c r="R44" s="138" t="s">
        <v>415</v>
      </c>
    </row>
    <row r="45" spans="1:18" ht="12.75" customHeight="1" x14ac:dyDescent="0.25">
      <c r="A45" s="70"/>
      <c r="B45" s="70" t="s">
        <v>168</v>
      </c>
      <c r="F45" s="9" t="s">
        <v>102</v>
      </c>
      <c r="L45" s="55"/>
      <c r="M45" s="32">
        <v>197.49283999999997</v>
      </c>
      <c r="N45" s="104"/>
      <c r="O45" s="104"/>
      <c r="P45" s="104"/>
      <c r="R45" s="138" t="s">
        <v>416</v>
      </c>
    </row>
    <row r="46" spans="1:18" ht="12.75" customHeight="1" x14ac:dyDescent="0.25">
      <c r="A46" s="70"/>
    </row>
    <row r="47" spans="1:18" s="70" customFormat="1" ht="12.75" customHeight="1" x14ac:dyDescent="0.25">
      <c r="B47" s="70" t="s">
        <v>443</v>
      </c>
      <c r="F47" s="70" t="s">
        <v>31</v>
      </c>
      <c r="L47" s="21"/>
      <c r="M47" s="32">
        <v>40</v>
      </c>
      <c r="N47" s="21"/>
      <c r="O47" s="32">
        <v>40</v>
      </c>
      <c r="P47" s="21"/>
      <c r="R47" s="138" t="s">
        <v>417</v>
      </c>
    </row>
    <row r="48" spans="1:18" s="70" customFormat="1" ht="12.75" customHeight="1" x14ac:dyDescent="0.25"/>
    <row r="49" spans="1:20" s="70" customFormat="1" ht="12.75" customHeight="1" x14ac:dyDescent="0.25">
      <c r="B49" s="66" t="s">
        <v>249</v>
      </c>
      <c r="O49" s="135"/>
    </row>
    <row r="50" spans="1:20" s="70" customFormat="1" ht="12.75" customHeight="1" x14ac:dyDescent="0.25">
      <c r="B50" s="70" t="s">
        <v>356</v>
      </c>
      <c r="C50" s="10"/>
      <c r="D50" s="10"/>
      <c r="F50" s="70" t="s">
        <v>16</v>
      </c>
      <c r="H50" s="68"/>
      <c r="L50" s="55"/>
      <c r="M50" s="55"/>
      <c r="N50" s="104"/>
      <c r="O50" s="52">
        <v>168</v>
      </c>
      <c r="P50" s="104"/>
      <c r="R50" s="70" t="s">
        <v>360</v>
      </c>
    </row>
    <row r="51" spans="1:20" s="70" customFormat="1" ht="12.75" customHeight="1" x14ac:dyDescent="0.25">
      <c r="B51" s="70" t="s">
        <v>357</v>
      </c>
      <c r="C51" s="10"/>
      <c r="D51" s="10"/>
      <c r="F51" s="70" t="s">
        <v>31</v>
      </c>
      <c r="H51" s="68"/>
      <c r="L51" s="55"/>
      <c r="M51" s="55"/>
      <c r="N51" s="104"/>
      <c r="O51" s="134">
        <v>260.12018999999998</v>
      </c>
      <c r="P51" s="104"/>
      <c r="R51" s="70" t="s">
        <v>420</v>
      </c>
      <c r="T51" s="70" t="s">
        <v>419</v>
      </c>
    </row>
    <row r="52" spans="1:20" s="70" customFormat="1" ht="12.75" customHeight="1" x14ac:dyDescent="0.25">
      <c r="B52" s="70" t="s">
        <v>245</v>
      </c>
      <c r="C52" s="10"/>
      <c r="D52" s="10"/>
      <c r="F52" s="70" t="s">
        <v>31</v>
      </c>
      <c r="H52" s="68"/>
      <c r="L52" s="55"/>
      <c r="M52" s="55"/>
      <c r="N52" s="104"/>
      <c r="O52" s="133">
        <f>O51*O50</f>
        <v>43700.191919999997</v>
      </c>
      <c r="P52" s="104"/>
      <c r="T52" s="70" t="s">
        <v>418</v>
      </c>
    </row>
    <row r="53" spans="1:20" s="70" customFormat="1" ht="12.75" customHeight="1" x14ac:dyDescent="0.25"/>
    <row r="54" spans="1:20" s="70" customFormat="1" ht="12.75" customHeight="1" x14ac:dyDescent="0.25">
      <c r="B54" s="66" t="s">
        <v>170</v>
      </c>
    </row>
    <row r="55" spans="1:20" s="140" customFormat="1" ht="12.75" customHeight="1" x14ac:dyDescent="0.25">
      <c r="A55" s="138"/>
      <c r="B55" s="70" t="s">
        <v>292</v>
      </c>
      <c r="C55" s="70"/>
      <c r="D55" s="70"/>
      <c r="E55" s="70"/>
      <c r="F55" s="70" t="s">
        <v>8</v>
      </c>
      <c r="L55" s="105"/>
      <c r="M55" s="105"/>
      <c r="N55" s="105"/>
      <c r="O55" s="105"/>
      <c r="P55" s="3">
        <v>0.02</v>
      </c>
      <c r="R55" s="70" t="s">
        <v>361</v>
      </c>
      <c r="T55" s="2" t="s">
        <v>421</v>
      </c>
    </row>
    <row r="56" spans="1:20" s="70" customFormat="1" ht="12.75" customHeight="1" x14ac:dyDescent="0.25">
      <c r="A56" s="138"/>
      <c r="B56" s="70" t="s">
        <v>358</v>
      </c>
      <c r="F56" s="70" t="s">
        <v>155</v>
      </c>
      <c r="L56" s="21"/>
      <c r="M56" s="21"/>
      <c r="N56" s="21"/>
      <c r="O56" s="139"/>
      <c r="P56" s="141">
        <f>N29*(1-O35)*P55</f>
        <v>2001.3501547477363</v>
      </c>
    </row>
    <row r="57" spans="1:20" s="70" customFormat="1" ht="12.75" customHeight="1" x14ac:dyDescent="0.25"/>
    <row r="58" spans="1:20" ht="12.75" customHeight="1" x14ac:dyDescent="0.2">
      <c r="A58" s="70"/>
      <c r="B58" s="46"/>
      <c r="F58" s="46"/>
      <c r="H58" s="47"/>
    </row>
    <row r="59" spans="1:20" s="15" customFormat="1" ht="12.75" customHeight="1" x14ac:dyDescent="0.25">
      <c r="A59" s="67"/>
      <c r="B59" s="15" t="s">
        <v>362</v>
      </c>
      <c r="N59" s="67"/>
      <c r="O59" s="67"/>
      <c r="P59" s="67"/>
    </row>
    <row r="60" spans="1:20" ht="12.75" customHeight="1" x14ac:dyDescent="0.25">
      <c r="A60" s="70"/>
    </row>
    <row r="61" spans="1:20" ht="12.75" customHeight="1" x14ac:dyDescent="0.25">
      <c r="A61" s="70"/>
      <c r="B61" s="11" t="s">
        <v>198</v>
      </c>
    </row>
    <row r="62" spans="1:20" s="70" customFormat="1" ht="12.75" customHeight="1" x14ac:dyDescent="0.25">
      <c r="B62" s="11"/>
    </row>
    <row r="63" spans="1:20" ht="12.75" customHeight="1" x14ac:dyDescent="0.25">
      <c r="A63" s="70"/>
      <c r="B63" s="8" t="s">
        <v>18</v>
      </c>
      <c r="H63" s="70"/>
      <c r="M63" s="66" t="s">
        <v>172</v>
      </c>
    </row>
    <row r="64" spans="1:20" ht="12.75" customHeight="1" x14ac:dyDescent="0.25">
      <c r="A64" s="70"/>
      <c r="B64" s="45">
        <v>3.2</v>
      </c>
      <c r="F64" s="9" t="s">
        <v>16</v>
      </c>
      <c r="H64" s="70"/>
      <c r="L64" s="105"/>
      <c r="M64" s="106">
        <v>242.66958333333335</v>
      </c>
      <c r="N64" s="105"/>
      <c r="O64" s="105"/>
      <c r="P64" s="105"/>
      <c r="R64" s="70" t="s">
        <v>363</v>
      </c>
    </row>
    <row r="65" spans="1:16" ht="12.75" customHeight="1" x14ac:dyDescent="0.25">
      <c r="A65" s="70"/>
      <c r="B65" s="45">
        <v>7.7</v>
      </c>
      <c r="F65" s="9" t="s">
        <v>16</v>
      </c>
      <c r="H65" s="70"/>
      <c r="L65" s="105"/>
      <c r="M65" s="106">
        <v>1407.6904166666664</v>
      </c>
      <c r="N65" s="105"/>
      <c r="O65" s="105"/>
      <c r="P65" s="105"/>
    </row>
    <row r="66" spans="1:16" ht="12.75" customHeight="1" x14ac:dyDescent="0.25">
      <c r="A66" s="70"/>
      <c r="B66" s="45">
        <v>11</v>
      </c>
      <c r="F66" s="9" t="s">
        <v>16</v>
      </c>
      <c r="H66" s="70"/>
      <c r="L66" s="105"/>
      <c r="M66" s="106">
        <v>87.628333333333316</v>
      </c>
      <c r="N66" s="105"/>
      <c r="O66" s="105"/>
      <c r="P66" s="105"/>
    </row>
    <row r="67" spans="1:16" ht="12.75" customHeight="1" x14ac:dyDescent="0.25">
      <c r="A67" s="70"/>
      <c r="B67" s="45">
        <v>13.86</v>
      </c>
      <c r="F67" s="9" t="s">
        <v>16</v>
      </c>
      <c r="H67" s="70"/>
      <c r="L67" s="105"/>
      <c r="M67" s="106">
        <v>34.703066666666658</v>
      </c>
      <c r="N67" s="105"/>
      <c r="O67" s="105"/>
      <c r="P67" s="105"/>
    </row>
    <row r="68" spans="1:16" ht="12.75" customHeight="1" x14ac:dyDescent="0.25">
      <c r="A68" s="70"/>
      <c r="B68" s="45">
        <v>13.3</v>
      </c>
      <c r="F68" s="9" t="s">
        <v>16</v>
      </c>
      <c r="H68" s="70"/>
      <c r="L68" s="105"/>
      <c r="M68" s="106">
        <v>19.755716666666668</v>
      </c>
      <c r="N68" s="105"/>
      <c r="O68" s="105"/>
      <c r="P68" s="105"/>
    </row>
    <row r="69" spans="1:16" ht="12.75" customHeight="1" x14ac:dyDescent="0.25">
      <c r="A69" s="70"/>
      <c r="B69" s="45">
        <v>19</v>
      </c>
      <c r="F69" s="9" t="s">
        <v>16</v>
      </c>
      <c r="H69" s="70"/>
      <c r="L69" s="105"/>
      <c r="M69" s="106">
        <v>26.982083333333325</v>
      </c>
      <c r="N69" s="105"/>
      <c r="O69" s="105"/>
      <c r="P69" s="105"/>
    </row>
    <row r="70" spans="1:16" ht="12.75" customHeight="1" x14ac:dyDescent="0.25">
      <c r="A70" s="70"/>
      <c r="B70" s="45">
        <v>23.94</v>
      </c>
      <c r="F70" s="9" t="s">
        <v>16</v>
      </c>
      <c r="H70" s="70"/>
      <c r="L70" s="105"/>
      <c r="M70" s="106">
        <v>37.385833333333345</v>
      </c>
      <c r="N70" s="105"/>
      <c r="O70" s="105"/>
      <c r="P70" s="105"/>
    </row>
    <row r="71" spans="1:16" ht="12.75" customHeight="1" x14ac:dyDescent="0.25">
      <c r="A71" s="70"/>
      <c r="B71" s="45">
        <v>30.4</v>
      </c>
      <c r="F71" s="9" t="s">
        <v>16</v>
      </c>
      <c r="H71" s="70"/>
      <c r="L71" s="105"/>
      <c r="M71" s="106">
        <v>11.334166666666668</v>
      </c>
      <c r="N71" s="105"/>
      <c r="O71" s="105"/>
      <c r="P71" s="105"/>
    </row>
    <row r="72" spans="1:16" ht="12.75" customHeight="1" x14ac:dyDescent="0.25">
      <c r="A72" s="70"/>
      <c r="B72" s="45">
        <v>38</v>
      </c>
      <c r="F72" s="9" t="s">
        <v>16</v>
      </c>
      <c r="H72" s="70"/>
      <c r="L72" s="105"/>
      <c r="M72" s="106">
        <v>14.125416666666666</v>
      </c>
      <c r="N72" s="105"/>
      <c r="O72" s="105"/>
      <c r="P72" s="105"/>
    </row>
    <row r="73" spans="1:16" ht="12.75" customHeight="1" x14ac:dyDescent="0.25">
      <c r="A73" s="70"/>
      <c r="B73" s="45">
        <v>47.5</v>
      </c>
      <c r="F73" s="9" t="s">
        <v>16</v>
      </c>
      <c r="H73" s="70"/>
      <c r="L73" s="105"/>
      <c r="M73" s="106">
        <v>17.7864</v>
      </c>
      <c r="N73" s="105"/>
      <c r="O73" s="105"/>
      <c r="P73" s="105"/>
    </row>
    <row r="74" spans="1:16" ht="12.75" customHeight="1" x14ac:dyDescent="0.25">
      <c r="A74" s="70"/>
      <c r="B74" s="45">
        <v>60.8</v>
      </c>
      <c r="F74" s="9" t="s">
        <v>16</v>
      </c>
      <c r="H74" s="70"/>
      <c r="L74" s="105"/>
      <c r="M74" s="106">
        <v>6.6213999999999986</v>
      </c>
      <c r="N74" s="105"/>
      <c r="O74" s="105"/>
      <c r="P74" s="105"/>
    </row>
    <row r="75" spans="1:16" ht="12.75" customHeight="1" x14ac:dyDescent="0.25">
      <c r="A75" s="70"/>
      <c r="B75" s="45">
        <v>76</v>
      </c>
      <c r="F75" s="9" t="s">
        <v>16</v>
      </c>
      <c r="H75" s="70"/>
      <c r="L75" s="105"/>
      <c r="M75" s="106">
        <v>3.0450000000000004</v>
      </c>
      <c r="N75" s="105"/>
      <c r="O75" s="105"/>
      <c r="P75" s="105"/>
    </row>
    <row r="76" spans="1:16" s="70" customFormat="1" ht="12.75" customHeight="1" x14ac:dyDescent="0.25">
      <c r="B76" s="45">
        <v>85.5</v>
      </c>
      <c r="F76" s="70" t="s">
        <v>16</v>
      </c>
      <c r="L76" s="105"/>
      <c r="M76" s="106">
        <v>3.0689000000000002</v>
      </c>
      <c r="N76" s="105"/>
      <c r="O76" s="105"/>
      <c r="P76" s="105"/>
    </row>
    <row r="77" spans="1:16" s="70" customFormat="1" ht="12.75" customHeight="1" x14ac:dyDescent="0.25">
      <c r="B77" s="45">
        <v>95</v>
      </c>
      <c r="F77" s="70" t="s">
        <v>16</v>
      </c>
      <c r="L77" s="105"/>
      <c r="M77" s="106">
        <v>1.0150000000000001</v>
      </c>
      <c r="N77" s="105"/>
      <c r="O77" s="105"/>
      <c r="P77" s="105"/>
    </row>
    <row r="78" spans="1:16" s="70" customFormat="1" ht="12.75" customHeight="1" x14ac:dyDescent="0.25"/>
    <row r="79" spans="1:16" s="70" customFormat="1" ht="12.75" customHeight="1" x14ac:dyDescent="0.25">
      <c r="B79" s="70" t="s">
        <v>129</v>
      </c>
      <c r="F79" s="70" t="s">
        <v>17</v>
      </c>
      <c r="L79" s="105"/>
      <c r="M79" s="71">
        <f>SUMPRODUCT(B64:B77,M64:M77)</f>
        <v>17450.078080666663</v>
      </c>
      <c r="N79" s="105"/>
      <c r="O79" s="105"/>
      <c r="P79" s="105"/>
    </row>
    <row r="80" spans="1:16" s="70" customFormat="1" ht="12.75" customHeight="1" x14ac:dyDescent="0.25"/>
    <row r="81" spans="2:18" s="70" customFormat="1" ht="12.75" customHeight="1" x14ac:dyDescent="0.25">
      <c r="B81" s="66" t="s">
        <v>171</v>
      </c>
    </row>
    <row r="82" spans="2:18" s="70" customFormat="1" ht="12.75" customHeight="1" x14ac:dyDescent="0.25">
      <c r="B82" s="70" t="s">
        <v>364</v>
      </c>
      <c r="F82" s="70" t="s">
        <v>16</v>
      </c>
      <c r="L82" s="105"/>
      <c r="M82" s="105"/>
      <c r="N82" s="105"/>
      <c r="O82" s="106">
        <v>939.57500000000016</v>
      </c>
      <c r="P82" s="105"/>
      <c r="R82" s="70" t="s">
        <v>365</v>
      </c>
    </row>
    <row r="83" spans="2:18" s="70" customFormat="1" ht="12.75" customHeight="1" x14ac:dyDescent="0.25"/>
    <row r="84" spans="2:18" s="70" customFormat="1" ht="12.75" customHeight="1" x14ac:dyDescent="0.25"/>
    <row r="85" spans="2:18" s="70" customFormat="1" ht="12.75" customHeight="1" x14ac:dyDescent="0.25"/>
    <row r="86" spans="2:18" s="70" customFormat="1" ht="12.75" customHeight="1" x14ac:dyDescent="0.25">
      <c r="B86" s="70" t="s">
        <v>191</v>
      </c>
    </row>
    <row r="87" spans="2:18" s="70" customForma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Cover sheet</vt:lpstr>
      <vt:lpstr>Explanation</vt:lpstr>
      <vt:lpstr>Sources and applications</vt:lpstr>
      <vt:lpstr>Tariffs electricity</vt:lpstr>
      <vt:lpstr>Tariffs drinking water</vt:lpstr>
      <vt:lpstr>Input --&gt;</vt:lpstr>
      <vt:lpstr>Parameters</vt:lpstr>
      <vt:lpstr>Data on costs</vt:lpstr>
      <vt:lpstr>Data on volumes and tariffs</vt:lpstr>
      <vt:lpstr>Data on corrections</vt:lpstr>
      <vt:lpstr>Calculations --&gt;</vt:lpstr>
      <vt:lpstr>Fixed-variable costs</vt:lpstr>
      <vt:lpstr>Calculation income level</vt:lpstr>
      <vt:lpstr>Dictum&amp;Bijlage 1 Electricity EN</vt:lpstr>
      <vt:lpstr>Dictum&amp;Bijlage 1 Water 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2020-12-15T13:45:19Z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