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tabRatio="836"/>
  </bookViews>
  <sheets>
    <sheet name="Cover sheet" sheetId="9" r:id="rId1"/>
    <sheet name="Explanation" sheetId="10" r:id="rId2"/>
    <sheet name="Sources and applications" sheetId="11" r:id="rId3"/>
    <sheet name="Tariffs" sheetId="21" r:id="rId4"/>
    <sheet name="Input --&gt;" sheetId="13" r:id="rId5"/>
    <sheet name="Parameters" sheetId="30" r:id="rId6"/>
    <sheet name="Data on costs" sheetId="18" r:id="rId7"/>
    <sheet name="Data on volumes and tariffs" sheetId="25" r:id="rId8"/>
    <sheet name="Data on corrections" sheetId="26" r:id="rId9"/>
    <sheet name="Calculations --&gt;" sheetId="15" r:id="rId10"/>
    <sheet name="Fixed-variable costs" sheetId="32" r:id="rId11"/>
    <sheet name="Calculation income level" sheetId="22" r:id="rId12"/>
    <sheet name="Dictum" sheetId="33" r:id="rId13"/>
  </sheets>
  <calcPr calcId="145621"/>
</workbook>
</file>

<file path=xl/calcChain.xml><?xml version="1.0" encoding="utf-8"?>
<calcChain xmlns="http://schemas.openxmlformats.org/spreadsheetml/2006/main">
  <c r="I75" i="33" l="1"/>
  <c r="J69" i="33"/>
  <c r="I69" i="33"/>
  <c r="L33" i="22" l="1"/>
  <c r="J33" i="22" s="1"/>
  <c r="L28" i="26"/>
  <c r="L20" i="25" l="1"/>
  <c r="L25" i="25" l="1"/>
  <c r="M60" i="25" l="1"/>
  <c r="L19" i="25" l="1"/>
  <c r="J79" i="33" l="1"/>
  <c r="I77" i="33"/>
  <c r="I76" i="33"/>
  <c r="I74" i="33"/>
  <c r="I73" i="33"/>
  <c r="I58" i="33"/>
  <c r="J58" i="33"/>
  <c r="J57" i="33"/>
  <c r="I57" i="33"/>
  <c r="J61" i="33"/>
  <c r="I61" i="33"/>
  <c r="J56" i="33"/>
  <c r="I56" i="33"/>
  <c r="I48" i="33"/>
  <c r="I49" i="33"/>
  <c r="I53" i="33"/>
  <c r="J53" i="33"/>
  <c r="J52" i="33"/>
  <c r="I52" i="33"/>
  <c r="M43" i="21" l="1"/>
  <c r="M44" i="21"/>
  <c r="M45" i="21"/>
  <c r="M46" i="21"/>
  <c r="M47" i="21"/>
  <c r="M48" i="21"/>
  <c r="M49" i="21"/>
  <c r="M50" i="21"/>
  <c r="M51" i="21"/>
  <c r="M52" i="21"/>
  <c r="M53" i="21"/>
  <c r="M54" i="21"/>
  <c r="M55" i="21"/>
  <c r="M56" i="21"/>
  <c r="M57" i="21"/>
  <c r="B43" i="21"/>
  <c r="B44" i="21"/>
  <c r="B45" i="21"/>
  <c r="B46" i="21"/>
  <c r="B47" i="21"/>
  <c r="B48" i="21"/>
  <c r="B49" i="21"/>
  <c r="B50" i="21"/>
  <c r="B51" i="21"/>
  <c r="B52" i="21"/>
  <c r="B53" i="21"/>
  <c r="B54" i="21"/>
  <c r="B55" i="21"/>
  <c r="B56" i="21"/>
  <c r="B100" i="21" s="1"/>
  <c r="B57" i="21"/>
  <c r="B101" i="21" s="1"/>
  <c r="B42" i="21"/>
  <c r="M21" i="22" l="1"/>
  <c r="M25" i="32"/>
  <c r="L25" i="32"/>
  <c r="M24" i="32"/>
  <c r="L24" i="32"/>
  <c r="M29" i="32"/>
  <c r="L29" i="32"/>
  <c r="H15" i="32"/>
  <c r="H14" i="32"/>
  <c r="M22" i="32"/>
  <c r="L22" i="32"/>
  <c r="M21" i="32"/>
  <c r="L21" i="32"/>
  <c r="M20" i="32"/>
  <c r="L20" i="32"/>
  <c r="M19" i="32"/>
  <c r="L19" i="32"/>
  <c r="H16" i="32"/>
  <c r="M35" i="32" l="1"/>
  <c r="M36" i="32" s="1"/>
  <c r="L34" i="32"/>
  <c r="L35" i="32"/>
  <c r="L36" i="32" s="1"/>
  <c r="M34" i="32"/>
  <c r="M39" i="32"/>
  <c r="M41" i="32" s="1"/>
  <c r="M42" i="32" s="1"/>
  <c r="L39" i="32"/>
  <c r="M46" i="32" l="1"/>
  <c r="M17" i="22" s="1"/>
  <c r="M40" i="32"/>
  <c r="M45" i="32" s="1"/>
  <c r="M16" i="22" s="1"/>
  <c r="L40" i="32"/>
  <c r="L45" i="32" s="1"/>
  <c r="L16" i="22" s="1"/>
  <c r="L41" i="32"/>
  <c r="L42" i="32" s="1"/>
  <c r="L46" i="32" s="1"/>
  <c r="L17" i="22" s="1"/>
  <c r="M27" i="22"/>
  <c r="M43" i="22" s="1"/>
  <c r="M22" i="21" s="1"/>
  <c r="J66" i="33" s="1"/>
  <c r="L43" i="22"/>
  <c r="L22" i="21" s="1"/>
  <c r="I66" i="33" s="1"/>
  <c r="M26" i="22"/>
  <c r="M42" i="22" s="1"/>
  <c r="M21" i="21" s="1"/>
  <c r="J65" i="33" s="1"/>
  <c r="L26" i="22"/>
  <c r="L42" i="22" s="1"/>
  <c r="L21" i="21" s="1"/>
  <c r="I65" i="33" s="1"/>
  <c r="M25" i="22"/>
  <c r="M41" i="22" s="1"/>
  <c r="M20" i="21" s="1"/>
  <c r="J64" i="33" s="1"/>
  <c r="L25" i="22"/>
  <c r="L41" i="22" s="1"/>
  <c r="L20" i="21" s="1"/>
  <c r="I64" i="33" s="1"/>
  <c r="M39" i="22" l="1"/>
  <c r="M73" i="21"/>
  <c r="J25" i="22"/>
  <c r="J27" i="22"/>
  <c r="J26" i="22"/>
  <c r="M18" i="21" l="1"/>
  <c r="M28" i="21" s="1"/>
  <c r="L35" i="21" l="1"/>
  <c r="M74" i="21" s="1"/>
  <c r="I72" i="33"/>
  <c r="L21" i="22"/>
  <c r="L39" i="22" s="1"/>
  <c r="M78" i="21"/>
  <c r="L33" i="21"/>
  <c r="L18" i="21" l="1"/>
  <c r="H15" i="21"/>
  <c r="H13" i="22" l="1"/>
  <c r="H12" i="22"/>
  <c r="M31" i="22"/>
  <c r="J31" i="22" s="1"/>
  <c r="M46" i="22" l="1"/>
  <c r="L46" i="22"/>
  <c r="L25" i="21" s="1"/>
  <c r="L45" i="22"/>
  <c r="L24" i="21" s="1"/>
  <c r="I68" i="33" s="1"/>
  <c r="M45" i="22"/>
  <c r="B15" i="10"/>
  <c r="J46" i="22" l="1"/>
  <c r="M25" i="21"/>
  <c r="M24" i="21"/>
  <c r="J43" i="22"/>
  <c r="J41" i="22"/>
  <c r="J45" i="22"/>
  <c r="J42" i="22"/>
  <c r="B22" i="10"/>
  <c r="B16" i="10"/>
  <c r="B17" i="10" s="1"/>
  <c r="B21" i="10" s="1"/>
  <c r="M77" i="21" l="1"/>
  <c r="M79" i="21" s="1"/>
  <c r="J68" i="33"/>
  <c r="M104" i="21"/>
  <c r="I36" i="33" s="1"/>
  <c r="M44" i="22" l="1"/>
  <c r="M23" i="21" l="1"/>
  <c r="J67" i="33" s="1"/>
  <c r="M42" i="21"/>
  <c r="M83" i="21" s="1"/>
  <c r="M84" i="21" l="1"/>
  <c r="I17" i="33" s="1"/>
  <c r="J80" i="33"/>
  <c r="L30" i="22"/>
  <c r="L44" i="22" l="1"/>
  <c r="J30" i="22"/>
  <c r="M61" i="21"/>
  <c r="M62" i="21"/>
  <c r="M60" i="21"/>
  <c r="M39" i="21"/>
  <c r="L34" i="21"/>
  <c r="L32" i="21"/>
  <c r="B87" i="21"/>
  <c r="B88" i="21"/>
  <c r="B89" i="21"/>
  <c r="B90" i="21"/>
  <c r="B91" i="21"/>
  <c r="B92" i="21"/>
  <c r="B93" i="21"/>
  <c r="B94" i="21"/>
  <c r="B95" i="21"/>
  <c r="B96" i="21"/>
  <c r="B97" i="21"/>
  <c r="B98" i="21"/>
  <c r="B99" i="21"/>
  <c r="L23" i="21" l="1"/>
  <c r="L27" i="21" s="1"/>
  <c r="L69" i="21"/>
  <c r="J44" i="22"/>
  <c r="B86" i="21"/>
  <c r="M86" i="21" s="1"/>
  <c r="J16" i="22"/>
  <c r="M108" i="21"/>
  <c r="I40" i="33" s="1"/>
  <c r="M107" i="21"/>
  <c r="I39" i="33" s="1"/>
  <c r="M109" i="21"/>
  <c r="I41" i="33" s="1"/>
  <c r="L68" i="21" l="1"/>
  <c r="I67" i="33"/>
  <c r="J18" i="18"/>
  <c r="J17" i="18"/>
  <c r="J14" i="18"/>
  <c r="J13" i="18"/>
  <c r="L70" i="21" l="1"/>
  <c r="I9" i="33"/>
  <c r="J39" i="22" l="1"/>
  <c r="M75" i="21" l="1"/>
  <c r="M80" i="21" l="1"/>
  <c r="I14" i="33" s="1"/>
  <c r="M100" i="21"/>
  <c r="I32" i="33" s="1"/>
  <c r="M101" i="21"/>
  <c r="I33" i="33" s="1"/>
  <c r="M92" i="21"/>
  <c r="I24" i="33" s="1"/>
  <c r="M94" i="21"/>
  <c r="I26" i="33" s="1"/>
  <c r="M95" i="21"/>
  <c r="I27" i="33" s="1"/>
  <c r="M90" i="21"/>
  <c r="I22" i="33" s="1"/>
  <c r="M88" i="21"/>
  <c r="I20" i="33" s="1"/>
  <c r="M96" i="21"/>
  <c r="I28" i="33" s="1"/>
  <c r="M91" i="21"/>
  <c r="I23" i="33" s="1"/>
  <c r="M87" i="21"/>
  <c r="I19" i="33" s="1"/>
  <c r="M98" i="21"/>
  <c r="I30" i="33" s="1"/>
  <c r="I18" i="33"/>
  <c r="M97" i="21"/>
  <c r="I29" i="33" s="1"/>
  <c r="M93" i="21"/>
  <c r="I25" i="33" s="1"/>
  <c r="M99" i="21"/>
  <c r="I31" i="33" s="1"/>
  <c r="M89" i="21"/>
  <c r="I21" i="33" s="1"/>
</calcChain>
</file>

<file path=xl/comments1.xml><?xml version="1.0" encoding="utf-8"?>
<comments xmlns="http://schemas.openxmlformats.org/spreadsheetml/2006/main">
  <authors>
    <author>Auteur</author>
  </authors>
  <commentList>
    <comment ref="B21"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<sst xmlns="http://schemas.openxmlformats.org/spreadsheetml/2006/main" count="667" uniqueCount="355">
  <si>
    <t>Data</t>
  </si>
  <si>
    <t>Input --&gt;</t>
  </si>
  <si>
    <t xml:space="preserve">Description data </t>
  </si>
  <si>
    <t xml:space="preserve">Description </t>
  </si>
  <si>
    <t xml:space="preserve">Unit </t>
  </si>
  <si>
    <t>Constant</t>
  </si>
  <si>
    <t>Row total</t>
  </si>
  <si>
    <t>%</t>
  </si>
  <si>
    <t xml:space="preserve">Constant </t>
  </si>
  <si>
    <t xml:space="preserve">Row total </t>
  </si>
  <si>
    <t xml:space="preserve">Estimated total production </t>
  </si>
  <si>
    <t xml:space="preserve">Parameters on production and distribution </t>
  </si>
  <si>
    <t xml:space="preserve">kWh </t>
  </si>
  <si>
    <t>liters/kWh</t>
  </si>
  <si>
    <t>USD/liter</t>
  </si>
  <si>
    <t xml:space="preserve">  Standard tariff 7.7 kVA</t>
  </si>
  <si>
    <t xml:space="preserve">  Standard tariff 3.2 kVA</t>
  </si>
  <si>
    <t xml:space="preserve">  Tariff per meter for trenchwork, if applicable </t>
  </si>
  <si>
    <t>#</t>
  </si>
  <si>
    <t xml:space="preserve">Tariff categories and Volumes </t>
  </si>
  <si>
    <t>The tariff category is determined by the kVa</t>
  </si>
  <si>
    <t>kVA</t>
  </si>
  <si>
    <t>Calculation income level</t>
  </si>
  <si>
    <t xml:space="preserve">Description calculation </t>
  </si>
  <si>
    <t>Source</t>
  </si>
  <si>
    <t xml:space="preserve">Neccesary input parameters </t>
  </si>
  <si>
    <t>kWh</t>
  </si>
  <si>
    <t>USD/kWh</t>
  </si>
  <si>
    <t>Production price excl fuel</t>
  </si>
  <si>
    <t xml:space="preserve">Variable distribution tariff </t>
  </si>
  <si>
    <t xml:space="preserve">Production price incl fuel </t>
  </si>
  <si>
    <t>Variable distribution tariff</t>
  </si>
  <si>
    <t>Fixed distribution tariff per kVA category</t>
  </si>
  <si>
    <t>Income per kVA per month</t>
  </si>
  <si>
    <t>USD/month</t>
  </si>
  <si>
    <t>Tariff for reconnection</t>
  </si>
  <si>
    <t>New connection tariff</t>
  </si>
  <si>
    <t>Standard tariff 3.2 kVA</t>
  </si>
  <si>
    <t>Standardtariff 7.7 kVA</t>
  </si>
  <si>
    <t>Tariff per meter for trenchwork</t>
  </si>
  <si>
    <t>USD, pl 2019</t>
  </si>
  <si>
    <t xml:space="preserve">CPI </t>
  </si>
  <si>
    <t>Tariff for connection</t>
  </si>
  <si>
    <t>Data on corrections</t>
  </si>
  <si>
    <t>Data corrections</t>
  </si>
  <si>
    <t xml:space="preserve">Data on corrections </t>
  </si>
  <si>
    <t>Parameters WACC and CPI</t>
  </si>
  <si>
    <t>Description</t>
  </si>
  <si>
    <t>Unit</t>
  </si>
  <si>
    <t>Remarks</t>
  </si>
  <si>
    <t>Result</t>
  </si>
  <si>
    <t>Production price</t>
  </si>
  <si>
    <t xml:space="preserve">Electricity production </t>
  </si>
  <si>
    <t>Electricity distribution</t>
  </si>
  <si>
    <t>Description results</t>
  </si>
  <si>
    <t>Description data</t>
  </si>
  <si>
    <t>Explanatory notes</t>
  </si>
  <si>
    <t xml:space="preserve">The development of the CPI of Q3 year T and Q3 year T-1 will be used as the estimated inflation for the year T+1. The estimated inflation is rounded to one decimal. </t>
  </si>
  <si>
    <t>Comments</t>
  </si>
  <si>
    <t xml:space="preserve">WACC </t>
  </si>
  <si>
    <t>Reconnection tariff</t>
  </si>
  <si>
    <t>Data on costs</t>
  </si>
  <si>
    <t>Data on volumes and tariffs</t>
  </si>
  <si>
    <t>Most recent fuel price</t>
  </si>
  <si>
    <t>About this file</t>
  </si>
  <si>
    <t>Source overview and specifications</t>
  </si>
  <si>
    <t>List of sources</t>
  </si>
  <si>
    <t>On this sheet, an overview can be found in which the ACM describes the sources used for data and calculations in this file.</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</si>
  <si>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</si>
  <si>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</si>
  <si>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</si>
  <si>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</si>
  <si>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</si>
  <si>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</si>
  <si>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Additional information on this source</t>
  </si>
  <si>
    <t>Date received, email, file location</t>
  </si>
  <si>
    <t>Explanation to this file</t>
  </si>
  <si>
    <t>Legend to cell coloring</t>
  </si>
  <si>
    <t>Cellcolor numbers</t>
  </si>
  <si>
    <t>Data and input (source required)</t>
  </si>
  <si>
    <t>Value that is drawn from another sheet or cell without calculation</t>
  </si>
  <si>
    <t>Calculated value</t>
  </si>
  <si>
    <t>Result/calculated value that is referred to on another sheet</t>
  </si>
  <si>
    <t>Empty cell (not zero) used in a formula range</t>
  </si>
  <si>
    <t>Exceptional cells</t>
  </si>
  <si>
    <t>Value or calculation that needs special attention or explanation</t>
  </si>
  <si>
    <t>Input or calculation that is not yet up to date, pro memori or work in progress</t>
  </si>
  <si>
    <t>Sheet colors</t>
  </si>
  <si>
    <t>Model sheets</t>
  </si>
  <si>
    <t>Sheet with result/output</t>
  </si>
  <si>
    <t>Sheet with input</t>
  </si>
  <si>
    <t>Calculation</t>
  </si>
  <si>
    <t>Sheet with calculations</t>
  </si>
  <si>
    <t>Sheet that is not yet up to date/work in progress</t>
  </si>
  <si>
    <t>Explanatory sheets</t>
  </si>
  <si>
    <t>Empty sheet used for indexing</t>
  </si>
  <si>
    <t>Explanation</t>
  </si>
  <si>
    <t>Standardized sheets with information on the file</t>
  </si>
  <si>
    <t>Case number</t>
  </si>
  <si>
    <t>Title</t>
  </si>
  <si>
    <t>Coherence with other calculation files</t>
  </si>
  <si>
    <t>Other remarks</t>
  </si>
  <si>
    <t>Final version?</t>
  </si>
  <si>
    <t>Published?</t>
  </si>
  <si>
    <t>Is this file legally part of the decision(s) listed above?</t>
  </si>
  <si>
    <t>Contains business confidential information?</t>
  </si>
  <si>
    <t>Possibilities of objection and appeal are open against the decision which this file is a part of.</t>
  </si>
  <si>
    <t>On this sheet the ACM calculates the income for each task by bringing all relevant data to the same price level.</t>
  </si>
  <si>
    <t>Estimated inflation</t>
  </si>
  <si>
    <t>Calculation of tariffs</t>
  </si>
  <si>
    <t>Estimated inflation 2020</t>
  </si>
  <si>
    <t>USD</t>
  </si>
  <si>
    <t>Fuel component correction</t>
  </si>
  <si>
    <t>In the profit sharing model, ACM has calculated the corrections for volume and profit sharing.</t>
  </si>
  <si>
    <t>In the fuel model, ACM has calculated the fuel price correction for the producer and the fuel component correction for the distributor.</t>
  </si>
  <si>
    <t>USD, pl 2020</t>
  </si>
  <si>
    <t>On this sheet the tariffs are calculated by ACM.</t>
  </si>
  <si>
    <t>ACM has requested SEC to provide information on the estimated production, the estimated production yield, the price of fuel and the network loss.</t>
  </si>
  <si>
    <t>Input calculation production price</t>
  </si>
  <si>
    <t>Input calculation distribution tariffs</t>
  </si>
  <si>
    <t>Estimated fuel efficiency</t>
  </si>
  <si>
    <t>Estimated share production with fuel</t>
  </si>
  <si>
    <t>Fuel cost correction</t>
  </si>
  <si>
    <t>Fuel component</t>
  </si>
  <si>
    <t>Corrections as calculated in fuel model</t>
  </si>
  <si>
    <t>Corrections as calculated in profit sharing model</t>
  </si>
  <si>
    <t>Calculated in profit sharing model</t>
  </si>
  <si>
    <t>Calculated in fuel model</t>
  </si>
  <si>
    <t>CPI CBS</t>
  </si>
  <si>
    <t>Fixed/variable costs</t>
  </si>
  <si>
    <t>(see column)</t>
  </si>
  <si>
    <t>Calculation Fixed vs. Variable costs</t>
  </si>
  <si>
    <t>On this sheet ACM makes a split of the costs per department in a fixed and a variable part.</t>
  </si>
  <si>
    <t>Electricity production</t>
  </si>
  <si>
    <t>Relevant data</t>
  </si>
  <si>
    <t>Estimated costs</t>
  </si>
  <si>
    <t xml:space="preserve">RAB-value </t>
  </si>
  <si>
    <t xml:space="preserve">Depreciation </t>
  </si>
  <si>
    <t>Volume</t>
  </si>
  <si>
    <t>Calculation fixed-variable costs</t>
  </si>
  <si>
    <t>Fixed/variable RAB</t>
  </si>
  <si>
    <t>Capital cost (RAB*WACC+ depreciation)</t>
  </si>
  <si>
    <t>Calculation fixed costs</t>
  </si>
  <si>
    <t>Operational costs (excl fuel)</t>
  </si>
  <si>
    <t>Other income</t>
  </si>
  <si>
    <t>Input from the OPEX-model</t>
  </si>
  <si>
    <t>Input from the RAB-model</t>
  </si>
  <si>
    <t>Data on volumes</t>
  </si>
  <si>
    <t>Estimated volume</t>
  </si>
  <si>
    <t>Corrections per kWh</t>
  </si>
  <si>
    <t>Variable distribution tariff before fuel correction</t>
  </si>
  <si>
    <t>Fuel component correction per kWh</t>
  </si>
  <si>
    <t>Expected number of connections per kVA</t>
  </si>
  <si>
    <t>Variable part of capital costs</t>
  </si>
  <si>
    <t>Based on analysis by ACM on fixed/variable costs in the Caribbean Netherlands</t>
  </si>
  <si>
    <t>Depreciation does not relate to any price level due to the use of a nominal WACC.</t>
  </si>
  <si>
    <t>RAB-value does not relate to any price level due to the use of a nominal WACC.</t>
  </si>
  <si>
    <t>Income level before corrections</t>
  </si>
  <si>
    <t>Tariffs associated with connection activities</t>
  </si>
  <si>
    <t>The reconnection fee is set fixed at USD 25.</t>
  </si>
  <si>
    <t>Column "Remarks" explains which correction will be included in which tariff. As the fuel component correction is calculated every six months, this correction will only be added to the variable usage tariff for the upcoming six months.</t>
  </si>
  <si>
    <t>Estimated distribution data</t>
  </si>
  <si>
    <t>Realized volumes</t>
  </si>
  <si>
    <t>Based on assumption by ACM on fixed/variable costs in the Caribbean Netherlands</t>
  </si>
  <si>
    <t>ACM has determined the operational costs and other income, by using the annual account and division keys provided by SEC.</t>
  </si>
  <si>
    <t>Parameters</t>
  </si>
  <si>
    <t>This sheet shows the percentages used for the CPI, WACC  and fixed/variable costs.</t>
  </si>
  <si>
    <t>Dictum / Annex 1 to decision: tariffs and key figures Electricity</t>
  </si>
  <si>
    <t>Tariffs to include in Dictum production price decision</t>
  </si>
  <si>
    <t>Production price electricity excl. fuel</t>
  </si>
  <si>
    <t>Variable distribution tariff electricity</t>
  </si>
  <si>
    <t>Fixed distribution tariff electricty</t>
  </si>
  <si>
    <t>3,2 kVA</t>
  </si>
  <si>
    <t>7,7 kVA</t>
  </si>
  <si>
    <t>13,3 kVA</t>
  </si>
  <si>
    <t>18,3 kVA</t>
  </si>
  <si>
    <t>23,3 kVA</t>
  </si>
  <si>
    <t>28,3 kVA</t>
  </si>
  <si>
    <t>38,3 kVA</t>
  </si>
  <si>
    <t>48,3 kVA</t>
  </si>
  <si>
    <t>63,3 kVA</t>
  </si>
  <si>
    <t>78,3 kVA</t>
  </si>
  <si>
    <t>83,3 kVA</t>
  </si>
  <si>
    <t>93,3 kVA</t>
  </si>
  <si>
    <t>98,3 kVA</t>
  </si>
  <si>
    <t>100 kVA</t>
  </si>
  <si>
    <t>125 kVA</t>
  </si>
  <si>
    <t>350 kVA</t>
  </si>
  <si>
    <t>Distribution tariffs 2020</t>
  </si>
  <si>
    <t>Operational costs for regulatory cost base</t>
  </si>
  <si>
    <t xml:space="preserve">   Production by solar</t>
  </si>
  <si>
    <t xml:space="preserve">   Production by fuel</t>
  </si>
  <si>
    <t>Liter/kWh</t>
  </si>
  <si>
    <t>Total capacity of the network</t>
  </si>
  <si>
    <t xml:space="preserve">Note: 'pl' means price level </t>
  </si>
  <si>
    <t>Total other income, to be netted with costs</t>
  </si>
  <si>
    <t>Variable part of operational costs</t>
  </si>
  <si>
    <t>Fixed/variable operational costs</t>
  </si>
  <si>
    <t>Network losses</t>
  </si>
  <si>
    <t>About the status of this file</t>
  </si>
  <si>
    <t>This file uses the output from the OPEX calculation, RAB calculation, fuel corrections and profit sharing calculation</t>
  </si>
  <si>
    <t>Berekening tarieven SEC 2021</t>
  </si>
  <si>
    <t>Beschikking productieprijs elektriciteit 2021 SEC
Beschikking distributietarieven elektriciteit 2021 SEC</t>
  </si>
  <si>
    <t>Tariffs SEC 2021</t>
  </si>
  <si>
    <t>Estimated inflation 2021</t>
  </si>
  <si>
    <t>Income level and corrections for tariffs 2021</t>
  </si>
  <si>
    <t>USD, pl 2021</t>
  </si>
  <si>
    <t>Volume-effect 2019</t>
  </si>
  <si>
    <t>Profit sharing: regular costs 2019</t>
  </si>
  <si>
    <t>Profit sharing: network losses 2019</t>
  </si>
  <si>
    <t>Fuel cost correction 2019</t>
  </si>
  <si>
    <t>Fuel component correction May-October 2020</t>
  </si>
  <si>
    <t>Income level for production price 2021</t>
  </si>
  <si>
    <t>Income level for fixed usage tariff 2021</t>
  </si>
  <si>
    <t>Volume-effect correction of 2019 will be applied to the production price resp. fixed usage tariff in 2021.</t>
  </si>
  <si>
    <t>Profit sharing correction for regular costs in 2019 will be applied to the production price resp. fixed usage tariff in 2021.</t>
  </si>
  <si>
    <t>Profit sharing correction for network losses in 2019 will be applied to the variable usage tariff in 2021.</t>
  </si>
  <si>
    <t>Fuel cost correction 2019 will be applied to the production price in 2021.</t>
  </si>
  <si>
    <t>Fuel component correction will be applied to the variable usage tariff in the first half of 2021.</t>
  </si>
  <si>
    <t>Expected network losses 2021</t>
  </si>
  <si>
    <t>Expected sales 1st half of 2020</t>
  </si>
  <si>
    <t>USD/kWh, pl 2021</t>
  </si>
  <si>
    <t>ACM assumes the sales to be evenly distributed within 2021.</t>
  </si>
  <si>
    <t>The fuel correction takes place every six months. Therefore, the fuel correction of May-October 2020 will only be included in the variable usage tariff of January-June 2021.</t>
  </si>
  <si>
    <t>Total expected kVA connected to the network in 2020</t>
  </si>
  <si>
    <t>WACC 2021</t>
  </si>
  <si>
    <t>ACM has determined the RAB, by calculating the value of the Initial RAB (up until 2015) and the RAB of new investments in 2016, 2017, 2018 and 2019.</t>
  </si>
  <si>
    <t>Cost data 2019</t>
  </si>
  <si>
    <t>Operational costs (excl fuel) 2019</t>
  </si>
  <si>
    <t>Other income 2019</t>
  </si>
  <si>
    <t>RAB-value ultimo 2019</t>
  </si>
  <si>
    <t>Depreciation 2019</t>
  </si>
  <si>
    <t>Realized volume 2019</t>
  </si>
  <si>
    <t>Tariff for new connection in 2020</t>
  </si>
  <si>
    <t>Realised volume 2019</t>
  </si>
  <si>
    <t>Estimated fixed operational costs 2019</t>
  </si>
  <si>
    <t>Estimated variable operational costs 2019</t>
  </si>
  <si>
    <t>Estimated variable operational costs 2019 per unit</t>
  </si>
  <si>
    <t>USD, pl 2019 / #</t>
  </si>
  <si>
    <t>Estimated fixed capital costs 2019</t>
  </si>
  <si>
    <t>Estimated variable capital costs 2019</t>
  </si>
  <si>
    <t>Estimated variable capital costs 2019 per unit</t>
  </si>
  <si>
    <t>Total estimated fixed costs 2021</t>
  </si>
  <si>
    <t>Total estimated variable costs 2021 per unit</t>
  </si>
  <si>
    <t>USD, pl 2021 / #</t>
  </si>
  <si>
    <t>Total estimated fixed costs 2019</t>
  </si>
  <si>
    <t>Total estimated variable costs 2019 per unit</t>
  </si>
  <si>
    <t>Income for 2021</t>
  </si>
  <si>
    <t>Income level 2021 before corrections</t>
  </si>
  <si>
    <t>The income level before corrections is equal to the expected costs in 2021 including a reasonable return (WACC).</t>
  </si>
  <si>
    <t xml:space="preserve">On this sheet all the relevant information to include in the appendix of the decision on the tariffs of 2021 is shown. </t>
  </si>
  <si>
    <t>USD, pl 2021 / kWh</t>
  </si>
  <si>
    <t>USD, pl 2021 / month</t>
  </si>
  <si>
    <t>USD, pl 2021 / meter</t>
  </si>
  <si>
    <t xml:space="preserve">Key figures Tariff decision SEC 2021 - Electricity </t>
  </si>
  <si>
    <t>Variable part of operational costs in 2019</t>
  </si>
  <si>
    <t>Variable part of capital costs in 2019</t>
  </si>
  <si>
    <t>Summary of cost data 2019</t>
  </si>
  <si>
    <t>Regulated asset base (ultimo 2019)</t>
  </si>
  <si>
    <t>Depreciation in 2019</t>
  </si>
  <si>
    <t>Volume-effect correction 2019</t>
  </si>
  <si>
    <t>Other parameters (expectations 2021)</t>
  </si>
  <si>
    <t>Total estimated production volume 2021</t>
  </si>
  <si>
    <t>Estimated production yield for fuel in 2021</t>
  </si>
  <si>
    <t>Profit sharing correction for network losses will be applied to the variable usage tariff in 2021.</t>
  </si>
  <si>
    <t>Volume-effect correction will be applied to the production price resp. fixed usage tariff in 2021.</t>
  </si>
  <si>
    <t>Profit sharing correction for regular costs will be applied to the production price resp. fixed usage tariff in 2021.</t>
  </si>
  <si>
    <t>Disclaimer</t>
  </si>
  <si>
    <t>Cover sheet</t>
  </si>
  <si>
    <t>As of the development of the CPI between Q3 2017 and Q3 2018, the 2017 = 100 serie is used. Before this, the 2010 = 100 serie has been used.</t>
  </si>
  <si>
    <t xml:space="preserve">https://opendata.cbs.nl/statline/#/CBS/nl/dataset/84046NED/table?ts=1600788763622 </t>
  </si>
  <si>
    <t>ACM WACC decision 2019</t>
  </si>
  <si>
    <t xml:space="preserve">https://www.acm.nl/nl/publicaties/wacc-elektriciteit-en-drinkwater-caribisch-nederland-2020-2022 </t>
  </si>
  <si>
    <t>OPEX-model, sheet "Output", row 14</t>
  </si>
  <si>
    <t>OPEX-model, sheet "Output", row 17</t>
  </si>
  <si>
    <t>OPEX-model</t>
  </si>
  <si>
    <t>OPEX-model SEC t.b.v. tarieven 2021</t>
  </si>
  <si>
    <t>RAB-model</t>
  </si>
  <si>
    <t>RAB-model SEC t.b.v. tarieven 2021</t>
  </si>
  <si>
    <t>RAB-model, sheet "Output", row 22</t>
  </si>
  <si>
    <t>RAB-model, sheet "Output", row 33</t>
  </si>
  <si>
    <t>KPI 2019</t>
  </si>
  <si>
    <t>Key Performance Indicators Report 2019</t>
  </si>
  <si>
    <t>Production of Electricity forecast 2021</t>
  </si>
  <si>
    <t>Production of Elecitricty forecast 2021</t>
  </si>
  <si>
    <t>Production of Electricity forecast 2021, sheet "Production estimation (2021); row 9</t>
  </si>
  <si>
    <t>Production of Electricity forecast 2021, sheet "Production estimation (2021); row 14</t>
  </si>
  <si>
    <t xml:space="preserve">KPI 2019, sheet "KFP Monthly"; row 15 </t>
  </si>
  <si>
    <t>The most recent invoice uses "gallons" as a unit for fuel. This fuel price has been converted from a price per gallon to a price per liter.</t>
  </si>
  <si>
    <t>Estimation Net Losses</t>
  </si>
  <si>
    <t>Estimation net losses</t>
  </si>
  <si>
    <t>Tariff Decision SEC 2020</t>
  </si>
  <si>
    <t>Rekenmodel SEC 2020</t>
  </si>
  <si>
    <t xml:space="preserve">https://www.acm.nl/nl/publicaties/beschikking-distributietarieven-elektriciteit-2020-saba-sec-caribisch-nederland </t>
  </si>
  <si>
    <t>Estimated number of connections per category 2021 - SEC</t>
  </si>
  <si>
    <t>Estimated number of connections SEC</t>
  </si>
  <si>
    <t>PS-model, sheet "Result", row 22</t>
  </si>
  <si>
    <t>Fuel model, sheet "Fuel component correction", row 26</t>
  </si>
  <si>
    <t>PS-model</t>
  </si>
  <si>
    <t>PS-model, sheet "Result", row 21</t>
  </si>
  <si>
    <t>PS-model, sheet "Result", row 23</t>
  </si>
  <si>
    <t>Fuel model</t>
  </si>
  <si>
    <t>ACM Historical data 2019</t>
  </si>
  <si>
    <t>Estimated network losses 2021 (based on realized network losses 2019)</t>
  </si>
  <si>
    <t>KPI 2019, sheet "KFP Comparison"; kVA overview</t>
  </si>
  <si>
    <t>kVA overview</t>
  </si>
  <si>
    <t>overview</t>
  </si>
  <si>
    <t>Production of Electricity forecast 2021, sheet "Production estimation (2021); sum of row 10 and 11</t>
  </si>
  <si>
    <t>Fuel efficiency</t>
  </si>
  <si>
    <t>This document contains the calculation of the electricity tariffs of Saba Electric (hereafter: SEC). These tariffs are based on an estimation of the costs of SEC in 2021 and the profit sharing results of 2019.</t>
  </si>
  <si>
    <t>ACM estimates the costs of 2021 based on the costs of 2019 as can be found in the annual account of SEC.</t>
  </si>
  <si>
    <t>Profit sharing model SEC 2021</t>
  </si>
  <si>
    <t>Fuel model SEC t.b.v. tarieven 2021</t>
  </si>
  <si>
    <t>Last update input CBS: October 21, 2020</t>
  </si>
  <si>
    <t>ACM Historical data 2019, sheet "Net losses"; row 48</t>
  </si>
  <si>
    <t>Tariff decision SEC 2020, sheet "Tariffs"; row 113</t>
  </si>
  <si>
    <t>Tariff decision SEC 2020, sheet "Tariffs"; row 114</t>
  </si>
  <si>
    <t>Tariff decision SEC 2020, sheet "Tariffs"; row 115</t>
  </si>
  <si>
    <t>Tariff decision SEC 2020, sheet "Tariffs"; row 110</t>
  </si>
  <si>
    <t>Fuel model, sheet "Fuel cost correction", row 21</t>
  </si>
  <si>
    <t>Fuel invoice October 29, 2020</t>
  </si>
  <si>
    <t>US gallon to liter</t>
  </si>
  <si>
    <t>USD/US gallons</t>
  </si>
  <si>
    <t>USD / #</t>
  </si>
  <si>
    <t>In 2019, SEC dismounted the first phase of its solar park for a refit. This led to higher fuel costs. These costs are part of a legal dispute. Additionally, EZK has made a guarantee to cover 90% of these costs in case SEC loses the dispute. Therefore, these costs should not be included in the tariffs.</t>
  </si>
  <si>
    <t>Appendix 2. Loss in fuel savings due to refit (excel)</t>
  </si>
  <si>
    <t>Sum of July-December 2019</t>
  </si>
  <si>
    <t>Data on additional subsidy for fuel savings</t>
  </si>
  <si>
    <t>Based on policy commitment by the Ministry of Economic Affairs and Climate Policy</t>
  </si>
  <si>
    <t>Correction for cover fuel savings 2019 will be applied to the production price in 2021.</t>
  </si>
  <si>
    <t>Correction for covered fuel savings 2019</t>
  </si>
  <si>
    <t>Loss in fuel savings due to refit in 2019</t>
  </si>
  <si>
    <t>Covered by policy commitment</t>
  </si>
  <si>
    <t>Corrections apply to January-December 2021. The fuel correction will be added only to the variable distribution tariff for January-June 2021.</t>
  </si>
  <si>
    <t>Estimated production data for 2021</t>
  </si>
  <si>
    <t>Estimated production by solar 2021</t>
  </si>
  <si>
    <t>Estimated production by fuel 2021</t>
  </si>
  <si>
    <t>Estimated own consumption powerplant 2021</t>
  </si>
  <si>
    <t>Estimated total production  2021</t>
  </si>
  <si>
    <t>Estimated share of production with fuel 2021</t>
  </si>
  <si>
    <t>Estimated number of connections per kVA in 2021</t>
  </si>
  <si>
    <t>Total estimated volume 2021</t>
  </si>
  <si>
    <t>ACM assumes other income is not related with volume and therefore it is 0% variable.</t>
  </si>
  <si>
    <t>Correction for covered fuel savings 2019 (subsidy EZK)</t>
  </si>
  <si>
    <t xml:space="preserve">   Own consumption powerplant</t>
  </si>
  <si>
    <t>ACM/20/040017</t>
  </si>
  <si>
    <t>Belongs to decision(s)</t>
  </si>
  <si>
    <t>Reference number of decision(s)</t>
  </si>
  <si>
    <t>ACM/UIT/544863
ACM/UIT/544893</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</si>
  <si>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</si>
  <si>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</si>
  <si>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 xml:space="preserve">If ACM does use cell or range references, macros, or other more complex functions in Excel, these will be explained on this sheet. </t>
  </si>
  <si>
    <t>Yes</t>
  </si>
  <si>
    <t xml:space="preserve">If there are any substantive differences between the calculation in this file and the calculation that follows from the relevant decision, the decision's calculation is authentic. </t>
  </si>
  <si>
    <t>E-mail SEC to ACM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</si>
</sst>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000_ ;_ * \-#,##0.000_ ;_ * &quot;-&quot;??_ ;_ @_ "/>
    <numFmt numFmtId="166" formatCode="_ * #,##0_ ;_ * \-#,##0_ ;_ * &quot;-&quot;??_ ;_ @_ "/>
    <numFmt numFmtId="167" formatCode="_ * #,##0.0_ ;_ * \-#,##0.0_ ;_ * &quot;-&quot;??_ ;_ @_ "/>
    <numFmt numFmtId="168" formatCode="0.0%"/>
    <numFmt numFmtId="169" formatCode="0.0000"/>
  </numFmts>
  <fonts count="30" x14ac:knownFonts="1">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u/>
      <sz val="10"/>
      <color theme="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1" borderId="1">
      <alignment vertical="top"/>
    </xf>
    <xf numFmtId="49" fontId="6" fillId="0" borderId="0">
      <alignment vertical="top"/>
    </xf>
    <xf numFmtId="43" fontId="5" fillId="14" borderId="0">
      <alignment vertical="top"/>
    </xf>
    <xf numFmtId="43" fontId="5" fillId="13" borderId="0">
      <alignment vertical="top"/>
    </xf>
    <xf numFmtId="43" fontId="5" fillId="11" borderId="0">
      <alignment vertical="top"/>
    </xf>
    <xf numFmtId="43" fontId="5" fillId="6" borderId="0">
      <alignment vertical="top"/>
    </xf>
    <xf numFmtId="43" fontId="5" fillId="8" borderId="0">
      <alignment vertical="top"/>
    </xf>
    <xf numFmtId="43" fontId="5" fillId="15" borderId="0">
      <alignment vertical="top"/>
    </xf>
    <xf numFmtId="49" fontId="11" fillId="0" borderId="0">
      <alignment vertical="top"/>
    </xf>
    <xf numFmtId="49" fontId="10" fillId="0" borderId="0">
      <alignment vertical="top"/>
    </xf>
    <xf numFmtId="0" fontId="16" fillId="17" borderId="3" applyNumberFormat="0" applyAlignment="0" applyProtection="0"/>
    <xf numFmtId="0" fontId="17" fillId="18" borderId="4" applyNumberFormat="0" applyAlignment="0" applyProtection="0"/>
    <xf numFmtId="0" fontId="18" fillId="18" borderId="3" applyNumberFormat="0" applyAlignment="0" applyProtection="0"/>
    <xf numFmtId="0" fontId="19" fillId="0" borderId="5" applyNumberFormat="0" applyFill="0" applyAlignment="0" applyProtection="0"/>
    <xf numFmtId="0" fontId="13" fillId="19" borderId="6" applyNumberFormat="0" applyAlignment="0" applyProtection="0"/>
    <xf numFmtId="0" fontId="15" fillId="20"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7" fillId="45" borderId="0" applyNumberFormat="0" applyBorder="0" applyAlignment="0" applyProtection="0"/>
    <xf numFmtId="0" fontId="28" fillId="0" borderId="0" applyNumberFormat="0" applyFill="0" applyBorder="0" applyAlignment="0" applyProtection="0"/>
    <xf numFmtId="43" fontId="15" fillId="0" borderId="0" applyFont="0" applyFill="0" applyBorder="0" applyAlignment="0" applyProtection="0"/>
    <xf numFmtId="49" fontId="29" fillId="0" borderId="0" applyFill="0" applyBorder="0" applyAlignment="0" applyProtection="0"/>
    <xf numFmtId="43" fontId="5" fillId="46" borderId="0" applyNumberFormat="0">
      <alignment vertical="top"/>
    </xf>
    <xf numFmtId="10" fontId="5" fillId="0" borderId="0" applyFont="0" applyFill="0" applyBorder="0" applyAlignment="0" applyProtection="0">
      <alignment vertical="top"/>
    </xf>
    <xf numFmtId="0" fontId="20" fillId="0" borderId="0" applyNumberFormat="0" applyFill="0" applyBorder="0" applyAlignment="0" applyProtection="0"/>
    <xf numFmtId="0" fontId="1" fillId="0" borderId="0">
      <alignment vertical="top"/>
    </xf>
  </cellStyleXfs>
  <cellXfs count="120">
    <xf numFmtId="0" fontId="0" fillId="0" borderId="0" xfId="0"/>
    <xf numFmtId="49" fontId="5" fillId="0" borderId="0" xfId="7" applyFont="1">
      <alignment vertical="top"/>
    </xf>
    <xf numFmtId="167" fontId="5" fillId="0" borderId="0" xfId="4" applyNumberFormat="1">
      <alignment vertical="top"/>
    </xf>
    <xf numFmtId="166" fontId="5" fillId="46" borderId="0" xfId="63" applyNumberFormat="1">
      <alignment vertical="top"/>
    </xf>
    <xf numFmtId="10" fontId="5" fillId="6" borderId="0" xfId="11" applyNumberFormat="1">
      <alignment vertical="top"/>
    </xf>
    <xf numFmtId="0" fontId="6" fillId="0" borderId="0" xfId="4" applyFont="1">
      <alignment vertical="top"/>
    </xf>
    <xf numFmtId="0" fontId="5" fillId="0" borderId="0" xfId="4">
      <alignment vertical="top"/>
    </xf>
    <xf numFmtId="0" fontId="7" fillId="0" borderId="0" xfId="4" applyFont="1">
      <alignment vertical="top"/>
    </xf>
    <xf numFmtId="0" fontId="10" fillId="0" borderId="0" xfId="4" applyFont="1">
      <alignment vertical="top"/>
    </xf>
    <xf numFmtId="0" fontId="11" fillId="0" borderId="0" xfId="4" applyFont="1">
      <alignment vertical="top"/>
    </xf>
    <xf numFmtId="49" fontId="9" fillId="5" borderId="1" xfId="5">
      <alignment vertical="top"/>
    </xf>
    <xf numFmtId="49" fontId="6" fillId="21" borderId="1" xfId="6">
      <alignment vertical="top"/>
    </xf>
    <xf numFmtId="0" fontId="5" fillId="0" borderId="0" xfId="4" applyFill="1">
      <alignment vertical="top"/>
    </xf>
    <xf numFmtId="0" fontId="5" fillId="0" borderId="2" xfId="4" applyBorder="1" applyAlignment="1">
      <alignment horizontal="left" vertical="top" wrapText="1"/>
    </xf>
    <xf numFmtId="0" fontId="9" fillId="5" borderId="1" xfId="4" applyFont="1" applyFill="1" applyBorder="1">
      <alignment vertical="top"/>
    </xf>
    <xf numFmtId="0" fontId="8" fillId="5" borderId="1" xfId="4" applyFont="1" applyFill="1" applyBorder="1">
      <alignment vertical="top"/>
    </xf>
    <xf numFmtId="0" fontId="11" fillId="0" borderId="0" xfId="4" applyFont="1" applyFill="1">
      <alignment vertical="top"/>
    </xf>
    <xf numFmtId="0" fontId="5" fillId="7" borderId="0" xfId="4" applyFill="1">
      <alignment vertical="top"/>
    </xf>
    <xf numFmtId="2" fontId="5" fillId="12" borderId="0" xfId="4" applyNumberFormat="1" applyFill="1">
      <alignment vertical="top"/>
    </xf>
    <xf numFmtId="1" fontId="5" fillId="0" borderId="0" xfId="4" applyNumberFormat="1" applyFill="1">
      <alignment vertical="top"/>
    </xf>
    <xf numFmtId="0" fontId="9" fillId="5" borderId="1" xfId="5" applyNumberFormat="1">
      <alignment vertical="top"/>
    </xf>
    <xf numFmtId="0" fontId="14" fillId="0" borderId="0" xfId="4" applyFont="1">
      <alignment vertical="top"/>
    </xf>
    <xf numFmtId="0" fontId="5" fillId="16" borderId="0" xfId="4" applyFill="1">
      <alignment vertical="top"/>
    </xf>
    <xf numFmtId="0" fontId="5" fillId="0" borderId="0" xfId="4" applyFont="1">
      <alignment vertical="top"/>
    </xf>
    <xf numFmtId="49" fontId="5" fillId="21" borderId="2" xfId="6" applyFont="1" applyBorder="1">
      <alignment vertical="top"/>
    </xf>
    <xf numFmtId="0" fontId="5" fillId="0" borderId="2" xfId="4" applyFont="1" applyBorder="1">
      <alignment vertical="top"/>
    </xf>
    <xf numFmtId="49" fontId="6" fillId="0" borderId="0" xfId="7">
      <alignment vertical="top"/>
    </xf>
    <xf numFmtId="0" fontId="5" fillId="0" borderId="2" xfId="4" applyFont="1" applyBorder="1" applyAlignment="1">
      <alignment horizontal="left" vertical="top" wrapText="1"/>
    </xf>
    <xf numFmtId="43" fontId="5" fillId="6" borderId="0" xfId="11">
      <alignment vertical="top"/>
    </xf>
    <xf numFmtId="164" fontId="5" fillId="13" borderId="0" xfId="9" applyNumberFormat="1">
      <alignment vertical="top"/>
    </xf>
    <xf numFmtId="165" fontId="5" fillId="6" borderId="0" xfId="11" applyNumberFormat="1">
      <alignment vertical="top"/>
    </xf>
    <xf numFmtId="166" fontId="5" fillId="13" borderId="0" xfId="9" applyNumberFormat="1">
      <alignment vertical="top"/>
    </xf>
    <xf numFmtId="164" fontId="5" fillId="15" borderId="0" xfId="13" applyNumberFormat="1">
      <alignment vertical="top"/>
    </xf>
    <xf numFmtId="43" fontId="5" fillId="15" borderId="0" xfId="13">
      <alignment vertical="top"/>
    </xf>
    <xf numFmtId="43" fontId="5" fillId="14" borderId="0" xfId="8">
      <alignment vertical="top"/>
    </xf>
    <xf numFmtId="164" fontId="5" fillId="14" borderId="0" xfId="8" applyNumberFormat="1">
      <alignment vertical="top"/>
    </xf>
    <xf numFmtId="166" fontId="5" fillId="15" borderId="0" xfId="13" applyNumberFormat="1">
      <alignment vertical="top"/>
    </xf>
    <xf numFmtId="167" fontId="5" fillId="15" borderId="0" xfId="13" applyNumberFormat="1">
      <alignment vertical="top"/>
    </xf>
    <xf numFmtId="165" fontId="5" fillId="15" borderId="0" xfId="13" applyNumberFormat="1">
      <alignment vertical="top"/>
    </xf>
    <xf numFmtId="166" fontId="5" fillId="6" borderId="0" xfId="11" applyNumberFormat="1">
      <alignment vertical="top"/>
    </xf>
    <xf numFmtId="168" fontId="5" fillId="6" borderId="0" xfId="11" applyNumberFormat="1">
      <alignment vertical="top"/>
    </xf>
    <xf numFmtId="166" fontId="5" fillId="6" borderId="0" xfId="11" applyNumberFormat="1" applyFont="1">
      <alignment vertical="top"/>
    </xf>
    <xf numFmtId="166" fontId="5" fillId="0" borderId="0" xfId="4" applyNumberFormat="1">
      <alignment vertical="top"/>
    </xf>
    <xf numFmtId="167" fontId="5" fillId="6" borderId="0" xfId="11" applyNumberFormat="1">
      <alignment vertical="top"/>
    </xf>
    <xf numFmtId="0" fontId="1" fillId="0" borderId="0" xfId="0" applyFont="1"/>
    <xf numFmtId="166" fontId="5" fillId="0" borderId="0" xfId="9" applyNumberFormat="1" applyFill="1">
      <alignment vertical="top"/>
    </xf>
    <xf numFmtId="49" fontId="6" fillId="0" borderId="0" xfId="7">
      <alignment vertical="top"/>
    </xf>
    <xf numFmtId="49" fontId="6" fillId="21" borderId="1" xfId="6">
      <alignment vertical="top"/>
    </xf>
    <xf numFmtId="0" fontId="5" fillId="0" borderId="0" xfId="4" applyFill="1">
      <alignment vertical="top"/>
    </xf>
    <xf numFmtId="0" fontId="5" fillId="0" borderId="0" xfId="4">
      <alignment vertical="top"/>
    </xf>
    <xf numFmtId="166" fontId="5" fillId="6" borderId="0" xfId="11" applyNumberFormat="1">
      <alignment vertical="top"/>
    </xf>
    <xf numFmtId="166" fontId="5" fillId="13" borderId="0" xfId="9" applyNumberFormat="1">
      <alignment vertical="top"/>
    </xf>
    <xf numFmtId="166" fontId="5" fillId="14" borderId="0" xfId="8" applyNumberFormat="1">
      <alignment vertical="top"/>
    </xf>
    <xf numFmtId="43" fontId="5" fillId="46" borderId="0" xfId="63">
      <alignment vertical="top"/>
    </xf>
    <xf numFmtId="0" fontId="5" fillId="46" borderId="0" xfId="63" applyNumberFormat="1">
      <alignment vertical="top"/>
    </xf>
    <xf numFmtId="49" fontId="6" fillId="21" borderId="1" xfId="6" applyFont="1">
      <alignment vertical="top"/>
    </xf>
    <xf numFmtId="49" fontId="9" fillId="5" borderId="12" xfId="5" applyBorder="1">
      <alignment vertical="top"/>
    </xf>
    <xf numFmtId="49" fontId="6" fillId="21" borderId="12" xfId="6" applyBorder="1">
      <alignment vertical="top"/>
    </xf>
    <xf numFmtId="0" fontId="5" fillId="47" borderId="0" xfId="4" applyFill="1">
      <alignment vertical="top"/>
    </xf>
    <xf numFmtId="0" fontId="0" fillId="0" borderId="0" xfId="0" applyAlignment="1">
      <alignment vertical="top"/>
    </xf>
    <xf numFmtId="49" fontId="10" fillId="0" borderId="0" xfId="15">
      <alignment vertical="top"/>
    </xf>
    <xf numFmtId="49" fontId="6" fillId="21" borderId="1" xfId="6" applyAlignment="1">
      <alignment vertical="top" wrapText="1"/>
    </xf>
    <xf numFmtId="43" fontId="5" fillId="13" borderId="0" xfId="9">
      <alignment vertical="top"/>
    </xf>
    <xf numFmtId="164" fontId="5" fillId="6" borderId="0" xfId="11" applyNumberFormat="1">
      <alignment vertical="top"/>
    </xf>
    <xf numFmtId="0" fontId="6" fillId="0" borderId="0" xfId="4" applyFont="1">
      <alignment vertical="top"/>
    </xf>
    <xf numFmtId="49" fontId="6" fillId="21" borderId="1" xfId="6">
      <alignment vertical="top"/>
    </xf>
    <xf numFmtId="0" fontId="14" fillId="0" borderId="0" xfId="4" applyFont="1">
      <alignment vertical="top"/>
    </xf>
    <xf numFmtId="49" fontId="6" fillId="0" borderId="0" xfId="7">
      <alignment vertical="top"/>
    </xf>
    <xf numFmtId="0" fontId="5" fillId="0" borderId="0" xfId="4">
      <alignment vertical="top"/>
    </xf>
    <xf numFmtId="166" fontId="5" fillId="13" borderId="0" xfId="9" applyNumberFormat="1">
      <alignment vertical="top"/>
    </xf>
    <xf numFmtId="166" fontId="5" fillId="14" borderId="0" xfId="8" applyNumberFormat="1">
      <alignment vertical="top"/>
    </xf>
    <xf numFmtId="0" fontId="5" fillId="0" borderId="0" xfId="4" applyBorder="1">
      <alignment vertical="top"/>
    </xf>
    <xf numFmtId="49" fontId="13" fillId="5" borderId="1" xfId="5" applyFont="1">
      <alignment vertical="top"/>
    </xf>
    <xf numFmtId="9" fontId="5" fillId="0" borderId="0" xfId="4" applyNumberFormat="1">
      <alignment vertical="top"/>
    </xf>
    <xf numFmtId="43" fontId="5" fillId="11" borderId="0" xfId="10">
      <alignment vertical="top"/>
    </xf>
    <xf numFmtId="43" fontId="5" fillId="8" borderId="0" xfId="12">
      <alignment vertical="top"/>
    </xf>
    <xf numFmtId="0" fontId="5" fillId="10" borderId="0" xfId="4" applyFont="1" applyFill="1">
      <alignment vertical="top"/>
    </xf>
    <xf numFmtId="0" fontId="5" fillId="9" borderId="0" xfId="4" applyFont="1" applyFill="1">
      <alignment vertical="top"/>
    </xf>
    <xf numFmtId="0" fontId="5" fillId="13" borderId="0" xfId="4" applyFont="1" applyFill="1">
      <alignment vertical="top"/>
    </xf>
    <xf numFmtId="49" fontId="5" fillId="21" borderId="0" xfId="6" applyFont="1" applyBorder="1">
      <alignment vertical="top"/>
    </xf>
    <xf numFmtId="0" fontId="5" fillId="0" borderId="0" xfId="4" applyFont="1" applyFill="1" applyBorder="1" applyAlignment="1">
      <alignment horizontal="left" vertical="top"/>
    </xf>
    <xf numFmtId="0" fontId="5" fillId="0" borderId="0" xfId="4" applyFont="1" applyFill="1" applyBorder="1" applyAlignment="1">
      <alignment horizontal="left" vertical="top" wrapText="1"/>
    </xf>
    <xf numFmtId="9" fontId="5" fillId="15" borderId="0" xfId="13" applyNumberFormat="1">
      <alignment vertical="top"/>
    </xf>
    <xf numFmtId="9" fontId="5" fillId="13" borderId="0" xfId="9" applyNumberFormat="1">
      <alignment vertical="top"/>
    </xf>
    <xf numFmtId="10" fontId="5" fillId="15" borderId="0" xfId="13" applyNumberFormat="1">
      <alignment vertical="top"/>
    </xf>
    <xf numFmtId="168" fontId="5" fillId="15" borderId="0" xfId="13" applyNumberFormat="1">
      <alignment vertical="top"/>
    </xf>
    <xf numFmtId="49" fontId="6" fillId="21" borderId="1" xfId="6" applyAlignment="1">
      <alignment vertical="top"/>
    </xf>
    <xf numFmtId="9" fontId="5" fillId="6" borderId="0" xfId="11" applyNumberFormat="1">
      <alignment vertical="top"/>
    </xf>
    <xf numFmtId="0" fontId="1" fillId="0" borderId="0" xfId="66">
      <alignment vertical="top"/>
    </xf>
    <xf numFmtId="43" fontId="5" fillId="13" borderId="0" xfId="9" applyNumberFormat="1">
      <alignment vertical="top"/>
    </xf>
    <xf numFmtId="43" fontId="5" fillId="15" borderId="0" xfId="13" applyNumberFormat="1">
      <alignment vertical="top"/>
    </xf>
    <xf numFmtId="164" fontId="5" fillId="16" borderId="0" xfId="13" applyNumberFormat="1" applyFill="1">
      <alignment vertical="top"/>
    </xf>
    <xf numFmtId="164" fontId="5" fillId="16" borderId="0" xfId="13" applyNumberFormat="1" applyFill="1"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49" fontId="6" fillId="21" borderId="16" xfId="6" applyBorder="1">
      <alignment vertical="top"/>
    </xf>
    <xf numFmtId="49" fontId="6" fillId="21" borderId="17" xfId="6" applyBorder="1">
      <alignment vertical="top"/>
    </xf>
    <xf numFmtId="0" fontId="5" fillId="0" borderId="18" xfId="4" applyBorder="1">
      <alignment vertical="top"/>
    </xf>
    <xf numFmtId="0" fontId="5" fillId="0" borderId="19" xfId="4" applyBorder="1">
      <alignment vertical="top"/>
    </xf>
    <xf numFmtId="49" fontId="6" fillId="0" borderId="18" xfId="7" applyBorder="1">
      <alignment vertical="top"/>
    </xf>
    <xf numFmtId="0" fontId="5" fillId="0" borderId="20" xfId="4" applyBorder="1">
      <alignment vertical="top"/>
    </xf>
    <xf numFmtId="0" fontId="5" fillId="0" borderId="21" xfId="4" applyBorder="1">
      <alignment vertical="top"/>
    </xf>
    <xf numFmtId="0" fontId="5" fillId="0" borderId="22" xfId="4" applyBorder="1">
      <alignment vertical="top"/>
    </xf>
    <xf numFmtId="43" fontId="5" fillId="16" borderId="0" xfId="13" applyNumberFormat="1" applyFill="1" applyBorder="1">
      <alignment vertical="top"/>
    </xf>
    <xf numFmtId="10" fontId="5" fillId="16" borderId="0" xfId="13" applyNumberFormat="1" applyFill="1" applyBorder="1">
      <alignment vertical="top"/>
    </xf>
    <xf numFmtId="168" fontId="5" fillId="16" borderId="0" xfId="13" applyNumberFormat="1" applyFill="1" applyBorder="1">
      <alignment vertical="top"/>
    </xf>
    <xf numFmtId="9" fontId="5" fillId="16" borderId="0" xfId="13" applyNumberFormat="1" applyFill="1" applyBorder="1">
      <alignment vertical="top"/>
    </xf>
    <xf numFmtId="166" fontId="5" fillId="16" borderId="0" xfId="13" applyNumberFormat="1" applyFill="1" applyBorder="1">
      <alignment vertical="top"/>
    </xf>
    <xf numFmtId="165" fontId="5" fillId="16" borderId="0" xfId="13" applyNumberFormat="1" applyFill="1" applyBorder="1">
      <alignment vertical="top"/>
    </xf>
    <xf numFmtId="49" fontId="6" fillId="0" borderId="0" xfId="7" applyBorder="1">
      <alignment vertical="top"/>
    </xf>
    <xf numFmtId="49" fontId="6" fillId="0" borderId="0" xfId="7" applyBorder="1" applyAlignment="1">
      <alignment vertical="top" wrapText="1"/>
    </xf>
    <xf numFmtId="49" fontId="6" fillId="0" borderId="19" xfId="7" applyBorder="1">
      <alignment vertical="top"/>
    </xf>
    <xf numFmtId="49" fontId="5" fillId="0" borderId="0" xfId="7" applyFont="1" applyBorder="1">
      <alignment vertical="top"/>
    </xf>
    <xf numFmtId="0" fontId="5" fillId="0" borderId="0" xfId="4" applyFont="1" applyBorder="1">
      <alignment vertical="top"/>
    </xf>
    <xf numFmtId="0" fontId="5" fillId="0" borderId="2" xfId="4" applyFont="1" applyBorder="1" applyAlignment="1">
      <alignment vertical="top" wrapText="1"/>
    </xf>
    <xf numFmtId="0" fontId="20" fillId="0" borderId="2" xfId="65" applyBorder="1" applyAlignment="1">
      <alignment vertical="top"/>
    </xf>
    <xf numFmtId="0" fontId="5" fillId="0" borderId="0" xfId="4" applyFont="1" applyAlignment="1">
      <alignment vertical="top" wrapText="1"/>
    </xf>
    <xf numFmtId="43" fontId="5" fillId="14" borderId="0" xfId="8" applyNumberFormat="1">
      <alignment vertical="top"/>
    </xf>
    <xf numFmtId="169" fontId="5" fillId="0" borderId="0" xfId="4" applyNumberFormat="1">
      <alignment vertical="top"/>
    </xf>
  </cellXfs>
  <cellStyles count="67">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n.v.t. (leeg)" xfId="63"/>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2" builtinId="8" hidden="1" customBuiltin="1"/>
    <cellStyle name="Hyperlink" xfId="65" builtinId="8"/>
    <cellStyle name="Invoer" xfId="16" builtinId="20" hidden="1"/>
    <cellStyle name="Komma" xfId="23" builtinId="3" hidden="1"/>
    <cellStyle name="Komma" xfId="61" builtinId="3" hidden="1"/>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hidden="1"/>
    <cellStyle name="Standaard" xfId="0" builtinId="0"/>
    <cellStyle name="Standaard 2" xfId="66"/>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CCFFCC"/>
      <color rgb="FFFFFFCC"/>
      <color rgb="FFCCC8D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distributietarieven-elektriciteit-2020-saba-sec-caribisch-nederland" TargetMode="External"/><Relationship Id="rId2" Type="http://schemas.openxmlformats.org/officeDocument/2006/relationships/hyperlink" Target="https://www.acm.nl/nl/publicaties/wacc-elektriciteit-en-drinkwater-caribisch-nederland-2020-2022" TargetMode="External"/><Relationship Id="rId1" Type="http://schemas.openxmlformats.org/officeDocument/2006/relationships/hyperlink" Target="https://opendata.cbs.nl/statlin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A2:D36"/>
  <sheetViews>
    <sheetView showGridLines="0" tabSelected="1"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6" customWidth="1"/>
    <col min="2" max="2" width="39.85546875" style="6" customWidth="1"/>
    <col min="3" max="3" width="91.85546875" style="6" customWidth="1"/>
    <col min="4" max="16384" width="9.140625" style="6"/>
  </cols>
  <sheetData>
    <row r="2" spans="2:3" s="15" customFormat="1" ht="18" x14ac:dyDescent="0.25">
      <c r="B2" s="14" t="s">
        <v>268</v>
      </c>
    </row>
    <row r="6" spans="2:3" x14ac:dyDescent="0.25">
      <c r="B6" s="7"/>
    </row>
    <row r="13" spans="2:3" s="11" customFormat="1" x14ac:dyDescent="0.25">
      <c r="B13" s="11" t="s">
        <v>64</v>
      </c>
    </row>
    <row r="14" spans="2:3" s="12" customFormat="1" x14ac:dyDescent="0.25"/>
    <row r="15" spans="2:3" x14ac:dyDescent="0.25">
      <c r="B15" s="27" t="s">
        <v>98</v>
      </c>
      <c r="C15" s="13" t="s">
        <v>345</v>
      </c>
    </row>
    <row r="16" spans="2:3" x14ac:dyDescent="0.25">
      <c r="B16" s="27" t="s">
        <v>99</v>
      </c>
      <c r="C16" s="13" t="s">
        <v>201</v>
      </c>
    </row>
    <row r="17" spans="1:4" ht="25.5" x14ac:dyDescent="0.25">
      <c r="B17" s="27" t="s">
        <v>346</v>
      </c>
      <c r="C17" s="13" t="s">
        <v>202</v>
      </c>
    </row>
    <row r="18" spans="1:4" ht="25.5" x14ac:dyDescent="0.25">
      <c r="B18" s="27" t="s">
        <v>347</v>
      </c>
      <c r="C18" s="13" t="s">
        <v>348</v>
      </c>
    </row>
    <row r="19" spans="1:4" ht="25.5" x14ac:dyDescent="0.25">
      <c r="B19" s="27" t="s">
        <v>100</v>
      </c>
      <c r="C19" s="13" t="s">
        <v>200</v>
      </c>
    </row>
    <row r="20" spans="1:4" x14ac:dyDescent="0.25">
      <c r="B20" s="27" t="s">
        <v>101</v>
      </c>
      <c r="C20" s="13"/>
    </row>
    <row r="23" spans="1:4" s="11" customFormat="1" x14ac:dyDescent="0.25">
      <c r="B23" s="11" t="s">
        <v>199</v>
      </c>
    </row>
    <row r="25" spans="1:4" x14ac:dyDescent="0.25">
      <c r="A25" s="68"/>
      <c r="B25" s="27" t="s">
        <v>102</v>
      </c>
      <c r="C25" s="13" t="s">
        <v>352</v>
      </c>
    </row>
    <row r="26" spans="1:4" x14ac:dyDescent="0.25">
      <c r="A26" s="68"/>
      <c r="B26" s="27" t="s">
        <v>103</v>
      </c>
      <c r="C26" s="13" t="s">
        <v>352</v>
      </c>
    </row>
    <row r="27" spans="1:4" ht="25.5" x14ac:dyDescent="0.25">
      <c r="A27" s="68"/>
      <c r="B27" s="27" t="s">
        <v>104</v>
      </c>
      <c r="C27" s="13" t="s">
        <v>352</v>
      </c>
    </row>
    <row r="28" spans="1:4" x14ac:dyDescent="0.25">
      <c r="A28" s="68"/>
      <c r="B28" s="27" t="s">
        <v>105</v>
      </c>
      <c r="C28" s="13" t="s">
        <v>69</v>
      </c>
    </row>
    <row r="29" spans="1:4" x14ac:dyDescent="0.25">
      <c r="B29" s="27" t="s">
        <v>101</v>
      </c>
      <c r="C29" s="13"/>
    </row>
    <row r="31" spans="1:4" s="68" customFormat="1" x14ac:dyDescent="0.25">
      <c r="B31" s="80" t="s">
        <v>106</v>
      </c>
      <c r="C31" s="81"/>
      <c r="D31" s="9"/>
    </row>
    <row r="32" spans="1:4" s="68" customFormat="1" x14ac:dyDescent="0.25"/>
    <row r="33" spans="2:2" s="68" customFormat="1" x14ac:dyDescent="0.25"/>
    <row r="34" spans="2:2" s="65" customFormat="1" x14ac:dyDescent="0.25">
      <c r="B34" s="65" t="s">
        <v>267</v>
      </c>
    </row>
    <row r="35" spans="2:2" s="68" customFormat="1" x14ac:dyDescent="0.25"/>
    <row r="36" spans="2:2" s="68" customFormat="1" x14ac:dyDescent="0.25">
      <c r="B36" s="68" t="s">
        <v>353</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x14ac:dyDescent="0.25"/>
  <cols>
    <col min="1" max="16384" width="9.140625" style="22"/>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O46"/>
  <sheetViews>
    <sheetView showGridLines="0" zoomScale="85" zoomScaleNormal="85" workbookViewId="0">
      <pane xSplit="6" ySplit="10" topLeftCell="G11" activePane="bottomRight" state="frozen"/>
      <selection pane="topRight"/>
      <selection pane="bottomLeft"/>
      <selection pane="bottomRight" activeCell="G11" sqref="G11"/>
    </sheetView>
  </sheetViews>
  <sheetFormatPr defaultRowHeight="12.75" x14ac:dyDescent="0.25"/>
  <cols>
    <col min="1" max="1" width="4.5703125" style="68" customWidth="1"/>
    <col min="2" max="2" width="50.7109375" style="68" customWidth="1"/>
    <col min="3" max="5" width="4.5703125" style="68" customWidth="1"/>
    <col min="6" max="6" width="13.7109375" style="68" customWidth="1"/>
    <col min="7" max="7" width="2.7109375" style="68" customWidth="1"/>
    <col min="8" max="8" width="13.7109375" style="68" customWidth="1"/>
    <col min="9" max="9" width="2.7109375" style="68" customWidth="1"/>
    <col min="10" max="10" width="13.7109375" style="68" customWidth="1"/>
    <col min="11" max="11" width="2.7109375" style="68" customWidth="1"/>
    <col min="12" max="12" width="21.7109375" style="68" customWidth="1"/>
    <col min="13" max="13" width="21.7109375" style="88" customWidth="1"/>
    <col min="14" max="14" width="2.7109375" style="68" customWidth="1"/>
    <col min="15" max="15" width="30.7109375" style="68" customWidth="1"/>
    <col min="16" max="16" width="2.7109375" style="68" customWidth="1"/>
    <col min="17" max="26" width="12.5703125" style="68" customWidth="1"/>
    <col min="27" max="29" width="2.7109375" style="68" customWidth="1"/>
    <col min="30" max="44" width="13.7109375" style="68" customWidth="1"/>
    <col min="45" max="16384" width="9.140625" style="68"/>
  </cols>
  <sheetData>
    <row r="2" spans="2:15" s="56" customFormat="1" ht="18" x14ac:dyDescent="0.25">
      <c r="B2" s="56" t="s">
        <v>131</v>
      </c>
    </row>
    <row r="4" spans="2:15" x14ac:dyDescent="0.25">
      <c r="B4" s="67" t="s">
        <v>23</v>
      </c>
      <c r="C4" s="64"/>
      <c r="D4" s="64"/>
    </row>
    <row r="5" spans="2:15" x14ac:dyDescent="0.25">
      <c r="B5" s="23" t="s">
        <v>132</v>
      </c>
      <c r="C5" s="7"/>
      <c r="D5" s="7"/>
      <c r="L5" s="66"/>
    </row>
    <row r="6" spans="2:15" x14ac:dyDescent="0.25">
      <c r="B6" s="23"/>
      <c r="C6" s="7"/>
      <c r="D6" s="7"/>
      <c r="L6" s="66"/>
    </row>
    <row r="7" spans="2:15" x14ac:dyDescent="0.25">
      <c r="B7" s="60" t="s">
        <v>56</v>
      </c>
      <c r="C7" s="7"/>
      <c r="D7" s="7"/>
      <c r="L7" s="66"/>
    </row>
    <row r="8" spans="2:15" x14ac:dyDescent="0.25">
      <c r="B8" s="60" t="s">
        <v>342</v>
      </c>
      <c r="C8" s="7"/>
      <c r="D8" s="7"/>
      <c r="L8" s="66"/>
    </row>
    <row r="10" spans="2:15" s="57" customFormat="1" x14ac:dyDescent="0.25">
      <c r="B10" s="57" t="s">
        <v>3</v>
      </c>
      <c r="F10" s="57" t="s">
        <v>4</v>
      </c>
      <c r="H10" s="57" t="s">
        <v>5</v>
      </c>
      <c r="J10" s="57" t="s">
        <v>6</v>
      </c>
      <c r="L10" s="57" t="s">
        <v>133</v>
      </c>
      <c r="M10" s="57" t="s">
        <v>53</v>
      </c>
      <c r="O10" s="57" t="s">
        <v>49</v>
      </c>
    </row>
    <row r="12" spans="2:15" s="57" customFormat="1" x14ac:dyDescent="0.25">
      <c r="B12" s="57" t="s">
        <v>134</v>
      </c>
    </row>
    <row r="13" spans="2:15" x14ac:dyDescent="0.25">
      <c r="M13" s="68"/>
    </row>
    <row r="14" spans="2:15" x14ac:dyDescent="0.25">
      <c r="B14" s="68" t="s">
        <v>110</v>
      </c>
      <c r="F14" s="68" t="s">
        <v>7</v>
      </c>
      <c r="H14" s="85">
        <f>Parameters!H17</f>
        <v>3.0000000000000001E-3</v>
      </c>
      <c r="M14" s="68"/>
    </row>
    <row r="15" spans="2:15" x14ac:dyDescent="0.25">
      <c r="B15" s="68" t="s">
        <v>204</v>
      </c>
      <c r="F15" s="68" t="s">
        <v>7</v>
      </c>
      <c r="H15" s="85">
        <f>Parameters!H18</f>
        <v>-1.6E-2</v>
      </c>
      <c r="M15" s="68"/>
    </row>
    <row r="16" spans="2:15" x14ac:dyDescent="0.25">
      <c r="B16" s="68" t="s">
        <v>225</v>
      </c>
      <c r="F16" s="68" t="s">
        <v>7</v>
      </c>
      <c r="H16" s="84">
        <f>Parameters!H22</f>
        <v>0.06</v>
      </c>
      <c r="M16" s="68"/>
    </row>
    <row r="17" spans="2:13" x14ac:dyDescent="0.25">
      <c r="M17" s="68"/>
    </row>
    <row r="18" spans="2:13" x14ac:dyDescent="0.25">
      <c r="B18" s="67" t="s">
        <v>135</v>
      </c>
      <c r="M18" s="68"/>
    </row>
    <row r="19" spans="2:13" x14ac:dyDescent="0.25">
      <c r="B19" s="68" t="s">
        <v>136</v>
      </c>
      <c r="F19" s="68" t="s">
        <v>111</v>
      </c>
      <c r="L19" s="36">
        <f>'Data on costs'!L17</f>
        <v>2435322.9712092979</v>
      </c>
      <c r="M19" s="36">
        <f>'Data on costs'!M17</f>
        <v>3930704.97591291</v>
      </c>
    </row>
    <row r="20" spans="2:13" x14ac:dyDescent="0.25">
      <c r="B20" s="68" t="s">
        <v>137</v>
      </c>
      <c r="F20" s="68" t="s">
        <v>111</v>
      </c>
      <c r="L20" s="36">
        <f>'Data on costs'!L18</f>
        <v>112482.70404425287</v>
      </c>
      <c r="M20" s="36">
        <f>'Data on costs'!M18</f>
        <v>264522.66101660288</v>
      </c>
    </row>
    <row r="21" spans="2:13" x14ac:dyDescent="0.25">
      <c r="B21" s="68" t="s">
        <v>143</v>
      </c>
      <c r="F21" s="68" t="s">
        <v>40</v>
      </c>
      <c r="L21" s="36">
        <f>'Data on costs'!L13</f>
        <v>1341632.665</v>
      </c>
      <c r="M21" s="36">
        <f>'Data on costs'!M13</f>
        <v>858263.92500000005</v>
      </c>
    </row>
    <row r="22" spans="2:13" x14ac:dyDescent="0.25">
      <c r="B22" s="68" t="s">
        <v>144</v>
      </c>
      <c r="F22" s="68" t="s">
        <v>40</v>
      </c>
      <c r="L22" s="36">
        <f>'Data on costs'!L14</f>
        <v>5287.08</v>
      </c>
      <c r="M22" s="36">
        <f>'Data on costs'!M14</f>
        <v>91965.91</v>
      </c>
    </row>
    <row r="23" spans="2:13" x14ac:dyDescent="0.25">
      <c r="M23" s="68"/>
    </row>
    <row r="24" spans="2:13" x14ac:dyDescent="0.25">
      <c r="B24" s="68" t="s">
        <v>196</v>
      </c>
      <c r="F24" s="68" t="s">
        <v>7</v>
      </c>
      <c r="L24" s="82">
        <f>Parameters!L26</f>
        <v>0.25</v>
      </c>
      <c r="M24" s="82">
        <f>Parameters!M26</f>
        <v>0.25</v>
      </c>
    </row>
    <row r="25" spans="2:13" x14ac:dyDescent="0.25">
      <c r="B25" s="68" t="s">
        <v>153</v>
      </c>
      <c r="F25" s="68" t="s">
        <v>7</v>
      </c>
      <c r="L25" s="82">
        <f>Parameters!L27</f>
        <v>0</v>
      </c>
      <c r="M25" s="82">
        <f>Parameters!M27</f>
        <v>0.5</v>
      </c>
    </row>
    <row r="26" spans="2:13" x14ac:dyDescent="0.25">
      <c r="M26" s="68"/>
    </row>
    <row r="27" spans="2:13" x14ac:dyDescent="0.25">
      <c r="B27" s="64" t="s">
        <v>138</v>
      </c>
      <c r="M27" s="68"/>
    </row>
    <row r="28" spans="2:13" s="60" customFormat="1" x14ac:dyDescent="0.25">
      <c r="B28" s="60" t="s">
        <v>48</v>
      </c>
      <c r="C28" s="68"/>
      <c r="D28" s="68"/>
      <c r="E28" s="68"/>
      <c r="F28" s="60" t="s">
        <v>130</v>
      </c>
      <c r="L28" s="60" t="s">
        <v>26</v>
      </c>
      <c r="M28" s="60" t="s">
        <v>21</v>
      </c>
    </row>
    <row r="29" spans="2:13" x14ac:dyDescent="0.25">
      <c r="B29" s="68" t="s">
        <v>234</v>
      </c>
      <c r="F29" s="68" t="s">
        <v>130</v>
      </c>
      <c r="L29" s="36">
        <f>'Data on volumes and tariffs'!L13</f>
        <v>9137706.3000000007</v>
      </c>
      <c r="M29" s="36">
        <f>'Data on volumes and tariffs'!M13</f>
        <v>11528.715384615381</v>
      </c>
    </row>
    <row r="30" spans="2:13" x14ac:dyDescent="0.25">
      <c r="B30" s="88"/>
      <c r="F30" s="88"/>
      <c r="G30" s="88"/>
      <c r="H30" s="88"/>
      <c r="I30" s="88"/>
      <c r="J30" s="88"/>
      <c r="K30" s="88"/>
      <c r="M30" s="68"/>
    </row>
    <row r="31" spans="2:13" s="57" customFormat="1" x14ac:dyDescent="0.25">
      <c r="B31" s="57" t="s">
        <v>139</v>
      </c>
    </row>
    <row r="33" spans="2:13" x14ac:dyDescent="0.25">
      <c r="B33" s="64" t="s">
        <v>197</v>
      </c>
    </row>
    <row r="34" spans="2:13" x14ac:dyDescent="0.25">
      <c r="B34" s="68" t="s">
        <v>235</v>
      </c>
      <c r="F34" s="68" t="s">
        <v>40</v>
      </c>
      <c r="L34" s="69">
        <f>L21*(1-L24)-L22</f>
        <v>1000937.4187500001</v>
      </c>
      <c r="M34" s="69">
        <f>M21*(1-M24)-M22</f>
        <v>551732.03375000006</v>
      </c>
    </row>
    <row r="35" spans="2:13" x14ac:dyDescent="0.25">
      <c r="B35" s="68" t="s">
        <v>236</v>
      </c>
      <c r="F35" s="68" t="s">
        <v>40</v>
      </c>
      <c r="L35" s="69">
        <f>L21*L24</f>
        <v>335408.16625000001</v>
      </c>
      <c r="M35" s="69">
        <f>M21*M24</f>
        <v>214565.98125000001</v>
      </c>
    </row>
    <row r="36" spans="2:13" x14ac:dyDescent="0.25">
      <c r="B36" s="68" t="s">
        <v>237</v>
      </c>
      <c r="F36" s="68" t="s">
        <v>238</v>
      </c>
      <c r="L36" s="29">
        <f>L35/L29</f>
        <v>3.6705947339322996E-2</v>
      </c>
      <c r="M36" s="62">
        <f>M35/M29</f>
        <v>18.611438837004329</v>
      </c>
    </row>
    <row r="38" spans="2:13" x14ac:dyDescent="0.25">
      <c r="B38" s="64" t="s">
        <v>140</v>
      </c>
    </row>
    <row r="39" spans="2:13" x14ac:dyDescent="0.25">
      <c r="B39" s="68" t="s">
        <v>141</v>
      </c>
      <c r="F39" s="68" t="s">
        <v>111</v>
      </c>
      <c r="L39" s="69">
        <f>$H$16*L19+L20</f>
        <v>258602.08231681073</v>
      </c>
      <c r="M39" s="69">
        <f>$H$16*M19+M20</f>
        <v>500364.95957137749</v>
      </c>
    </row>
    <row r="40" spans="2:13" x14ac:dyDescent="0.25">
      <c r="B40" s="68" t="s">
        <v>239</v>
      </c>
      <c r="F40" s="68" t="s">
        <v>111</v>
      </c>
      <c r="L40" s="69">
        <f>L39*(1-L25)</f>
        <v>258602.08231681073</v>
      </c>
      <c r="M40" s="69">
        <f>M39*(1-M25)</f>
        <v>250182.47978568875</v>
      </c>
    </row>
    <row r="41" spans="2:13" x14ac:dyDescent="0.25">
      <c r="B41" s="68" t="s">
        <v>240</v>
      </c>
      <c r="F41" s="68" t="s">
        <v>111</v>
      </c>
      <c r="L41" s="69">
        <f>L39*L25</f>
        <v>0</v>
      </c>
      <c r="M41" s="69">
        <f>M39*M25</f>
        <v>250182.47978568875</v>
      </c>
    </row>
    <row r="42" spans="2:13" x14ac:dyDescent="0.25">
      <c r="B42" s="68" t="s">
        <v>241</v>
      </c>
      <c r="F42" s="68" t="s">
        <v>323</v>
      </c>
      <c r="L42" s="89">
        <f>L41/L29</f>
        <v>0</v>
      </c>
      <c r="M42" s="89">
        <f>M41/M29</f>
        <v>21.700811533568384</v>
      </c>
    </row>
    <row r="44" spans="2:13" x14ac:dyDescent="0.25">
      <c r="B44" s="64" t="s">
        <v>142</v>
      </c>
    </row>
    <row r="45" spans="2:13" x14ac:dyDescent="0.25">
      <c r="B45" s="68" t="s">
        <v>242</v>
      </c>
      <c r="F45" s="68" t="s">
        <v>206</v>
      </c>
      <c r="L45" s="70">
        <f>L34*(1+$H$14)*(1+$H$15)+L40</f>
        <v>1246479.2696269606</v>
      </c>
      <c r="M45" s="70">
        <f>M34*(1+$H$14)*(1+$H$15)+M40</f>
        <v>794715.51395931863</v>
      </c>
    </row>
    <row r="46" spans="2:13" x14ac:dyDescent="0.25">
      <c r="B46" s="68" t="s">
        <v>243</v>
      </c>
      <c r="F46" s="68" t="s">
        <v>244</v>
      </c>
      <c r="L46" s="35">
        <f>L36*(1+$H$14)*(1+$H$15)+L42</f>
        <v>3.6227008138439501E-2</v>
      </c>
      <c r="M46" s="118">
        <f>M36*(1+$H$14)*(1+$H$15)+M42</f>
        <v>40.069408316627474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46"/>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x14ac:dyDescent="0.25"/>
  <cols>
    <col min="1" max="1" width="4" style="6" customWidth="1"/>
    <col min="2" max="2" width="43.42578125" style="6" customWidth="1"/>
    <col min="3" max="5" width="4.570312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3" width="21.7109375" style="6" customWidth="1"/>
    <col min="14" max="14" width="2.7109375" style="6" customWidth="1"/>
    <col min="15" max="21" width="12.5703125" style="6" customWidth="1"/>
    <col min="22" max="24" width="2.7109375" style="6" customWidth="1"/>
    <col min="25" max="39" width="13.7109375" style="6" customWidth="1"/>
    <col min="40" max="16384" width="9.140625" style="6"/>
  </cols>
  <sheetData>
    <row r="1" spans="1:15" x14ac:dyDescent="0.25">
      <c r="A1" s="58"/>
    </row>
    <row r="2" spans="1:15" s="20" customFormat="1" ht="18" x14ac:dyDescent="0.25">
      <c r="A2" s="56"/>
      <c r="B2" s="20" t="s">
        <v>22</v>
      </c>
    </row>
    <row r="3" spans="1:15" x14ac:dyDescent="0.25">
      <c r="A3" s="58"/>
    </row>
    <row r="4" spans="1:15" x14ac:dyDescent="0.25">
      <c r="A4" s="58"/>
      <c r="B4" s="5" t="s">
        <v>23</v>
      </c>
      <c r="C4" s="5"/>
      <c r="D4" s="5"/>
    </row>
    <row r="5" spans="1:15" x14ac:dyDescent="0.25">
      <c r="A5" s="58"/>
      <c r="B5" s="23" t="s">
        <v>107</v>
      </c>
      <c r="C5" s="7"/>
      <c r="D5" s="7"/>
      <c r="H5" s="21"/>
    </row>
    <row r="6" spans="1:15" x14ac:dyDescent="0.25">
      <c r="A6" s="58"/>
    </row>
    <row r="7" spans="1:15" s="47" customFormat="1" x14ac:dyDescent="0.25">
      <c r="A7" s="57"/>
      <c r="B7" s="47" t="s">
        <v>3</v>
      </c>
      <c r="F7" s="47" t="s">
        <v>4</v>
      </c>
      <c r="H7" s="47" t="s">
        <v>8</v>
      </c>
      <c r="J7" s="47" t="s">
        <v>9</v>
      </c>
      <c r="L7" s="55" t="s">
        <v>52</v>
      </c>
      <c r="M7" s="55" t="s">
        <v>53</v>
      </c>
      <c r="O7" s="47" t="s">
        <v>49</v>
      </c>
    </row>
    <row r="8" spans="1:15" x14ac:dyDescent="0.25">
      <c r="A8" s="58"/>
    </row>
    <row r="9" spans="1:15" s="11" customFormat="1" x14ac:dyDescent="0.25">
      <c r="A9" s="57"/>
      <c r="B9" s="11" t="s">
        <v>25</v>
      </c>
    </row>
    <row r="10" spans="1:15" x14ac:dyDescent="0.25">
      <c r="A10" s="58"/>
    </row>
    <row r="11" spans="1:15" x14ac:dyDescent="0.25">
      <c r="A11" s="58"/>
      <c r="B11" s="5" t="s">
        <v>46</v>
      </c>
    </row>
    <row r="12" spans="1:15" x14ac:dyDescent="0.25">
      <c r="A12" s="58"/>
      <c r="B12" s="6" t="s">
        <v>110</v>
      </c>
      <c r="F12" s="6" t="s">
        <v>7</v>
      </c>
      <c r="H12" s="85">
        <f>Parameters!H17</f>
        <v>3.0000000000000001E-3</v>
      </c>
    </row>
    <row r="13" spans="1:15" x14ac:dyDescent="0.25">
      <c r="A13" s="58"/>
      <c r="B13" s="68" t="s">
        <v>204</v>
      </c>
      <c r="F13" s="6" t="s">
        <v>7</v>
      </c>
      <c r="H13" s="85">
        <f>Parameters!H18</f>
        <v>-1.6E-2</v>
      </c>
    </row>
    <row r="14" spans="1:15" x14ac:dyDescent="0.25">
      <c r="A14" s="58"/>
    </row>
    <row r="15" spans="1:15" x14ac:dyDescent="0.25">
      <c r="A15" s="58"/>
      <c r="B15" s="26" t="s">
        <v>61</v>
      </c>
    </row>
    <row r="16" spans="1:15" x14ac:dyDescent="0.25">
      <c r="A16" s="58"/>
      <c r="B16" s="68" t="s">
        <v>245</v>
      </c>
      <c r="C16" s="68"/>
      <c r="F16" s="68" t="s">
        <v>206</v>
      </c>
      <c r="J16" s="51">
        <f>L16+M16</f>
        <v>2041194.7835862793</v>
      </c>
      <c r="L16" s="36">
        <f>'Fixed-variable costs'!L45</f>
        <v>1246479.2696269606</v>
      </c>
      <c r="M16" s="36">
        <f>'Fixed-variable costs'!M45</f>
        <v>794715.51395931863</v>
      </c>
    </row>
    <row r="17" spans="1:13" x14ac:dyDescent="0.25">
      <c r="A17" s="58"/>
      <c r="B17" s="68" t="s">
        <v>246</v>
      </c>
      <c r="C17" s="68"/>
      <c r="F17" s="68" t="s">
        <v>244</v>
      </c>
      <c r="J17" s="3"/>
      <c r="L17" s="32">
        <f>'Fixed-variable costs'!L46</f>
        <v>3.6227008138439501E-2</v>
      </c>
      <c r="M17" s="90">
        <f>'Fixed-variable costs'!M46</f>
        <v>40.069408316627474</v>
      </c>
    </row>
    <row r="18" spans="1:13" s="68" customFormat="1" x14ac:dyDescent="0.25"/>
    <row r="19" spans="1:13" s="68" customFormat="1" x14ac:dyDescent="0.25">
      <c r="B19" s="67" t="s">
        <v>147</v>
      </c>
    </row>
    <row r="20" spans="1:13" s="60" customFormat="1" x14ac:dyDescent="0.25">
      <c r="B20" s="60" t="s">
        <v>48</v>
      </c>
      <c r="F20" s="60" t="s">
        <v>130</v>
      </c>
      <c r="L20" s="60" t="s">
        <v>26</v>
      </c>
      <c r="M20" s="60" t="s">
        <v>21</v>
      </c>
    </row>
    <row r="21" spans="1:13" s="68" customFormat="1" x14ac:dyDescent="0.25">
      <c r="B21" s="68" t="s">
        <v>148</v>
      </c>
      <c r="F21" s="68" t="s">
        <v>130</v>
      </c>
      <c r="J21" s="3"/>
      <c r="L21" s="36">
        <f>'Data on volumes and tariffs'!L19</f>
        <v>8763212.9773076437</v>
      </c>
      <c r="M21" s="36">
        <f>'Data on volumes and tariffs'!M60</f>
        <v>11552.371428571427</v>
      </c>
    </row>
    <row r="22" spans="1:13" x14ac:dyDescent="0.25">
      <c r="A22" s="58"/>
    </row>
    <row r="23" spans="1:13" x14ac:dyDescent="0.25">
      <c r="A23" s="58"/>
      <c r="B23" s="26" t="s">
        <v>45</v>
      </c>
    </row>
    <row r="24" spans="1:13" s="68" customFormat="1" x14ac:dyDescent="0.25">
      <c r="A24" s="58"/>
      <c r="B24" s="60" t="s">
        <v>126</v>
      </c>
    </row>
    <row r="25" spans="1:13" s="68" customFormat="1" x14ac:dyDescent="0.25">
      <c r="A25" s="58"/>
      <c r="B25" s="68" t="s">
        <v>207</v>
      </c>
      <c r="F25" s="68" t="s">
        <v>206</v>
      </c>
      <c r="J25" s="69">
        <f t="shared" ref="J25:J27" si="0">L25+M25</f>
        <v>-33298.619985788391</v>
      </c>
      <c r="L25" s="36">
        <f>'Data on corrections'!L16</f>
        <v>-16456.510810024036</v>
      </c>
      <c r="M25" s="36">
        <f>'Data on corrections'!M16</f>
        <v>-16842.109175764355</v>
      </c>
    </row>
    <row r="26" spans="1:13" s="68" customFormat="1" x14ac:dyDescent="0.25">
      <c r="A26" s="58"/>
      <c r="B26" s="68" t="s">
        <v>208</v>
      </c>
      <c r="F26" s="68" t="s">
        <v>206</v>
      </c>
      <c r="J26" s="69">
        <f t="shared" si="0"/>
        <v>96186.13352575223</v>
      </c>
      <c r="L26" s="36">
        <f>'Data on corrections'!L17</f>
        <v>148008.80541840842</v>
      </c>
      <c r="M26" s="36">
        <f>'Data on corrections'!M17</f>
        <v>-51822.671892656195</v>
      </c>
    </row>
    <row r="27" spans="1:13" s="68" customFormat="1" x14ac:dyDescent="0.25">
      <c r="A27" s="58"/>
      <c r="B27" s="68" t="s">
        <v>209</v>
      </c>
      <c r="F27" s="68" t="s">
        <v>206</v>
      </c>
      <c r="J27" s="69">
        <f t="shared" si="0"/>
        <v>25802.030947163032</v>
      </c>
      <c r="L27" s="3"/>
      <c r="M27" s="36">
        <f>'Data on corrections'!M18</f>
        <v>25802.030947163032</v>
      </c>
    </row>
    <row r="28" spans="1:13" s="68" customFormat="1" x14ac:dyDescent="0.25"/>
    <row r="29" spans="1:13" s="68" customFormat="1" x14ac:dyDescent="0.25">
      <c r="B29" s="60" t="s">
        <v>127</v>
      </c>
    </row>
    <row r="30" spans="1:13" x14ac:dyDescent="0.25">
      <c r="A30" s="58"/>
      <c r="B30" s="1" t="s">
        <v>210</v>
      </c>
      <c r="F30" s="6" t="s">
        <v>40</v>
      </c>
      <c r="J30" s="51">
        <f>L30+M30</f>
        <v>97045.783938654698</v>
      </c>
      <c r="L30" s="36">
        <f>'Data on corrections'!L21</f>
        <v>97045.783938654698</v>
      </c>
      <c r="M30" s="53"/>
    </row>
    <row r="31" spans="1:13" s="68" customFormat="1" x14ac:dyDescent="0.25">
      <c r="A31" s="58"/>
      <c r="B31" s="1" t="s">
        <v>211</v>
      </c>
      <c r="F31" s="68" t="s">
        <v>115</v>
      </c>
      <c r="J31" s="69">
        <f>L31+M31</f>
        <v>-36814.700816208097</v>
      </c>
      <c r="L31" s="53"/>
      <c r="M31" s="36">
        <f>'Data on corrections'!M22</f>
        <v>-36814.700816208097</v>
      </c>
    </row>
    <row r="32" spans="1:13" s="68" customFormat="1" x14ac:dyDescent="0.25"/>
    <row r="33" spans="1:15" s="68" customFormat="1" x14ac:dyDescent="0.25">
      <c r="B33" s="68" t="s">
        <v>330</v>
      </c>
      <c r="F33" s="68" t="s">
        <v>40</v>
      </c>
      <c r="J33" s="69">
        <f>L33+M33</f>
        <v>-193022.67678699121</v>
      </c>
      <c r="L33" s="36">
        <f>'Data on corrections'!L28</f>
        <v>-193022.67678699121</v>
      </c>
      <c r="M33" s="53"/>
    </row>
    <row r="34" spans="1:15" s="68" customFormat="1" x14ac:dyDescent="0.25"/>
    <row r="35" spans="1:15" x14ac:dyDescent="0.25">
      <c r="A35" s="58"/>
    </row>
    <row r="36" spans="1:15" s="11" customFormat="1" x14ac:dyDescent="0.25">
      <c r="A36" s="47"/>
      <c r="B36" s="11" t="s">
        <v>247</v>
      </c>
    </row>
    <row r="37" spans="1:15" x14ac:dyDescent="0.25">
      <c r="A37" s="58"/>
    </row>
    <row r="38" spans="1:15" x14ac:dyDescent="0.25">
      <c r="A38" s="58"/>
      <c r="B38" s="5" t="s">
        <v>205</v>
      </c>
    </row>
    <row r="39" spans="1:15" x14ac:dyDescent="0.25">
      <c r="A39" s="58"/>
      <c r="B39" s="6" t="s">
        <v>248</v>
      </c>
      <c r="F39" s="6" t="s">
        <v>206</v>
      </c>
      <c r="J39" s="51">
        <f>L39+M39</f>
        <v>2821556.4592308514</v>
      </c>
      <c r="L39" s="70">
        <f>L16+L17*L21</f>
        <v>1563944.2574747633</v>
      </c>
      <c r="M39" s="70">
        <f>M16+M17*M21</f>
        <v>1257612.2017560881</v>
      </c>
      <c r="O39" s="6" t="s">
        <v>249</v>
      </c>
    </row>
    <row r="40" spans="1:15" s="68" customFormat="1" x14ac:dyDescent="0.25"/>
    <row r="41" spans="1:15" s="68" customFormat="1" x14ac:dyDescent="0.25">
      <c r="A41" s="58"/>
      <c r="B41" s="68" t="s">
        <v>207</v>
      </c>
      <c r="F41" s="68" t="s">
        <v>206</v>
      </c>
      <c r="J41" s="69">
        <f t="shared" ref="J41:J46" si="1">L41+M41</f>
        <v>-33298.619985788391</v>
      </c>
      <c r="L41" s="70">
        <f>L25</f>
        <v>-16456.510810024036</v>
      </c>
      <c r="M41" s="70">
        <f>M25</f>
        <v>-16842.109175764355</v>
      </c>
    </row>
    <row r="42" spans="1:15" s="68" customFormat="1" x14ac:dyDescent="0.25">
      <c r="A42" s="58"/>
      <c r="B42" s="68" t="s">
        <v>208</v>
      </c>
      <c r="F42" s="68" t="s">
        <v>206</v>
      </c>
      <c r="J42" s="69">
        <f t="shared" si="1"/>
        <v>96186.13352575223</v>
      </c>
      <c r="L42" s="70">
        <f>L26</f>
        <v>148008.80541840842</v>
      </c>
      <c r="M42" s="70">
        <f>M26</f>
        <v>-51822.671892656195</v>
      </c>
    </row>
    <row r="43" spans="1:15" s="68" customFormat="1" x14ac:dyDescent="0.25">
      <c r="B43" s="68" t="s">
        <v>209</v>
      </c>
      <c r="F43" s="68" t="s">
        <v>206</v>
      </c>
      <c r="J43" s="69">
        <f t="shared" si="1"/>
        <v>25802.030947163032</v>
      </c>
      <c r="L43" s="70">
        <f t="shared" ref="L43:M43" si="2">L27</f>
        <v>0</v>
      </c>
      <c r="M43" s="70">
        <f t="shared" si="2"/>
        <v>25802.030947163032</v>
      </c>
    </row>
    <row r="44" spans="1:15" x14ac:dyDescent="0.25">
      <c r="A44" s="58"/>
      <c r="B44" s="1" t="s">
        <v>210</v>
      </c>
      <c r="F44" s="68" t="s">
        <v>206</v>
      </c>
      <c r="J44" s="51">
        <f t="shared" si="1"/>
        <v>95779.530549823117</v>
      </c>
      <c r="L44" s="70">
        <f t="shared" ref="L44:M44" si="3">L30*(1+$H$12)*(1+$H$13)</f>
        <v>95779.530549823117</v>
      </c>
      <c r="M44" s="70">
        <f t="shared" si="3"/>
        <v>0</v>
      </c>
    </row>
    <row r="45" spans="1:15" s="68" customFormat="1" x14ac:dyDescent="0.25">
      <c r="A45" s="58"/>
      <c r="B45" s="1" t="s">
        <v>211</v>
      </c>
      <c r="F45" s="68" t="s">
        <v>206</v>
      </c>
      <c r="J45" s="69">
        <f t="shared" si="1"/>
        <v>-36225.665603148766</v>
      </c>
      <c r="L45" s="70">
        <f>L31*(1+$H$13)</f>
        <v>0</v>
      </c>
      <c r="M45" s="70">
        <f>M31*(1+$H$13)</f>
        <v>-36225.665603148766</v>
      </c>
    </row>
    <row r="46" spans="1:15" s="68" customFormat="1" x14ac:dyDescent="0.25">
      <c r="A46" s="58"/>
      <c r="B46" s="68" t="s">
        <v>330</v>
      </c>
      <c r="F46" s="68" t="s">
        <v>206</v>
      </c>
      <c r="J46" s="69">
        <f t="shared" si="1"/>
        <v>-190504.11690027453</v>
      </c>
      <c r="L46" s="70">
        <f>L33*(1+$H$12)*(1+$H$13)</f>
        <v>-190504.11690027453</v>
      </c>
      <c r="M46" s="70">
        <f>M33*(1+$H$12)*(1+$H$13)</f>
        <v>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92"/>
  <sheetViews>
    <sheetView showGridLines="0" zoomScale="85" zoomScaleNormal="85" workbookViewId="0"/>
  </sheetViews>
  <sheetFormatPr defaultRowHeight="12.75" x14ac:dyDescent="0.25"/>
  <cols>
    <col min="1" max="2" width="4" style="68" customWidth="1"/>
    <col min="3" max="3" width="43.42578125" style="68" customWidth="1"/>
    <col min="4" max="6" width="4.5703125" style="68" customWidth="1"/>
    <col min="7" max="7" width="25.28515625" style="68" customWidth="1"/>
    <col min="8" max="8" width="2.7109375" style="68" customWidth="1"/>
    <col min="9" max="10" width="13.7109375" style="68" customWidth="1"/>
    <col min="11" max="11" width="4" style="68" customWidth="1"/>
    <col min="12" max="12" width="2.7109375" style="68" customWidth="1"/>
    <col min="13" max="14" width="21.7109375" style="68" customWidth="1"/>
    <col min="15" max="15" width="2.7109375" style="68" customWidth="1"/>
    <col min="16" max="22" width="12.5703125" style="68" customWidth="1"/>
    <col min="23" max="25" width="2.7109375" style="68" customWidth="1"/>
    <col min="26" max="40" width="13.7109375" style="68" customWidth="1"/>
    <col min="41" max="16384" width="9.140625" style="68"/>
  </cols>
  <sheetData>
    <row r="1" spans="1:14" x14ac:dyDescent="0.25">
      <c r="A1" s="58"/>
      <c r="B1" s="58"/>
    </row>
    <row r="2" spans="1:14" s="20" customFormat="1" ht="18" x14ac:dyDescent="0.25">
      <c r="A2" s="56"/>
      <c r="B2" s="56"/>
      <c r="C2" s="20" t="s">
        <v>167</v>
      </c>
    </row>
    <row r="3" spans="1:14" x14ac:dyDescent="0.25">
      <c r="A3" s="58"/>
      <c r="B3" s="58"/>
    </row>
    <row r="4" spans="1:14" x14ac:dyDescent="0.25">
      <c r="A4" s="58"/>
      <c r="B4" s="58"/>
      <c r="C4" s="64" t="s">
        <v>3</v>
      </c>
      <c r="D4" s="64"/>
      <c r="E4" s="64"/>
    </row>
    <row r="5" spans="1:14" x14ac:dyDescent="0.25">
      <c r="A5" s="58"/>
      <c r="B5" s="58"/>
      <c r="C5" s="23" t="s">
        <v>250</v>
      </c>
      <c r="D5" s="7"/>
      <c r="E5" s="7"/>
      <c r="I5" s="66"/>
    </row>
    <row r="6" spans="1:14" x14ac:dyDescent="0.25">
      <c r="A6" s="58"/>
      <c r="B6" s="58"/>
    </row>
    <row r="7" spans="1:14" s="65" customFormat="1" x14ac:dyDescent="0.25">
      <c r="A7" s="57"/>
      <c r="B7" s="57"/>
      <c r="C7" s="65" t="s">
        <v>168</v>
      </c>
      <c r="G7" s="65" t="s">
        <v>48</v>
      </c>
      <c r="M7" s="55"/>
      <c r="N7" s="55"/>
    </row>
    <row r="8" spans="1:14" ht="15" customHeight="1" x14ac:dyDescent="0.25">
      <c r="A8" s="58"/>
      <c r="B8" s="58"/>
    </row>
    <row r="9" spans="1:14" ht="15" customHeight="1" x14ac:dyDescent="0.25">
      <c r="C9" s="67" t="s">
        <v>169</v>
      </c>
      <c r="G9" s="68" t="s">
        <v>251</v>
      </c>
      <c r="I9" s="91">
        <f>Tariffs!L68</f>
        <v>0.18266952656267721</v>
      </c>
    </row>
    <row r="10" spans="1:14" ht="15" customHeight="1" thickBot="1" x14ac:dyDescent="0.3"/>
    <row r="11" spans="1:14" ht="15" customHeight="1" x14ac:dyDescent="0.25">
      <c r="B11" s="93"/>
      <c r="C11" s="94"/>
      <c r="D11" s="94"/>
      <c r="E11" s="94"/>
      <c r="F11" s="94"/>
      <c r="G11" s="94"/>
      <c r="H11" s="94"/>
      <c r="I11" s="94"/>
      <c r="J11" s="95"/>
    </row>
    <row r="12" spans="1:14" s="57" customFormat="1" ht="15" customHeight="1" x14ac:dyDescent="0.25">
      <c r="B12" s="96"/>
      <c r="C12" s="57" t="s">
        <v>188</v>
      </c>
      <c r="G12" s="57" t="s">
        <v>48</v>
      </c>
      <c r="J12" s="97"/>
    </row>
    <row r="13" spans="1:14" ht="15" customHeight="1" x14ac:dyDescent="0.25">
      <c r="B13" s="98"/>
      <c r="C13" s="71"/>
      <c r="D13" s="71"/>
      <c r="E13" s="71"/>
      <c r="F13" s="71"/>
      <c r="G13" s="71"/>
      <c r="H13" s="71"/>
      <c r="I13" s="71"/>
      <c r="J13" s="99"/>
    </row>
    <row r="14" spans="1:14" ht="15" customHeight="1" x14ac:dyDescent="0.25">
      <c r="B14" s="98"/>
      <c r="C14" s="110" t="s">
        <v>170</v>
      </c>
      <c r="D14" s="71"/>
      <c r="E14" s="71"/>
      <c r="F14" s="71"/>
      <c r="G14" s="68" t="s">
        <v>251</v>
      </c>
      <c r="H14" s="71"/>
      <c r="I14" s="92">
        <f>Tariffs!M80</f>
        <v>0.28505689401475104</v>
      </c>
      <c r="J14" s="99"/>
    </row>
    <row r="15" spans="1:14" ht="15" customHeight="1" x14ac:dyDescent="0.25">
      <c r="B15" s="98"/>
      <c r="C15" s="71"/>
      <c r="D15" s="71"/>
      <c r="E15" s="71"/>
      <c r="F15" s="71"/>
      <c r="G15" s="71"/>
      <c r="H15" s="71"/>
      <c r="I15" s="71"/>
      <c r="J15" s="99"/>
    </row>
    <row r="16" spans="1:14" ht="15" customHeight="1" x14ac:dyDescent="0.25">
      <c r="B16" s="98"/>
      <c r="C16" s="110" t="s">
        <v>171</v>
      </c>
      <c r="D16" s="71"/>
      <c r="E16" s="71"/>
      <c r="F16" s="71"/>
      <c r="G16" s="71"/>
      <c r="H16" s="71"/>
      <c r="I16" s="71"/>
      <c r="J16" s="99"/>
    </row>
    <row r="17" spans="2:10" ht="15" customHeight="1" x14ac:dyDescent="0.25">
      <c r="B17" s="98"/>
      <c r="C17" s="71" t="s">
        <v>33</v>
      </c>
      <c r="D17" s="71"/>
      <c r="E17" s="71"/>
      <c r="F17" s="71"/>
      <c r="G17" s="68" t="s">
        <v>252</v>
      </c>
      <c r="H17" s="71"/>
      <c r="I17" s="104">
        <f>Tariffs!M84</f>
        <v>8.5765033038090657</v>
      </c>
      <c r="J17" s="99"/>
    </row>
    <row r="18" spans="2:10" ht="15" customHeight="1" x14ac:dyDescent="0.25">
      <c r="B18" s="98"/>
      <c r="C18" s="71" t="s">
        <v>172</v>
      </c>
      <c r="D18" s="71"/>
      <c r="E18" s="71"/>
      <c r="F18" s="71"/>
      <c r="G18" s="68" t="s">
        <v>252</v>
      </c>
      <c r="H18" s="71"/>
      <c r="I18" s="104">
        <f>Tariffs!M86</f>
        <v>27.444810572189013</v>
      </c>
      <c r="J18" s="99"/>
    </row>
    <row r="19" spans="2:10" ht="15" customHeight="1" x14ac:dyDescent="0.25">
      <c r="B19" s="98"/>
      <c r="C19" s="71" t="s">
        <v>173</v>
      </c>
      <c r="D19" s="71"/>
      <c r="E19" s="71"/>
      <c r="F19" s="71"/>
      <c r="G19" s="68" t="s">
        <v>252</v>
      </c>
      <c r="H19" s="71"/>
      <c r="I19" s="104">
        <f>Tariffs!M87</f>
        <v>66.039075439329807</v>
      </c>
      <c r="J19" s="99"/>
    </row>
    <row r="20" spans="2:10" ht="15" customHeight="1" x14ac:dyDescent="0.25">
      <c r="B20" s="98"/>
      <c r="C20" s="71" t="s">
        <v>174</v>
      </c>
      <c r="D20" s="71"/>
      <c r="E20" s="71"/>
      <c r="F20" s="71"/>
      <c r="G20" s="68" t="s">
        <v>252</v>
      </c>
      <c r="H20" s="71"/>
      <c r="I20" s="104">
        <f>Tariffs!M88</f>
        <v>114.06749394066058</v>
      </c>
      <c r="J20" s="99"/>
    </row>
    <row r="21" spans="2:10" ht="15" customHeight="1" x14ac:dyDescent="0.25">
      <c r="B21" s="98"/>
      <c r="C21" s="71" t="s">
        <v>175</v>
      </c>
      <c r="D21" s="71"/>
      <c r="E21" s="71"/>
      <c r="F21" s="71"/>
      <c r="G21" s="68" t="s">
        <v>252</v>
      </c>
      <c r="H21" s="71"/>
      <c r="I21" s="104">
        <f>Tariffs!M89</f>
        <v>156.95001045970591</v>
      </c>
      <c r="J21" s="99"/>
    </row>
    <row r="22" spans="2:10" ht="15" customHeight="1" x14ac:dyDescent="0.25">
      <c r="B22" s="98"/>
      <c r="C22" s="71" t="s">
        <v>176</v>
      </c>
      <c r="D22" s="71"/>
      <c r="E22" s="71"/>
      <c r="F22" s="71"/>
      <c r="G22" s="68" t="s">
        <v>252</v>
      </c>
      <c r="H22" s="71"/>
      <c r="I22" s="104">
        <f>Tariffs!M90</f>
        <v>199.83252697875125</v>
      </c>
      <c r="J22" s="99"/>
    </row>
    <row r="23" spans="2:10" ht="15" customHeight="1" x14ac:dyDescent="0.25">
      <c r="B23" s="98"/>
      <c r="C23" s="71" t="s">
        <v>177</v>
      </c>
      <c r="D23" s="71"/>
      <c r="E23" s="71"/>
      <c r="F23" s="71"/>
      <c r="G23" s="68" t="s">
        <v>252</v>
      </c>
      <c r="H23" s="71"/>
      <c r="I23" s="104">
        <f>Tariffs!M91</f>
        <v>242.71504349779656</v>
      </c>
      <c r="J23" s="99"/>
    </row>
    <row r="24" spans="2:10" ht="15" customHeight="1" x14ac:dyDescent="0.25">
      <c r="B24" s="98"/>
      <c r="C24" s="71" t="s">
        <v>178</v>
      </c>
      <c r="D24" s="71"/>
      <c r="E24" s="71"/>
      <c r="F24" s="71"/>
      <c r="G24" s="68" t="s">
        <v>252</v>
      </c>
      <c r="H24" s="71"/>
      <c r="I24" s="104">
        <f>Tariffs!M92</f>
        <v>328.48007653588718</v>
      </c>
      <c r="J24" s="99"/>
    </row>
    <row r="25" spans="2:10" ht="15" customHeight="1" x14ac:dyDescent="0.25">
      <c r="B25" s="98"/>
      <c r="C25" s="71" t="s">
        <v>179</v>
      </c>
      <c r="D25" s="71"/>
      <c r="E25" s="71"/>
      <c r="F25" s="71"/>
      <c r="G25" s="68" t="s">
        <v>252</v>
      </c>
      <c r="H25" s="71"/>
      <c r="I25" s="104">
        <f>Tariffs!M93</f>
        <v>414.24510957397786</v>
      </c>
      <c r="J25" s="99"/>
    </row>
    <row r="26" spans="2:10" ht="15" customHeight="1" x14ac:dyDescent="0.25">
      <c r="B26" s="98"/>
      <c r="C26" s="71" t="s">
        <v>180</v>
      </c>
      <c r="D26" s="71"/>
      <c r="E26" s="71"/>
      <c r="F26" s="71"/>
      <c r="G26" s="68" t="s">
        <v>252</v>
      </c>
      <c r="H26" s="71"/>
      <c r="I26" s="104">
        <f>Tariffs!M94</f>
        <v>542.89265913111387</v>
      </c>
      <c r="J26" s="99"/>
    </row>
    <row r="27" spans="2:10" ht="15" customHeight="1" x14ac:dyDescent="0.25">
      <c r="B27" s="98"/>
      <c r="C27" s="71" t="s">
        <v>181</v>
      </c>
      <c r="D27" s="71"/>
      <c r="E27" s="71"/>
      <c r="F27" s="71"/>
      <c r="G27" s="68" t="s">
        <v>252</v>
      </c>
      <c r="H27" s="71"/>
      <c r="I27" s="104">
        <f>Tariffs!M95</f>
        <v>671.54020868824978</v>
      </c>
      <c r="J27" s="99"/>
    </row>
    <row r="28" spans="2:10" ht="15" customHeight="1" x14ac:dyDescent="0.25">
      <c r="B28" s="98"/>
      <c r="C28" s="71" t="s">
        <v>182</v>
      </c>
      <c r="D28" s="71"/>
      <c r="E28" s="71"/>
      <c r="F28" s="71"/>
      <c r="G28" s="68" t="s">
        <v>252</v>
      </c>
      <c r="H28" s="71"/>
      <c r="I28" s="104">
        <f>Tariffs!M96</f>
        <v>714.42272520729512</v>
      </c>
      <c r="J28" s="99"/>
    </row>
    <row r="29" spans="2:10" ht="15" customHeight="1" x14ac:dyDescent="0.25">
      <c r="B29" s="98"/>
      <c r="C29" s="71" t="s">
        <v>183</v>
      </c>
      <c r="D29" s="71"/>
      <c r="E29" s="71"/>
      <c r="F29" s="71"/>
      <c r="G29" s="68" t="s">
        <v>252</v>
      </c>
      <c r="H29" s="71"/>
      <c r="I29" s="104">
        <f>Tariffs!M97</f>
        <v>800.18775824538579</v>
      </c>
      <c r="J29" s="99"/>
    </row>
    <row r="30" spans="2:10" ht="15" customHeight="1" x14ac:dyDescent="0.25">
      <c r="B30" s="98"/>
      <c r="C30" s="71" t="s">
        <v>184</v>
      </c>
      <c r="D30" s="71"/>
      <c r="E30" s="71"/>
      <c r="F30" s="71"/>
      <c r="G30" s="68" t="s">
        <v>252</v>
      </c>
      <c r="H30" s="71"/>
      <c r="I30" s="104">
        <f>Tariffs!M98</f>
        <v>843.07027476443113</v>
      </c>
      <c r="J30" s="99"/>
    </row>
    <row r="31" spans="2:10" ht="15" customHeight="1" x14ac:dyDescent="0.25">
      <c r="B31" s="98"/>
      <c r="C31" s="71" t="s">
        <v>185</v>
      </c>
      <c r="D31" s="71"/>
      <c r="E31" s="71"/>
      <c r="F31" s="71"/>
      <c r="G31" s="68" t="s">
        <v>252</v>
      </c>
      <c r="H31" s="71"/>
      <c r="I31" s="104">
        <f>Tariffs!M99</f>
        <v>857.65033038090655</v>
      </c>
      <c r="J31" s="99"/>
    </row>
    <row r="32" spans="2:10" ht="15" customHeight="1" x14ac:dyDescent="0.25">
      <c r="B32" s="98"/>
      <c r="C32" s="71" t="s">
        <v>186</v>
      </c>
      <c r="D32" s="71"/>
      <c r="E32" s="71"/>
      <c r="F32" s="71"/>
      <c r="G32" s="68" t="s">
        <v>252</v>
      </c>
      <c r="H32" s="71"/>
      <c r="I32" s="104">
        <f>Tariffs!M100</f>
        <v>1072.0629129761332</v>
      </c>
      <c r="J32" s="99"/>
    </row>
    <row r="33" spans="2:11" ht="15" customHeight="1" x14ac:dyDescent="0.25">
      <c r="B33" s="98"/>
      <c r="C33" s="71" t="s">
        <v>187</v>
      </c>
      <c r="D33" s="71"/>
      <c r="E33" s="71"/>
      <c r="F33" s="71"/>
      <c r="G33" s="68" t="s">
        <v>252</v>
      </c>
      <c r="H33" s="71"/>
      <c r="I33" s="104">
        <f>Tariffs!M101</f>
        <v>3001.7761563331728</v>
      </c>
      <c r="J33" s="99"/>
    </row>
    <row r="34" spans="2:11" ht="15" customHeight="1" x14ac:dyDescent="0.25">
      <c r="B34" s="98"/>
      <c r="C34" s="71"/>
      <c r="D34" s="71"/>
      <c r="E34" s="71"/>
      <c r="F34" s="71"/>
      <c r="G34" s="71"/>
      <c r="H34" s="71"/>
      <c r="I34" s="71"/>
      <c r="J34" s="99"/>
    </row>
    <row r="35" spans="2:11" ht="15" customHeight="1" x14ac:dyDescent="0.25">
      <c r="B35" s="98"/>
      <c r="C35" s="110" t="s">
        <v>35</v>
      </c>
      <c r="D35" s="71"/>
      <c r="E35" s="71"/>
      <c r="F35" s="71"/>
      <c r="G35" s="71"/>
      <c r="H35" s="71"/>
      <c r="I35" s="71"/>
      <c r="J35" s="99"/>
    </row>
    <row r="36" spans="2:11" ht="15" customHeight="1" x14ac:dyDescent="0.25">
      <c r="B36" s="98"/>
      <c r="C36" s="71" t="s">
        <v>35</v>
      </c>
      <c r="D36" s="71"/>
      <c r="E36" s="71"/>
      <c r="F36" s="71"/>
      <c r="G36" s="71" t="s">
        <v>206</v>
      </c>
      <c r="H36" s="71"/>
      <c r="I36" s="104">
        <f>Tariffs!M104</f>
        <v>25</v>
      </c>
      <c r="J36" s="99"/>
    </row>
    <row r="37" spans="2:11" ht="15" customHeight="1" x14ac:dyDescent="0.25">
      <c r="B37" s="98"/>
      <c r="C37" s="71"/>
      <c r="D37" s="71"/>
      <c r="E37" s="71"/>
      <c r="F37" s="71"/>
      <c r="G37" s="71"/>
      <c r="H37" s="71"/>
      <c r="I37" s="71"/>
      <c r="J37" s="99"/>
    </row>
    <row r="38" spans="2:11" ht="15" customHeight="1" x14ac:dyDescent="0.25">
      <c r="B38" s="98"/>
      <c r="C38" s="110" t="s">
        <v>42</v>
      </c>
      <c r="D38" s="71"/>
      <c r="E38" s="71"/>
      <c r="F38" s="71"/>
      <c r="G38" s="71"/>
      <c r="H38" s="71"/>
      <c r="I38" s="71"/>
      <c r="J38" s="99"/>
    </row>
    <row r="39" spans="2:11" ht="15" customHeight="1" x14ac:dyDescent="0.25">
      <c r="B39" s="98"/>
      <c r="C39" s="71" t="s">
        <v>37</v>
      </c>
      <c r="D39" s="71"/>
      <c r="E39" s="71"/>
      <c r="F39" s="71"/>
      <c r="G39" s="71" t="s">
        <v>206</v>
      </c>
      <c r="H39" s="71"/>
      <c r="I39" s="104">
        <f>Tariffs!M107</f>
        <v>255.05974239551995</v>
      </c>
      <c r="J39" s="99"/>
    </row>
    <row r="40" spans="2:11" ht="15" customHeight="1" x14ac:dyDescent="0.25">
      <c r="B40" s="98"/>
      <c r="C40" s="71" t="s">
        <v>38</v>
      </c>
      <c r="D40" s="71"/>
      <c r="E40" s="71"/>
      <c r="F40" s="71"/>
      <c r="G40" s="71" t="s">
        <v>206</v>
      </c>
      <c r="H40" s="71"/>
      <c r="I40" s="104">
        <f>Tariffs!M108</f>
        <v>285.97107903552001</v>
      </c>
      <c r="J40" s="99"/>
    </row>
    <row r="41" spans="2:11" ht="15" customHeight="1" x14ac:dyDescent="0.25">
      <c r="B41" s="98"/>
      <c r="C41" s="71" t="s">
        <v>39</v>
      </c>
      <c r="D41" s="71"/>
      <c r="E41" s="71"/>
      <c r="F41" s="71"/>
      <c r="G41" s="71" t="s">
        <v>253</v>
      </c>
      <c r="H41" s="71"/>
      <c r="I41" s="104">
        <f>Tariffs!M109</f>
        <v>81.358638036479988</v>
      </c>
      <c r="J41" s="99"/>
    </row>
    <row r="42" spans="2:11" ht="15" customHeight="1" thickBot="1" x14ac:dyDescent="0.3">
      <c r="B42" s="101"/>
      <c r="C42" s="102"/>
      <c r="D42" s="102"/>
      <c r="E42" s="102"/>
      <c r="F42" s="102"/>
      <c r="G42" s="102"/>
      <c r="H42" s="102"/>
      <c r="I42" s="102"/>
      <c r="J42" s="103"/>
    </row>
    <row r="43" spans="2:11" ht="15" customHeight="1" thickBot="1" x14ac:dyDescent="0.3"/>
    <row r="44" spans="2:11" ht="15" customHeight="1" x14ac:dyDescent="0.25">
      <c r="B44" s="93"/>
      <c r="C44" s="94"/>
      <c r="D44" s="94"/>
      <c r="E44" s="94"/>
      <c r="F44" s="94"/>
      <c r="G44" s="94"/>
      <c r="H44" s="94"/>
      <c r="I44" s="94"/>
      <c r="J44" s="94"/>
      <c r="K44" s="95"/>
    </row>
    <row r="45" spans="2:11" s="57" customFormat="1" ht="15" customHeight="1" x14ac:dyDescent="0.25">
      <c r="B45" s="96"/>
      <c r="C45" s="57" t="s">
        <v>254</v>
      </c>
      <c r="G45" s="57" t="s">
        <v>48</v>
      </c>
      <c r="K45" s="97"/>
    </row>
    <row r="46" spans="2:11" ht="15" customHeight="1" x14ac:dyDescent="0.25">
      <c r="B46" s="98"/>
      <c r="C46" s="71"/>
      <c r="D46" s="71"/>
      <c r="E46" s="71"/>
      <c r="F46" s="71"/>
      <c r="G46" s="71"/>
      <c r="H46" s="71"/>
      <c r="I46" s="71"/>
      <c r="J46" s="71"/>
      <c r="K46" s="99"/>
    </row>
    <row r="47" spans="2:11" ht="15" customHeight="1" x14ac:dyDescent="0.25">
      <c r="B47" s="98"/>
      <c r="C47" s="110" t="s">
        <v>165</v>
      </c>
      <c r="D47" s="71"/>
      <c r="E47" s="71"/>
      <c r="F47" s="71"/>
      <c r="G47" s="71"/>
      <c r="H47" s="71"/>
      <c r="I47" s="71"/>
      <c r="J47" s="71"/>
      <c r="K47" s="99"/>
    </row>
    <row r="48" spans="2:11" ht="15" customHeight="1" x14ac:dyDescent="0.25">
      <c r="B48" s="98"/>
      <c r="C48" s="71" t="s">
        <v>225</v>
      </c>
      <c r="D48" s="71"/>
      <c r="E48" s="71"/>
      <c r="F48" s="71"/>
      <c r="G48" s="71" t="s">
        <v>7</v>
      </c>
      <c r="H48" s="71"/>
      <c r="I48" s="105">
        <f>Parameters!H22</f>
        <v>0.06</v>
      </c>
      <c r="J48" s="71"/>
      <c r="K48" s="99"/>
    </row>
    <row r="49" spans="2:11" ht="15" customHeight="1" x14ac:dyDescent="0.25">
      <c r="B49" s="98"/>
      <c r="C49" s="71" t="s">
        <v>204</v>
      </c>
      <c r="D49" s="71"/>
      <c r="E49" s="71"/>
      <c r="F49" s="71"/>
      <c r="G49" s="71" t="s">
        <v>7</v>
      </c>
      <c r="H49" s="71"/>
      <c r="I49" s="106">
        <f>Parameters!H18</f>
        <v>-1.6E-2</v>
      </c>
      <c r="J49" s="71"/>
      <c r="K49" s="99"/>
    </row>
    <row r="50" spans="2:11" ht="15" customHeight="1" x14ac:dyDescent="0.25">
      <c r="B50" s="98"/>
      <c r="C50" s="71"/>
      <c r="D50" s="71"/>
      <c r="E50" s="71"/>
      <c r="F50" s="71"/>
      <c r="G50" s="71"/>
      <c r="H50" s="71"/>
      <c r="I50" s="71"/>
      <c r="J50" s="71"/>
      <c r="K50" s="99"/>
    </row>
    <row r="51" spans="2:11" s="67" customFormat="1" ht="25.5" x14ac:dyDescent="0.25">
      <c r="B51" s="100"/>
      <c r="C51" s="110"/>
      <c r="D51" s="110"/>
      <c r="E51" s="110"/>
      <c r="F51" s="110"/>
      <c r="G51" s="110"/>
      <c r="H51" s="110"/>
      <c r="I51" s="111" t="s">
        <v>133</v>
      </c>
      <c r="J51" s="111" t="s">
        <v>53</v>
      </c>
      <c r="K51" s="112"/>
    </row>
    <row r="52" spans="2:11" ht="15" customHeight="1" x14ac:dyDescent="0.25">
      <c r="B52" s="98"/>
      <c r="C52" s="71" t="s">
        <v>255</v>
      </c>
      <c r="D52" s="71"/>
      <c r="E52" s="71"/>
      <c r="F52" s="71"/>
      <c r="G52" s="71" t="s">
        <v>7</v>
      </c>
      <c r="H52" s="71"/>
      <c r="I52" s="107">
        <f>Parameters!L26</f>
        <v>0.25</v>
      </c>
      <c r="J52" s="107">
        <f>Parameters!M26</f>
        <v>0.25</v>
      </c>
      <c r="K52" s="99"/>
    </row>
    <row r="53" spans="2:11" ht="15" customHeight="1" x14ac:dyDescent="0.25">
      <c r="B53" s="98"/>
      <c r="C53" s="71" t="s">
        <v>256</v>
      </c>
      <c r="D53" s="71"/>
      <c r="E53" s="71"/>
      <c r="F53" s="71"/>
      <c r="G53" s="71" t="s">
        <v>7</v>
      </c>
      <c r="H53" s="71"/>
      <c r="I53" s="107">
        <f>Parameters!L27</f>
        <v>0</v>
      </c>
      <c r="J53" s="107">
        <f>Parameters!M27</f>
        <v>0.5</v>
      </c>
      <c r="K53" s="99"/>
    </row>
    <row r="54" spans="2:11" ht="15" customHeight="1" x14ac:dyDescent="0.25">
      <c r="B54" s="98"/>
      <c r="C54" s="71"/>
      <c r="D54" s="71"/>
      <c r="E54" s="71"/>
      <c r="F54" s="71"/>
      <c r="G54" s="71"/>
      <c r="H54" s="71"/>
      <c r="I54" s="71"/>
      <c r="J54" s="71"/>
      <c r="K54" s="99"/>
    </row>
    <row r="55" spans="2:11" s="67" customFormat="1" ht="25.5" x14ac:dyDescent="0.25">
      <c r="B55" s="100"/>
      <c r="C55" s="110" t="s">
        <v>257</v>
      </c>
      <c r="D55" s="110"/>
      <c r="E55" s="110"/>
      <c r="F55" s="110"/>
      <c r="G55" s="110"/>
      <c r="H55" s="110"/>
      <c r="I55" s="111" t="s">
        <v>133</v>
      </c>
      <c r="J55" s="111" t="s">
        <v>53</v>
      </c>
      <c r="K55" s="112"/>
    </row>
    <row r="56" spans="2:11" ht="15" customHeight="1" x14ac:dyDescent="0.25">
      <c r="B56" s="98"/>
      <c r="C56" s="71" t="s">
        <v>189</v>
      </c>
      <c r="D56" s="71"/>
      <c r="E56" s="71"/>
      <c r="F56" s="71"/>
      <c r="G56" s="71" t="s">
        <v>40</v>
      </c>
      <c r="H56" s="71"/>
      <c r="I56" s="108">
        <f>'Data on costs'!L13</f>
        <v>1341632.665</v>
      </c>
      <c r="J56" s="108">
        <f>'Data on costs'!M13</f>
        <v>858263.92500000005</v>
      </c>
      <c r="K56" s="99"/>
    </row>
    <row r="57" spans="2:11" ht="15" customHeight="1" x14ac:dyDescent="0.25">
      <c r="B57" s="98"/>
      <c r="C57" s="71" t="s">
        <v>258</v>
      </c>
      <c r="D57" s="71"/>
      <c r="E57" s="71"/>
      <c r="F57" s="71"/>
      <c r="G57" s="71" t="s">
        <v>111</v>
      </c>
      <c r="H57" s="71"/>
      <c r="I57" s="108">
        <f>'Data on costs'!L17</f>
        <v>2435322.9712092979</v>
      </c>
      <c r="J57" s="108">
        <f>'Data on costs'!M17</f>
        <v>3930704.97591291</v>
      </c>
      <c r="K57" s="99"/>
    </row>
    <row r="58" spans="2:11" ht="15" customHeight="1" x14ac:dyDescent="0.25">
      <c r="B58" s="98"/>
      <c r="C58" s="71" t="s">
        <v>259</v>
      </c>
      <c r="D58" s="71"/>
      <c r="E58" s="71"/>
      <c r="F58" s="71"/>
      <c r="G58" s="71" t="s">
        <v>111</v>
      </c>
      <c r="H58" s="71"/>
      <c r="I58" s="108">
        <f>'Data on costs'!L18</f>
        <v>112482.70404425287</v>
      </c>
      <c r="J58" s="108">
        <f>'Data on costs'!M18</f>
        <v>264522.66101660288</v>
      </c>
      <c r="K58" s="99"/>
    </row>
    <row r="59" spans="2:11" ht="15" customHeight="1" x14ac:dyDescent="0.25">
      <c r="B59" s="98"/>
      <c r="C59" s="71"/>
      <c r="D59" s="71"/>
      <c r="E59" s="71"/>
      <c r="F59" s="71"/>
      <c r="G59" s="71"/>
      <c r="H59" s="71"/>
      <c r="I59" s="71"/>
      <c r="J59" s="71"/>
      <c r="K59" s="99"/>
    </row>
    <row r="60" spans="2:11" ht="15" customHeight="1" x14ac:dyDescent="0.25">
      <c r="B60" s="98"/>
      <c r="C60" s="110" t="s">
        <v>144</v>
      </c>
      <c r="D60" s="71"/>
      <c r="E60" s="71"/>
      <c r="F60" s="71"/>
      <c r="G60" s="71"/>
      <c r="H60" s="71"/>
      <c r="I60" s="71"/>
      <c r="J60" s="71"/>
      <c r="K60" s="99"/>
    </row>
    <row r="61" spans="2:11" ht="15" customHeight="1" x14ac:dyDescent="0.25">
      <c r="B61" s="98"/>
      <c r="C61" s="71" t="s">
        <v>195</v>
      </c>
      <c r="D61" s="71"/>
      <c r="E61" s="71"/>
      <c r="F61" s="71"/>
      <c r="G61" s="71" t="s">
        <v>40</v>
      </c>
      <c r="H61" s="71"/>
      <c r="I61" s="108">
        <f>'Data on costs'!L14</f>
        <v>5287.08</v>
      </c>
      <c r="J61" s="108">
        <f>'Data on costs'!M14</f>
        <v>91965.91</v>
      </c>
      <c r="K61" s="99"/>
    </row>
    <row r="62" spans="2:11" ht="15" customHeight="1" x14ac:dyDescent="0.25">
      <c r="B62" s="98"/>
      <c r="C62" s="71"/>
      <c r="D62" s="71"/>
      <c r="E62" s="71"/>
      <c r="F62" s="71"/>
      <c r="G62" s="71"/>
      <c r="H62" s="71"/>
      <c r="I62" s="71"/>
      <c r="J62" s="71"/>
      <c r="K62" s="99"/>
    </row>
    <row r="63" spans="2:11" ht="15" customHeight="1" x14ac:dyDescent="0.25">
      <c r="B63" s="98"/>
      <c r="C63" s="110" t="s">
        <v>43</v>
      </c>
      <c r="D63" s="71"/>
      <c r="E63" s="71"/>
      <c r="F63" s="71"/>
      <c r="G63" s="71"/>
      <c r="H63" s="71"/>
      <c r="I63" s="71"/>
      <c r="J63" s="71"/>
      <c r="K63" s="99"/>
    </row>
    <row r="64" spans="2:11" ht="15" customHeight="1" x14ac:dyDescent="0.25">
      <c r="B64" s="98"/>
      <c r="C64" s="71" t="s">
        <v>260</v>
      </c>
      <c r="D64" s="71"/>
      <c r="E64" s="71"/>
      <c r="F64" s="71"/>
      <c r="G64" s="71" t="s">
        <v>206</v>
      </c>
      <c r="H64" s="71"/>
      <c r="I64" s="108">
        <f>Tariffs!L20</f>
        <v>-16456.510810024036</v>
      </c>
      <c r="J64" s="108">
        <f>Tariffs!M20</f>
        <v>-16842.109175764355</v>
      </c>
      <c r="K64" s="99"/>
    </row>
    <row r="65" spans="2:11" ht="15" customHeight="1" x14ac:dyDescent="0.25">
      <c r="B65" s="98"/>
      <c r="C65" s="71" t="s">
        <v>208</v>
      </c>
      <c r="D65" s="71"/>
      <c r="E65" s="71"/>
      <c r="F65" s="71"/>
      <c r="G65" s="71" t="s">
        <v>206</v>
      </c>
      <c r="H65" s="71"/>
      <c r="I65" s="108">
        <f>Tariffs!L21</f>
        <v>148008.80541840842</v>
      </c>
      <c r="J65" s="108">
        <f>Tariffs!M21</f>
        <v>-51822.671892656195</v>
      </c>
      <c r="K65" s="99"/>
    </row>
    <row r="66" spans="2:11" ht="15" customHeight="1" x14ac:dyDescent="0.25">
      <c r="B66" s="98"/>
      <c r="C66" s="71" t="s">
        <v>209</v>
      </c>
      <c r="D66" s="71"/>
      <c r="E66" s="71"/>
      <c r="F66" s="71"/>
      <c r="G66" s="71" t="s">
        <v>206</v>
      </c>
      <c r="H66" s="71"/>
      <c r="I66" s="108">
        <f>Tariffs!L22</f>
        <v>0</v>
      </c>
      <c r="J66" s="108">
        <f>Tariffs!M22</f>
        <v>25802.030947163032</v>
      </c>
      <c r="K66" s="99"/>
    </row>
    <row r="67" spans="2:11" ht="15" customHeight="1" x14ac:dyDescent="0.25">
      <c r="B67" s="98"/>
      <c r="C67" s="113" t="s">
        <v>210</v>
      </c>
      <c r="D67" s="71"/>
      <c r="E67" s="71"/>
      <c r="F67" s="71"/>
      <c r="G67" s="71" t="s">
        <v>206</v>
      </c>
      <c r="H67" s="71"/>
      <c r="I67" s="108">
        <f>Tariffs!L23</f>
        <v>95779.530549823117</v>
      </c>
      <c r="J67" s="108">
        <f>Tariffs!M23</f>
        <v>0</v>
      </c>
      <c r="K67" s="99"/>
    </row>
    <row r="68" spans="2:11" ht="15" customHeight="1" x14ac:dyDescent="0.25">
      <c r="B68" s="98"/>
      <c r="C68" s="113" t="s">
        <v>211</v>
      </c>
      <c r="D68" s="71"/>
      <c r="E68" s="71"/>
      <c r="F68" s="71"/>
      <c r="G68" s="71" t="s">
        <v>206</v>
      </c>
      <c r="H68" s="71"/>
      <c r="I68" s="108">
        <f>Tariffs!L24</f>
        <v>0</v>
      </c>
      <c r="J68" s="108">
        <f>Tariffs!M24</f>
        <v>-36225.665603148766</v>
      </c>
      <c r="K68" s="99"/>
    </row>
    <row r="69" spans="2:11" ht="15" customHeight="1" x14ac:dyDescent="0.25">
      <c r="B69" s="98"/>
      <c r="C69" s="113" t="s">
        <v>343</v>
      </c>
      <c r="D69" s="71"/>
      <c r="E69" s="71"/>
      <c r="F69" s="71"/>
      <c r="G69" s="71" t="s">
        <v>206</v>
      </c>
      <c r="H69" s="71"/>
      <c r="I69" s="108">
        <f>Tariffs!L25</f>
        <v>-190504.11690027453</v>
      </c>
      <c r="J69" s="108">
        <f>Tariffs!M25</f>
        <v>0</v>
      </c>
      <c r="K69" s="99"/>
    </row>
    <row r="70" spans="2:11" ht="15" customHeight="1" x14ac:dyDescent="0.25">
      <c r="B70" s="98"/>
      <c r="C70" s="71"/>
      <c r="D70" s="71"/>
      <c r="E70" s="71"/>
      <c r="F70" s="71"/>
      <c r="G70" s="71"/>
      <c r="H70" s="71"/>
      <c r="I70" s="71"/>
      <c r="J70" s="71"/>
      <c r="K70" s="99"/>
    </row>
    <row r="71" spans="2:11" ht="15" customHeight="1" x14ac:dyDescent="0.25">
      <c r="B71" s="98"/>
      <c r="C71" s="110" t="s">
        <v>261</v>
      </c>
      <c r="D71" s="71"/>
      <c r="E71" s="71"/>
      <c r="F71" s="71"/>
      <c r="G71" s="71"/>
      <c r="H71" s="71"/>
      <c r="I71" s="71"/>
      <c r="J71" s="71"/>
      <c r="K71" s="99"/>
    </row>
    <row r="72" spans="2:11" ht="15" customHeight="1" x14ac:dyDescent="0.25">
      <c r="B72" s="98"/>
      <c r="C72" s="71" t="s">
        <v>262</v>
      </c>
      <c r="D72" s="71"/>
      <c r="E72" s="71"/>
      <c r="F72" s="71"/>
      <c r="G72" s="71" t="s">
        <v>26</v>
      </c>
      <c r="H72" s="71"/>
      <c r="I72" s="108">
        <f>'Data on volumes and tariffs'!L19</f>
        <v>8763212.9773076437</v>
      </c>
      <c r="J72" s="71"/>
      <c r="K72" s="99"/>
    </row>
    <row r="73" spans="2:11" ht="15" customHeight="1" x14ac:dyDescent="0.25">
      <c r="B73" s="98"/>
      <c r="C73" s="71" t="s">
        <v>190</v>
      </c>
      <c r="D73" s="71"/>
      <c r="E73" s="71"/>
      <c r="F73" s="71"/>
      <c r="G73" s="71" t="s">
        <v>26</v>
      </c>
      <c r="H73" s="71"/>
      <c r="I73" s="108">
        <f>'Data on volumes and tariffs'!L16</f>
        <v>3210600.1604091395</v>
      </c>
      <c r="J73" s="71"/>
      <c r="K73" s="99"/>
    </row>
    <row r="74" spans="2:11" ht="15" customHeight="1" x14ac:dyDescent="0.25">
      <c r="B74" s="98"/>
      <c r="C74" s="71" t="s">
        <v>191</v>
      </c>
      <c r="D74" s="71"/>
      <c r="E74" s="71"/>
      <c r="F74" s="71"/>
      <c r="G74" s="71" t="s">
        <v>26</v>
      </c>
      <c r="H74" s="71"/>
      <c r="I74" s="108">
        <f>'Data on volumes and tariffs'!L17</f>
        <v>5707731.8407273591</v>
      </c>
      <c r="J74" s="71"/>
      <c r="K74" s="99"/>
    </row>
    <row r="75" spans="2:11" ht="15" customHeight="1" x14ac:dyDescent="0.25">
      <c r="B75" s="98"/>
      <c r="C75" s="71" t="s">
        <v>344</v>
      </c>
      <c r="D75" s="71"/>
      <c r="E75" s="71"/>
      <c r="F75" s="71"/>
      <c r="G75" s="71" t="s">
        <v>26</v>
      </c>
      <c r="H75" s="71"/>
      <c r="I75" s="108">
        <f>'Data on volumes and tariffs'!L18</f>
        <v>155119.023828854</v>
      </c>
      <c r="J75" s="71"/>
      <c r="K75" s="99"/>
    </row>
    <row r="76" spans="2:11" ht="15" customHeight="1" x14ac:dyDescent="0.25">
      <c r="B76" s="98"/>
      <c r="C76" s="71" t="s">
        <v>263</v>
      </c>
      <c r="D76" s="71"/>
      <c r="E76" s="71"/>
      <c r="F76" s="71"/>
      <c r="G76" s="71" t="s">
        <v>192</v>
      </c>
      <c r="H76" s="71"/>
      <c r="I76" s="109">
        <f>'Data on volumes and tariffs'!L21</f>
        <v>0.27004207133895602</v>
      </c>
      <c r="J76" s="71"/>
      <c r="K76" s="99"/>
    </row>
    <row r="77" spans="2:11" ht="15" customHeight="1" x14ac:dyDescent="0.25">
      <c r="B77" s="98"/>
      <c r="C77" s="71" t="s">
        <v>63</v>
      </c>
      <c r="D77" s="71"/>
      <c r="E77" s="71"/>
      <c r="F77" s="71"/>
      <c r="G77" s="71" t="s">
        <v>14</v>
      </c>
      <c r="H77" s="71"/>
      <c r="I77" s="92">
        <f>'Data on volumes and tariffs'!L25</f>
        <v>0.4924695400060603</v>
      </c>
      <c r="J77" s="71"/>
      <c r="K77" s="99"/>
    </row>
    <row r="78" spans="2:11" ht="15" customHeight="1" x14ac:dyDescent="0.25">
      <c r="B78" s="98"/>
      <c r="C78" s="71"/>
      <c r="D78" s="71"/>
      <c r="E78" s="71"/>
      <c r="F78" s="71"/>
      <c r="G78" s="71"/>
      <c r="H78" s="71"/>
      <c r="I78" s="71"/>
      <c r="J78" s="71"/>
      <c r="K78" s="99"/>
    </row>
    <row r="79" spans="2:11" ht="15" customHeight="1" x14ac:dyDescent="0.25">
      <c r="B79" s="98"/>
      <c r="C79" s="71" t="s">
        <v>198</v>
      </c>
      <c r="D79" s="71"/>
      <c r="E79" s="71"/>
      <c r="F79" s="71"/>
      <c r="G79" s="71" t="s">
        <v>7</v>
      </c>
      <c r="H79" s="71"/>
      <c r="I79" s="71"/>
      <c r="J79" s="106">
        <f>'Data on volumes and tariffs'!M28</f>
        <v>7.9277824895729071E-2</v>
      </c>
      <c r="K79" s="99"/>
    </row>
    <row r="80" spans="2:11" ht="15" customHeight="1" x14ac:dyDescent="0.25">
      <c r="B80" s="98"/>
      <c r="C80" s="71" t="s">
        <v>193</v>
      </c>
      <c r="D80" s="71"/>
      <c r="E80" s="71"/>
      <c r="F80" s="71"/>
      <c r="G80" s="71" t="s">
        <v>21</v>
      </c>
      <c r="H80" s="71"/>
      <c r="I80" s="71"/>
      <c r="J80" s="108">
        <f>Tariffs!M83</f>
        <v>11552.371428571427</v>
      </c>
      <c r="K80" s="99"/>
    </row>
    <row r="81" spans="2:11" ht="15" customHeight="1" x14ac:dyDescent="0.25">
      <c r="B81" s="98"/>
      <c r="C81" s="71"/>
      <c r="D81" s="71"/>
      <c r="E81" s="71"/>
      <c r="F81" s="71"/>
      <c r="G81" s="71"/>
      <c r="H81" s="71"/>
      <c r="I81" s="71"/>
      <c r="J81" s="71"/>
      <c r="K81" s="99"/>
    </row>
    <row r="82" spans="2:11" ht="15" customHeight="1" x14ac:dyDescent="0.25">
      <c r="B82" s="98"/>
      <c r="C82" s="71" t="s">
        <v>194</v>
      </c>
      <c r="D82" s="71"/>
      <c r="E82" s="71"/>
      <c r="F82" s="71"/>
      <c r="G82" s="71"/>
      <c r="H82" s="71"/>
      <c r="I82" s="71"/>
      <c r="J82" s="71"/>
      <c r="K82" s="99"/>
    </row>
    <row r="83" spans="2:11" ht="15" customHeight="1" thickBot="1" x14ac:dyDescent="0.3">
      <c r="B83" s="101"/>
      <c r="C83" s="102"/>
      <c r="D83" s="102"/>
      <c r="E83" s="102"/>
      <c r="F83" s="102"/>
      <c r="G83" s="102"/>
      <c r="H83" s="102"/>
      <c r="I83" s="102"/>
      <c r="J83" s="102"/>
      <c r="K83" s="103"/>
    </row>
    <row r="84" spans="2:11" ht="15" customHeight="1" x14ac:dyDescent="0.25"/>
    <row r="85" spans="2:11" ht="15" customHeight="1" x14ac:dyDescent="0.25"/>
    <row r="86" spans="2:11" ht="15" customHeight="1" x14ac:dyDescent="0.25"/>
    <row r="87" spans="2:11" ht="15" customHeight="1" x14ac:dyDescent="0.25"/>
    <row r="88" spans="2:11" ht="15" customHeight="1" x14ac:dyDescent="0.25"/>
    <row r="89" spans="2:11" ht="15" customHeight="1" x14ac:dyDescent="0.25"/>
    <row r="90" spans="2:11" ht="15" customHeight="1" x14ac:dyDescent="0.25"/>
    <row r="91" spans="2:11" ht="15" customHeight="1" x14ac:dyDescent="0.25">
      <c r="C91" s="1"/>
    </row>
    <row r="92" spans="2:11" ht="15" customHeight="1" x14ac:dyDescent="0.25">
      <c r="C92"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35"/>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68" customWidth="1"/>
    <col min="2" max="2" width="19.140625" style="68" customWidth="1"/>
    <col min="3" max="3" width="20.7109375" style="68" customWidth="1"/>
    <col min="4" max="4" width="56.85546875" style="68" customWidth="1"/>
    <col min="5" max="5" width="29.85546875" style="68" customWidth="1"/>
    <col min="6" max="6" width="24.7109375" style="68" customWidth="1"/>
    <col min="7" max="7" width="37.28515625" style="68" customWidth="1"/>
    <col min="8" max="16384" width="9.140625" style="68"/>
  </cols>
  <sheetData>
    <row r="2" spans="2:8" s="10" customFormat="1" ht="18" x14ac:dyDescent="0.25">
      <c r="B2" s="10" t="s">
        <v>76</v>
      </c>
    </row>
    <row r="4" spans="2:8" s="65" customFormat="1" x14ac:dyDescent="0.25">
      <c r="B4" s="65" t="s">
        <v>56</v>
      </c>
    </row>
    <row r="6" spans="2:8" x14ac:dyDescent="0.25">
      <c r="B6" s="23" t="s">
        <v>309</v>
      </c>
    </row>
    <row r="7" spans="2:8" x14ac:dyDescent="0.25">
      <c r="B7" s="68" t="s">
        <v>310</v>
      </c>
      <c r="H7" s="73"/>
    </row>
    <row r="10" spans="2:8" s="65" customFormat="1" x14ac:dyDescent="0.25">
      <c r="B10" s="65" t="s">
        <v>77</v>
      </c>
    </row>
    <row r="11" spans="2:8" x14ac:dyDescent="0.25">
      <c r="C11" s="48"/>
    </row>
    <row r="12" spans="2:8" x14ac:dyDescent="0.25">
      <c r="B12" s="67" t="s">
        <v>78</v>
      </c>
      <c r="C12" s="48"/>
      <c r="D12" s="67" t="s">
        <v>47</v>
      </c>
      <c r="F12" s="16"/>
    </row>
    <row r="13" spans="2:8" x14ac:dyDescent="0.25">
      <c r="C13" s="48"/>
    </row>
    <row r="14" spans="2:8" x14ac:dyDescent="0.25">
      <c r="B14" s="28">
        <v>123</v>
      </c>
      <c r="C14" s="48"/>
      <c r="D14" s="23" t="s">
        <v>79</v>
      </c>
    </row>
    <row r="15" spans="2:8" x14ac:dyDescent="0.25">
      <c r="B15" s="33">
        <f>B14</f>
        <v>123</v>
      </c>
      <c r="C15" s="48"/>
      <c r="D15" s="68" t="s">
        <v>80</v>
      </c>
    </row>
    <row r="16" spans="2:8" x14ac:dyDescent="0.25">
      <c r="B16" s="62">
        <f>B15+B14</f>
        <v>246</v>
      </c>
      <c r="C16" s="48"/>
      <c r="D16" s="68" t="s">
        <v>81</v>
      </c>
    </row>
    <row r="17" spans="2:6" x14ac:dyDescent="0.25">
      <c r="B17" s="34">
        <f>B15+B16</f>
        <v>369</v>
      </c>
      <c r="C17" s="48"/>
      <c r="D17" s="23" t="s">
        <v>82</v>
      </c>
      <c r="E17" s="16"/>
      <c r="F17" s="9"/>
    </row>
    <row r="18" spans="2:6" x14ac:dyDescent="0.25">
      <c r="B18" s="17"/>
      <c r="C18" s="48"/>
      <c r="D18" s="23" t="s">
        <v>83</v>
      </c>
      <c r="E18" s="16"/>
    </row>
    <row r="19" spans="2:6" x14ac:dyDescent="0.25">
      <c r="B19" s="48"/>
      <c r="C19" s="48"/>
    </row>
    <row r="20" spans="2:6" x14ac:dyDescent="0.25">
      <c r="B20" s="60" t="s">
        <v>84</v>
      </c>
      <c r="C20" s="48"/>
    </row>
    <row r="21" spans="2:6" x14ac:dyDescent="0.25">
      <c r="B21" s="74">
        <f>B17+16</f>
        <v>385</v>
      </c>
      <c r="C21" s="48"/>
      <c r="D21" s="68" t="s">
        <v>85</v>
      </c>
    </row>
    <row r="22" spans="2:6" x14ac:dyDescent="0.25">
      <c r="B22" s="75">
        <f>B15*PI()</f>
        <v>386.41589639154455</v>
      </c>
      <c r="C22" s="19"/>
      <c r="D22" s="68" t="s">
        <v>86</v>
      </c>
    </row>
    <row r="23" spans="2:6" x14ac:dyDescent="0.25">
      <c r="B23" s="19"/>
      <c r="C23" s="19"/>
    </row>
    <row r="25" spans="2:6" x14ac:dyDescent="0.25">
      <c r="B25" s="67" t="s">
        <v>87</v>
      </c>
    </row>
    <row r="26" spans="2:6" x14ac:dyDescent="0.25">
      <c r="B26" s="64"/>
    </row>
    <row r="27" spans="2:6" x14ac:dyDescent="0.25">
      <c r="B27" s="60" t="s">
        <v>88</v>
      </c>
    </row>
    <row r="28" spans="2:6" x14ac:dyDescent="0.25">
      <c r="B28" s="76" t="s">
        <v>50</v>
      </c>
      <c r="C28" s="48"/>
      <c r="D28" s="23" t="s">
        <v>89</v>
      </c>
    </row>
    <row r="29" spans="2:6" x14ac:dyDescent="0.25">
      <c r="B29" s="77" t="s">
        <v>0</v>
      </c>
      <c r="C29" s="48"/>
      <c r="D29" s="23" t="s">
        <v>90</v>
      </c>
    </row>
    <row r="30" spans="2:6" x14ac:dyDescent="0.25">
      <c r="B30" s="78" t="s">
        <v>91</v>
      </c>
      <c r="C30" s="48"/>
      <c r="D30" s="23" t="s">
        <v>92</v>
      </c>
    </row>
    <row r="31" spans="2:6" x14ac:dyDescent="0.25">
      <c r="B31" s="18" t="s">
        <v>91</v>
      </c>
      <c r="C31" s="48"/>
      <c r="D31" s="23" t="s">
        <v>93</v>
      </c>
    </row>
    <row r="32" spans="2:6" x14ac:dyDescent="0.25">
      <c r="C32" s="48"/>
      <c r="D32" s="23"/>
    </row>
    <row r="33" spans="2:4" x14ac:dyDescent="0.25">
      <c r="B33" s="60" t="s">
        <v>94</v>
      </c>
      <c r="C33" s="48"/>
      <c r="D33" s="23"/>
    </row>
    <row r="34" spans="2:4" x14ac:dyDescent="0.25">
      <c r="B34" s="22" t="s">
        <v>1</v>
      </c>
      <c r="C34" s="48"/>
      <c r="D34" s="23" t="s">
        <v>95</v>
      </c>
    </row>
    <row r="35" spans="2:4" x14ac:dyDescent="0.25">
      <c r="B35" s="79" t="s">
        <v>96</v>
      </c>
      <c r="D35" s="23" t="s">
        <v>97</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1:J31"/>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6" customWidth="1"/>
    <col min="2" max="2" width="7.5703125" style="6" customWidth="1"/>
    <col min="3" max="3" width="35.140625" style="6" customWidth="1"/>
    <col min="4" max="4" width="54.42578125" style="6" customWidth="1"/>
    <col min="5" max="5" width="118.28515625" style="6" customWidth="1"/>
    <col min="6" max="6" width="4.5703125" style="6" customWidth="1"/>
    <col min="7" max="7" width="43.42578125" style="6" customWidth="1"/>
    <col min="8" max="8" width="28.7109375" style="6" customWidth="1"/>
    <col min="9" max="9" width="26.85546875" style="6" customWidth="1"/>
    <col min="10" max="10" width="58.42578125" style="6" customWidth="1"/>
    <col min="11" max="11" width="22" style="6" customWidth="1"/>
    <col min="12" max="16384" width="9.140625" style="6"/>
  </cols>
  <sheetData>
    <row r="1" spans="2:10" ht="12" customHeight="1" x14ac:dyDescent="0.25"/>
    <row r="2" spans="2:10" s="10" customFormat="1" ht="18" x14ac:dyDescent="0.25">
      <c r="B2" s="10" t="s">
        <v>65</v>
      </c>
    </row>
    <row r="4" spans="2:10" s="57" customFormat="1" x14ac:dyDescent="0.25">
      <c r="B4" s="57" t="s">
        <v>66</v>
      </c>
    </row>
    <row r="6" spans="2:10" s="68" customFormat="1" x14ac:dyDescent="0.25">
      <c r="B6" s="8" t="s">
        <v>67</v>
      </c>
    </row>
    <row r="7" spans="2:10" s="68" customFormat="1" x14ac:dyDescent="0.25">
      <c r="B7" s="8" t="s">
        <v>68</v>
      </c>
    </row>
    <row r="8" spans="2:10" x14ac:dyDescent="0.25">
      <c r="G8" s="68"/>
      <c r="H8" s="68"/>
      <c r="I8" s="68"/>
      <c r="J8" s="68"/>
    </row>
    <row r="9" spans="2:10" x14ac:dyDescent="0.25">
      <c r="B9" s="72" t="s">
        <v>69</v>
      </c>
      <c r="C9" s="72" t="s">
        <v>70</v>
      </c>
      <c r="D9" s="72" t="s">
        <v>71</v>
      </c>
      <c r="E9" s="72" t="s">
        <v>74</v>
      </c>
      <c r="G9" s="68"/>
      <c r="H9" s="68"/>
      <c r="I9" s="68"/>
      <c r="J9" s="68"/>
    </row>
    <row r="10" spans="2:10" x14ac:dyDescent="0.25">
      <c r="B10" s="24"/>
      <c r="C10" s="24" t="s">
        <v>72</v>
      </c>
      <c r="D10" s="24" t="s">
        <v>73</v>
      </c>
      <c r="E10" s="24" t="s">
        <v>75</v>
      </c>
      <c r="G10" s="68"/>
      <c r="H10" s="68"/>
      <c r="I10" s="68"/>
      <c r="J10" s="68"/>
    </row>
    <row r="11" spans="2:10" s="23" customFormat="1" ht="15" x14ac:dyDescent="0.25">
      <c r="B11" s="25">
        <v>1</v>
      </c>
      <c r="C11" s="25" t="s">
        <v>128</v>
      </c>
      <c r="D11" s="25"/>
      <c r="E11" s="116" t="s">
        <v>270</v>
      </c>
    </row>
    <row r="12" spans="2:10" s="23" customFormat="1" ht="15" x14ac:dyDescent="0.25">
      <c r="B12" s="25">
        <v>2</v>
      </c>
      <c r="C12" s="25" t="s">
        <v>271</v>
      </c>
      <c r="D12" s="25"/>
      <c r="E12" s="116" t="s">
        <v>272</v>
      </c>
    </row>
    <row r="13" spans="2:10" s="23" customFormat="1" x14ac:dyDescent="0.25">
      <c r="B13" s="25">
        <v>3</v>
      </c>
      <c r="C13" s="25" t="s">
        <v>275</v>
      </c>
      <c r="D13" s="25" t="s">
        <v>276</v>
      </c>
      <c r="E13" s="25"/>
    </row>
    <row r="14" spans="2:10" s="23" customFormat="1" x14ac:dyDescent="0.25">
      <c r="B14" s="25">
        <v>4</v>
      </c>
      <c r="C14" s="25" t="s">
        <v>277</v>
      </c>
      <c r="D14" s="25" t="s">
        <v>278</v>
      </c>
      <c r="E14" s="25"/>
    </row>
    <row r="15" spans="2:10" s="23" customFormat="1" x14ac:dyDescent="0.25">
      <c r="B15" s="25">
        <v>5</v>
      </c>
      <c r="C15" s="115" t="s">
        <v>281</v>
      </c>
      <c r="D15" s="115" t="s">
        <v>282</v>
      </c>
      <c r="E15" s="25" t="s">
        <v>354</v>
      </c>
    </row>
    <row r="16" spans="2:10" s="23" customFormat="1" x14ac:dyDescent="0.25">
      <c r="B16" s="25">
        <v>6</v>
      </c>
      <c r="C16" s="115" t="s">
        <v>283</v>
      </c>
      <c r="D16" s="115" t="s">
        <v>284</v>
      </c>
      <c r="E16" s="25" t="s">
        <v>354</v>
      </c>
    </row>
    <row r="17" spans="2:10" s="23" customFormat="1" x14ac:dyDescent="0.25">
      <c r="B17" s="25">
        <v>7</v>
      </c>
      <c r="C17" s="25" t="s">
        <v>320</v>
      </c>
      <c r="D17" s="115"/>
      <c r="E17" s="25" t="s">
        <v>354</v>
      </c>
    </row>
    <row r="18" spans="2:10" s="23" customFormat="1" x14ac:dyDescent="0.25">
      <c r="B18" s="25">
        <v>8</v>
      </c>
      <c r="C18" s="23" t="s">
        <v>289</v>
      </c>
      <c r="D18" s="115" t="s">
        <v>290</v>
      </c>
      <c r="E18" s="25" t="s">
        <v>354</v>
      </c>
    </row>
    <row r="19" spans="2:10" s="23" customFormat="1" ht="12" customHeight="1" x14ac:dyDescent="0.25">
      <c r="B19" s="25">
        <v>9</v>
      </c>
      <c r="C19" s="25" t="s">
        <v>291</v>
      </c>
      <c r="D19" s="25" t="s">
        <v>292</v>
      </c>
      <c r="E19" s="116" t="s">
        <v>293</v>
      </c>
    </row>
    <row r="20" spans="2:10" s="23" customFormat="1" x14ac:dyDescent="0.25">
      <c r="B20" s="25">
        <v>10</v>
      </c>
      <c r="C20" s="23" t="s">
        <v>295</v>
      </c>
      <c r="D20" s="25" t="s">
        <v>294</v>
      </c>
      <c r="E20" s="25" t="s">
        <v>354</v>
      </c>
    </row>
    <row r="21" spans="2:10" s="23" customFormat="1" x14ac:dyDescent="0.25">
      <c r="B21" s="25">
        <v>11</v>
      </c>
      <c r="C21" s="25" t="s">
        <v>298</v>
      </c>
      <c r="D21" s="25" t="s">
        <v>311</v>
      </c>
      <c r="E21" s="25"/>
      <c r="G21" s="114"/>
      <c r="H21" s="114"/>
      <c r="I21" s="114"/>
      <c r="J21" s="114"/>
    </row>
    <row r="22" spans="2:10" s="23" customFormat="1" x14ac:dyDescent="0.25">
      <c r="B22" s="25">
        <v>12</v>
      </c>
      <c r="C22" s="115" t="s">
        <v>301</v>
      </c>
      <c r="D22" s="23" t="s">
        <v>312</v>
      </c>
      <c r="E22" s="115"/>
      <c r="G22" s="114"/>
      <c r="H22" s="114"/>
      <c r="I22" s="114"/>
      <c r="J22" s="114"/>
    </row>
    <row r="23" spans="2:10" s="23" customFormat="1" x14ac:dyDescent="0.25">
      <c r="B23" s="25">
        <v>13</v>
      </c>
      <c r="C23" s="25" t="s">
        <v>302</v>
      </c>
      <c r="D23" s="25" t="s">
        <v>302</v>
      </c>
      <c r="E23" s="25" t="s">
        <v>354</v>
      </c>
      <c r="G23" s="114"/>
      <c r="H23" s="114"/>
      <c r="I23" s="114"/>
      <c r="J23" s="114"/>
    </row>
    <row r="24" spans="2:10" s="23" customFormat="1" x14ac:dyDescent="0.25">
      <c r="B24" s="25">
        <v>14</v>
      </c>
      <c r="C24" s="25" t="s">
        <v>305</v>
      </c>
      <c r="D24" s="25" t="s">
        <v>306</v>
      </c>
      <c r="E24" s="25" t="s">
        <v>354</v>
      </c>
      <c r="G24" s="114"/>
      <c r="H24" s="114"/>
      <c r="I24" s="114"/>
      <c r="J24" s="114"/>
    </row>
    <row r="25" spans="2:10" s="23" customFormat="1" x14ac:dyDescent="0.25">
      <c r="B25" s="25">
        <v>15</v>
      </c>
      <c r="C25" s="25" t="s">
        <v>325</v>
      </c>
      <c r="D25" s="25" t="s">
        <v>325</v>
      </c>
      <c r="E25" s="25" t="s">
        <v>354</v>
      </c>
      <c r="G25" s="114"/>
      <c r="H25" s="114"/>
      <c r="I25" s="114"/>
      <c r="J25" s="114"/>
    </row>
    <row r="26" spans="2:10" s="68" customFormat="1" x14ac:dyDescent="0.25"/>
    <row r="27" spans="2:10" s="68" customFormat="1" x14ac:dyDescent="0.25"/>
    <row r="28" spans="2:10" s="65" customFormat="1" x14ac:dyDescent="0.25">
      <c r="B28" s="65" t="s">
        <v>349</v>
      </c>
    </row>
    <row r="29" spans="2:10" s="68" customFormat="1" x14ac:dyDescent="0.25"/>
    <row r="30" spans="2:10" s="68" customFormat="1" x14ac:dyDescent="0.25">
      <c r="B30" s="60" t="s">
        <v>350</v>
      </c>
    </row>
    <row r="31" spans="2:10" s="68" customFormat="1" x14ac:dyDescent="0.25">
      <c r="B31" s="60" t="s">
        <v>351</v>
      </c>
    </row>
  </sheetData>
  <hyperlinks>
    <hyperlink ref="E11" r:id="rId1" location="/CBS/nl/dataset/84046NED/table?ts=1600788763622 "/>
    <hyperlink ref="E12" r:id="rId2"/>
    <hyperlink ref="E19" r:id="rId3"/>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110"/>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x14ac:dyDescent="0.25"/>
  <cols>
    <col min="1" max="1" width="4" style="6" customWidth="1"/>
    <col min="2" max="2" width="41.42578125" style="6" customWidth="1"/>
    <col min="3" max="5" width="4.5703125" style="6" customWidth="1"/>
    <col min="6" max="6" width="13.7109375" style="6" customWidth="1"/>
    <col min="7" max="7" width="2.7109375" style="6" customWidth="1"/>
    <col min="8" max="8" width="13.7109375" style="6" customWidth="1"/>
    <col min="9" max="10" width="2.7109375" style="68" customWidth="1"/>
    <col min="11" max="11" width="2.7109375" style="6" customWidth="1"/>
    <col min="12" max="13" width="21.7109375" style="6" customWidth="1"/>
    <col min="14" max="14" width="2.7109375" style="6" customWidth="1"/>
    <col min="15" max="15" width="8" style="6" bestFit="1" customWidth="1"/>
    <col min="16" max="29" width="13.7109375" style="6" customWidth="1"/>
    <col min="30" max="16384" width="9.140625" style="6"/>
  </cols>
  <sheetData>
    <row r="1" spans="1:15" x14ac:dyDescent="0.25">
      <c r="A1" s="49"/>
    </row>
    <row r="2" spans="1:15" s="20" customFormat="1" ht="18" x14ac:dyDescent="0.25">
      <c r="A2" s="56"/>
      <c r="B2" s="20" t="s">
        <v>203</v>
      </c>
    </row>
    <row r="3" spans="1:15" x14ac:dyDescent="0.25">
      <c r="A3" s="49"/>
    </row>
    <row r="4" spans="1:15" x14ac:dyDescent="0.25">
      <c r="A4" s="49"/>
      <c r="B4" s="5" t="s">
        <v>54</v>
      </c>
      <c r="C4" s="5"/>
      <c r="D4" s="5"/>
      <c r="H4" s="66"/>
    </row>
    <row r="5" spans="1:15" x14ac:dyDescent="0.25">
      <c r="A5" s="49"/>
      <c r="B5" s="23" t="s">
        <v>116</v>
      </c>
      <c r="C5" s="7"/>
      <c r="D5" s="7"/>
      <c r="H5" s="21"/>
      <c r="I5" s="66"/>
      <c r="J5" s="66"/>
    </row>
    <row r="6" spans="1:15" s="68" customFormat="1" x14ac:dyDescent="0.25">
      <c r="B6" s="23"/>
      <c r="C6" s="7"/>
      <c r="D6" s="7"/>
      <c r="H6" s="66"/>
      <c r="I6" s="66"/>
      <c r="J6" s="66"/>
    </row>
    <row r="7" spans="1:15" s="68" customFormat="1" x14ac:dyDescent="0.25">
      <c r="B7" s="60" t="s">
        <v>56</v>
      </c>
      <c r="C7" s="7"/>
      <c r="D7" s="7"/>
      <c r="H7" s="66"/>
      <c r="I7" s="66"/>
      <c r="J7" s="66"/>
    </row>
    <row r="8" spans="1:15" s="68" customFormat="1" x14ac:dyDescent="0.25">
      <c r="B8" s="60" t="s">
        <v>160</v>
      </c>
      <c r="C8" s="7"/>
      <c r="D8" s="7"/>
      <c r="H8" s="66"/>
      <c r="I8" s="66"/>
      <c r="J8" s="66"/>
    </row>
    <row r="9" spans="1:15" x14ac:dyDescent="0.25">
      <c r="A9" s="49"/>
    </row>
    <row r="10" spans="1:15" s="11" customFormat="1" x14ac:dyDescent="0.25">
      <c r="A10" s="57"/>
      <c r="B10" s="11" t="s">
        <v>3</v>
      </c>
      <c r="F10" s="11" t="s">
        <v>4</v>
      </c>
      <c r="H10" s="11" t="s">
        <v>8</v>
      </c>
      <c r="I10" s="65"/>
      <c r="J10" s="65"/>
      <c r="L10" s="11" t="s">
        <v>52</v>
      </c>
      <c r="M10" s="11" t="s">
        <v>53</v>
      </c>
      <c r="O10" s="11" t="s">
        <v>49</v>
      </c>
    </row>
    <row r="11" spans="1:15" x14ac:dyDescent="0.25">
      <c r="A11" s="58"/>
    </row>
    <row r="12" spans="1:15" s="11" customFormat="1" ht="12.75" customHeight="1" x14ac:dyDescent="0.25">
      <c r="A12" s="57"/>
      <c r="B12" s="55" t="s">
        <v>25</v>
      </c>
      <c r="I12" s="65"/>
      <c r="J12" s="65"/>
    </row>
    <row r="13" spans="1:15" ht="12.75" customHeight="1" x14ac:dyDescent="0.25">
      <c r="A13" s="58"/>
    </row>
    <row r="14" spans="1:15" ht="12.75" customHeight="1" x14ac:dyDescent="0.25">
      <c r="A14" s="58"/>
      <c r="B14" s="26" t="s">
        <v>108</v>
      </c>
    </row>
    <row r="15" spans="1:15" ht="12.75" customHeight="1" x14ac:dyDescent="0.25">
      <c r="A15" s="58"/>
      <c r="B15" s="6" t="s">
        <v>204</v>
      </c>
      <c r="F15" s="6" t="s">
        <v>7</v>
      </c>
      <c r="H15" s="85">
        <f>Parameters!H18</f>
        <v>-1.6E-2</v>
      </c>
    </row>
    <row r="16" spans="1:15" ht="12.75" customHeight="1" x14ac:dyDescent="0.25">
      <c r="A16" s="58"/>
    </row>
    <row r="17" spans="1:15" ht="12.75" customHeight="1" x14ac:dyDescent="0.25">
      <c r="A17" s="58"/>
      <c r="B17" s="5" t="s">
        <v>205</v>
      </c>
    </row>
    <row r="18" spans="1:15" ht="12.75" customHeight="1" x14ac:dyDescent="0.25">
      <c r="A18" s="58"/>
      <c r="B18" s="6" t="s">
        <v>157</v>
      </c>
      <c r="F18" s="6" t="s">
        <v>206</v>
      </c>
      <c r="L18" s="36">
        <f>'Calculation income level'!L39</f>
        <v>1563944.2574747633</v>
      </c>
      <c r="M18" s="36">
        <f>'Calculation income level'!M39</f>
        <v>1257612.2017560881</v>
      </c>
    </row>
    <row r="19" spans="1:15" s="68" customFormat="1" ht="12.75" customHeight="1" x14ac:dyDescent="0.25"/>
    <row r="20" spans="1:15" s="68" customFormat="1" ht="12.75" customHeight="1" x14ac:dyDescent="0.25">
      <c r="A20" s="58"/>
      <c r="B20" s="68" t="s">
        <v>207</v>
      </c>
      <c r="F20" s="68" t="s">
        <v>206</v>
      </c>
      <c r="L20" s="36">
        <f>'Calculation income level'!L41</f>
        <v>-16456.510810024036</v>
      </c>
      <c r="M20" s="36">
        <f>'Calculation income level'!M41</f>
        <v>-16842.109175764355</v>
      </c>
      <c r="O20" s="68" t="s">
        <v>214</v>
      </c>
    </row>
    <row r="21" spans="1:15" s="68" customFormat="1" ht="12.75" customHeight="1" x14ac:dyDescent="0.25">
      <c r="A21" s="58"/>
      <c r="B21" s="68" t="s">
        <v>208</v>
      </c>
      <c r="F21" s="68" t="s">
        <v>206</v>
      </c>
      <c r="L21" s="36">
        <f>'Calculation income level'!L42</f>
        <v>148008.80541840842</v>
      </c>
      <c r="M21" s="36">
        <f>'Calculation income level'!M42</f>
        <v>-51822.671892656195</v>
      </c>
      <c r="O21" s="68" t="s">
        <v>215</v>
      </c>
    </row>
    <row r="22" spans="1:15" s="68" customFormat="1" ht="12.75" customHeight="1" x14ac:dyDescent="0.25">
      <c r="A22" s="58"/>
      <c r="B22" s="68" t="s">
        <v>209</v>
      </c>
      <c r="F22" s="68" t="s">
        <v>206</v>
      </c>
      <c r="L22" s="36">
        <f>'Calculation income level'!L43</f>
        <v>0</v>
      </c>
      <c r="M22" s="36">
        <f>'Calculation income level'!M43</f>
        <v>25802.030947163032</v>
      </c>
      <c r="O22" s="68" t="s">
        <v>216</v>
      </c>
    </row>
    <row r="23" spans="1:15" s="68" customFormat="1" ht="12.75" customHeight="1" x14ac:dyDescent="0.25">
      <c r="A23" s="58"/>
      <c r="B23" s="1" t="s">
        <v>210</v>
      </c>
      <c r="F23" s="68" t="s">
        <v>206</v>
      </c>
      <c r="L23" s="36">
        <f>'Calculation income level'!L44</f>
        <v>95779.530549823117</v>
      </c>
      <c r="M23" s="36">
        <f>'Calculation income level'!M44</f>
        <v>0</v>
      </c>
      <c r="O23" s="68" t="s">
        <v>217</v>
      </c>
    </row>
    <row r="24" spans="1:15" s="68" customFormat="1" ht="12.75" customHeight="1" x14ac:dyDescent="0.25">
      <c r="A24" s="58"/>
      <c r="B24" s="1" t="s">
        <v>211</v>
      </c>
      <c r="F24" s="68" t="s">
        <v>206</v>
      </c>
      <c r="L24" s="36">
        <f>'Calculation income level'!L45</f>
        <v>0</v>
      </c>
      <c r="M24" s="36">
        <f>'Calculation income level'!M45</f>
        <v>-36225.665603148766</v>
      </c>
      <c r="O24" s="68" t="s">
        <v>218</v>
      </c>
    </row>
    <row r="25" spans="1:15" s="68" customFormat="1" ht="12.75" customHeight="1" x14ac:dyDescent="0.25">
      <c r="A25" s="58"/>
      <c r="B25" s="68" t="s">
        <v>330</v>
      </c>
      <c r="F25" s="68" t="s">
        <v>206</v>
      </c>
      <c r="L25" s="36">
        <f>'Calculation income level'!L46</f>
        <v>-190504.11690027453</v>
      </c>
      <c r="M25" s="36">
        <f>'Calculation income level'!M46</f>
        <v>0</v>
      </c>
      <c r="O25" s="68" t="s">
        <v>329</v>
      </c>
    </row>
    <row r="26" spans="1:15" s="68" customFormat="1" ht="12.75" customHeight="1" x14ac:dyDescent="0.25"/>
    <row r="27" spans="1:15" s="68" customFormat="1" ht="12.75" customHeight="1" x14ac:dyDescent="0.25">
      <c r="B27" s="68" t="s">
        <v>212</v>
      </c>
      <c r="F27" s="68" t="s">
        <v>206</v>
      </c>
      <c r="L27" s="69">
        <f>SUM(L18:L21,L23,L25)</f>
        <v>1600771.9657326962</v>
      </c>
      <c r="M27" s="3"/>
    </row>
    <row r="28" spans="1:15" s="68" customFormat="1" ht="12.75" customHeight="1" x14ac:dyDescent="0.25">
      <c r="B28" s="68" t="s">
        <v>213</v>
      </c>
      <c r="F28" s="68" t="s">
        <v>206</v>
      </c>
      <c r="L28" s="3"/>
      <c r="M28" s="69">
        <f>SUM(M18:M21)</f>
        <v>1188947.4206876676</v>
      </c>
    </row>
    <row r="29" spans="1:15" s="68" customFormat="1" ht="12.75" customHeight="1" x14ac:dyDescent="0.25"/>
    <row r="30" spans="1:15" s="57" customFormat="1" ht="12.75" customHeight="1" x14ac:dyDescent="0.25">
      <c r="B30" s="57" t="s">
        <v>118</v>
      </c>
    </row>
    <row r="31" spans="1:15" s="68" customFormat="1" ht="12.75" customHeight="1" x14ac:dyDescent="0.25"/>
    <row r="32" spans="1:15" ht="12.75" customHeight="1" x14ac:dyDescent="0.25">
      <c r="A32" s="58"/>
      <c r="B32" s="6" t="s">
        <v>120</v>
      </c>
      <c r="F32" s="6" t="s">
        <v>13</v>
      </c>
      <c r="L32" s="38">
        <f>'Data on volumes and tariffs'!L21</f>
        <v>0.27004207133895602</v>
      </c>
      <c r="M32" s="54"/>
    </row>
    <row r="33" spans="1:13" ht="12.75" customHeight="1" x14ac:dyDescent="0.25">
      <c r="A33" s="58"/>
      <c r="B33" s="6" t="s">
        <v>121</v>
      </c>
      <c r="F33" s="6" t="s">
        <v>7</v>
      </c>
      <c r="L33" s="82">
        <f>'Data on volumes and tariffs'!L20</f>
        <v>0.63999992823770191</v>
      </c>
      <c r="M33" s="54"/>
    </row>
    <row r="34" spans="1:13" ht="12.75" customHeight="1" x14ac:dyDescent="0.25">
      <c r="A34" s="58"/>
      <c r="B34" s="6" t="s">
        <v>63</v>
      </c>
      <c r="F34" s="6" t="s">
        <v>14</v>
      </c>
      <c r="L34" s="32">
        <f>'Data on volumes and tariffs'!L25</f>
        <v>0.4924695400060603</v>
      </c>
      <c r="M34" s="54"/>
    </row>
    <row r="35" spans="1:13" s="68" customFormat="1" ht="12.75" customHeight="1" x14ac:dyDescent="0.25">
      <c r="A35" s="58"/>
      <c r="B35" s="68" t="s">
        <v>10</v>
      </c>
      <c r="F35" s="68" t="s">
        <v>26</v>
      </c>
      <c r="L35" s="36">
        <f>'Data on volumes and tariffs'!L19</f>
        <v>8763212.9773076437</v>
      </c>
      <c r="M35" s="54"/>
    </row>
    <row r="36" spans="1:13" s="68" customFormat="1" ht="12.75" customHeight="1" x14ac:dyDescent="0.25"/>
    <row r="37" spans="1:13" s="57" customFormat="1" ht="12.75" customHeight="1" x14ac:dyDescent="0.25">
      <c r="B37" s="57" t="s">
        <v>119</v>
      </c>
    </row>
    <row r="38" spans="1:13" s="68" customFormat="1" ht="12.75" customHeight="1" x14ac:dyDescent="0.25"/>
    <row r="39" spans="1:13" ht="12.75" customHeight="1" x14ac:dyDescent="0.25">
      <c r="A39" s="58"/>
      <c r="B39" s="6" t="s">
        <v>219</v>
      </c>
      <c r="F39" s="6" t="s">
        <v>7</v>
      </c>
      <c r="L39" s="54"/>
      <c r="M39" s="85">
        <f>'Data on volumes and tariffs'!M28</f>
        <v>7.9277824895729071E-2</v>
      </c>
    </row>
    <row r="40" spans="1:13" ht="12.75" customHeight="1" x14ac:dyDescent="0.25">
      <c r="A40" s="58"/>
    </row>
    <row r="41" spans="1:13" ht="12.75" customHeight="1" x14ac:dyDescent="0.25">
      <c r="A41" s="58"/>
      <c r="B41" s="23" t="s">
        <v>152</v>
      </c>
    </row>
    <row r="42" spans="1:13" ht="12.75" customHeight="1" x14ac:dyDescent="0.25">
      <c r="A42" s="58"/>
      <c r="B42" s="37">
        <f>'Data on volumes and tariffs'!B43</f>
        <v>3.2</v>
      </c>
      <c r="F42" s="6" t="s">
        <v>18</v>
      </c>
      <c r="L42" s="54"/>
      <c r="M42" s="36">
        <f>'Data on volumes and tariffs'!M43</f>
        <v>109.57142857142857</v>
      </c>
    </row>
    <row r="43" spans="1:13" ht="12.75" customHeight="1" x14ac:dyDescent="0.25">
      <c r="A43" s="58"/>
      <c r="B43" s="37">
        <f>'Data on volumes and tariffs'!B44</f>
        <v>7.7</v>
      </c>
      <c r="F43" s="6" t="s">
        <v>18</v>
      </c>
      <c r="L43" s="54"/>
      <c r="M43" s="36">
        <f>'Data on volumes and tariffs'!M44</f>
        <v>1016</v>
      </c>
    </row>
    <row r="44" spans="1:13" ht="12.75" customHeight="1" x14ac:dyDescent="0.25">
      <c r="A44" s="58"/>
      <c r="B44" s="37">
        <f>'Data on volumes and tariffs'!B45</f>
        <v>13.3</v>
      </c>
      <c r="F44" s="6" t="s">
        <v>18</v>
      </c>
      <c r="L44" s="54"/>
      <c r="M44" s="36">
        <f>'Data on volumes and tariffs'!M45</f>
        <v>83</v>
      </c>
    </row>
    <row r="45" spans="1:13" ht="12.75" customHeight="1" x14ac:dyDescent="0.25">
      <c r="A45" s="58"/>
      <c r="B45" s="37">
        <f>'Data on volumes and tariffs'!B46</f>
        <v>18.3</v>
      </c>
      <c r="F45" s="6" t="s">
        <v>18</v>
      </c>
      <c r="L45" s="54"/>
      <c r="M45" s="36">
        <f>'Data on volumes and tariffs'!M46</f>
        <v>12.357142857142858</v>
      </c>
    </row>
    <row r="46" spans="1:13" ht="12.75" customHeight="1" x14ac:dyDescent="0.25">
      <c r="A46" s="58"/>
      <c r="B46" s="37">
        <f>'Data on volumes and tariffs'!B47</f>
        <v>23.3</v>
      </c>
      <c r="F46" s="6" t="s">
        <v>18</v>
      </c>
      <c r="L46" s="54"/>
      <c r="M46" s="36">
        <f>'Data on volumes and tariffs'!M47</f>
        <v>15.571428571428571</v>
      </c>
    </row>
    <row r="47" spans="1:13" ht="12.75" customHeight="1" x14ac:dyDescent="0.25">
      <c r="A47" s="58"/>
      <c r="B47" s="37">
        <f>'Data on volumes and tariffs'!B48</f>
        <v>28.3</v>
      </c>
      <c r="F47" s="6" t="s">
        <v>18</v>
      </c>
      <c r="L47" s="54"/>
      <c r="M47" s="36">
        <f>'Data on volumes and tariffs'!M48</f>
        <v>9.1428571428571423</v>
      </c>
    </row>
    <row r="48" spans="1:13" ht="12.75" customHeight="1" x14ac:dyDescent="0.25">
      <c r="A48" s="58"/>
      <c r="B48" s="37">
        <f>'Data on volumes and tariffs'!B49</f>
        <v>38.299999999999997</v>
      </c>
      <c r="F48" s="6" t="s">
        <v>18</v>
      </c>
      <c r="L48" s="54"/>
      <c r="M48" s="36">
        <f>'Data on volumes and tariffs'!M49</f>
        <v>9.5</v>
      </c>
    </row>
    <row r="49" spans="1:13" ht="12.75" customHeight="1" x14ac:dyDescent="0.25">
      <c r="A49" s="58"/>
      <c r="B49" s="37">
        <f>'Data on volumes and tariffs'!B50</f>
        <v>48.3</v>
      </c>
      <c r="F49" s="6" t="s">
        <v>18</v>
      </c>
      <c r="L49" s="54"/>
      <c r="M49" s="36">
        <f>'Data on volumes and tariffs'!M50</f>
        <v>3</v>
      </c>
    </row>
    <row r="50" spans="1:13" ht="12.75" customHeight="1" x14ac:dyDescent="0.25">
      <c r="A50" s="58"/>
      <c r="B50" s="37">
        <f>'Data on volumes and tariffs'!B51</f>
        <v>63.3</v>
      </c>
      <c r="F50" s="6" t="s">
        <v>18</v>
      </c>
      <c r="L50" s="54"/>
      <c r="M50" s="36">
        <f>'Data on volumes and tariffs'!M51</f>
        <v>1</v>
      </c>
    </row>
    <row r="51" spans="1:13" ht="12.75" customHeight="1" x14ac:dyDescent="0.25">
      <c r="A51" s="58"/>
      <c r="B51" s="37">
        <f>'Data on volumes and tariffs'!B52</f>
        <v>78.3</v>
      </c>
      <c r="F51" s="6" t="s">
        <v>18</v>
      </c>
      <c r="L51" s="54"/>
      <c r="M51" s="36">
        <f>'Data on volumes and tariffs'!M52</f>
        <v>1</v>
      </c>
    </row>
    <row r="52" spans="1:13" ht="12.75" customHeight="1" x14ac:dyDescent="0.25">
      <c r="A52" s="58"/>
      <c r="B52" s="37">
        <f>'Data on volumes and tariffs'!B53</f>
        <v>83.3</v>
      </c>
      <c r="F52" s="6" t="s">
        <v>18</v>
      </c>
      <c r="L52" s="54"/>
      <c r="M52" s="36">
        <f>'Data on volumes and tariffs'!M53</f>
        <v>1</v>
      </c>
    </row>
    <row r="53" spans="1:13" ht="12.75" customHeight="1" x14ac:dyDescent="0.25">
      <c r="A53" s="58"/>
      <c r="B53" s="37">
        <f>'Data on volumes and tariffs'!B54</f>
        <v>93.3</v>
      </c>
      <c r="F53" s="6" t="s">
        <v>18</v>
      </c>
      <c r="L53" s="54"/>
      <c r="M53" s="36">
        <f>'Data on volumes and tariffs'!M54</f>
        <v>1</v>
      </c>
    </row>
    <row r="54" spans="1:13" ht="12.75" customHeight="1" x14ac:dyDescent="0.25">
      <c r="A54" s="58"/>
      <c r="B54" s="37">
        <f>'Data on volumes and tariffs'!B55</f>
        <v>98.3</v>
      </c>
      <c r="F54" s="6" t="s">
        <v>18</v>
      </c>
      <c r="L54" s="54"/>
      <c r="M54" s="36">
        <f>'Data on volumes and tariffs'!M55</f>
        <v>0</v>
      </c>
    </row>
    <row r="55" spans="1:13" ht="12.75" customHeight="1" x14ac:dyDescent="0.25">
      <c r="A55" s="58"/>
      <c r="B55" s="37">
        <f>'Data on volumes and tariffs'!B56</f>
        <v>100</v>
      </c>
      <c r="F55" s="6" t="s">
        <v>18</v>
      </c>
      <c r="L55" s="54"/>
      <c r="M55" s="36">
        <f>'Data on volumes and tariffs'!M56</f>
        <v>0</v>
      </c>
    </row>
    <row r="56" spans="1:13" ht="12.75" customHeight="1" x14ac:dyDescent="0.25">
      <c r="A56" s="58"/>
      <c r="B56" s="37">
        <f>'Data on volumes and tariffs'!B57</f>
        <v>125</v>
      </c>
      <c r="F56" s="6" t="s">
        <v>18</v>
      </c>
      <c r="L56" s="54"/>
      <c r="M56" s="36">
        <f>'Data on volumes and tariffs'!M57</f>
        <v>2</v>
      </c>
    </row>
    <row r="57" spans="1:13" ht="12.75" customHeight="1" x14ac:dyDescent="0.25">
      <c r="A57" s="58"/>
      <c r="B57" s="37">
        <f>'Data on volumes and tariffs'!B58</f>
        <v>350</v>
      </c>
      <c r="F57" s="6" t="s">
        <v>18</v>
      </c>
      <c r="L57" s="54"/>
      <c r="M57" s="36">
        <f>'Data on volumes and tariffs'!M58</f>
        <v>1</v>
      </c>
    </row>
    <row r="58" spans="1:13" ht="12.75" customHeight="1" x14ac:dyDescent="0.25">
      <c r="A58" s="58"/>
    </row>
    <row r="59" spans="1:13" ht="12.75" customHeight="1" x14ac:dyDescent="0.25">
      <c r="A59" s="58"/>
      <c r="B59" s="26" t="s">
        <v>36</v>
      </c>
    </row>
    <row r="60" spans="1:13" ht="12.75" customHeight="1" x14ac:dyDescent="0.25">
      <c r="A60" s="58"/>
      <c r="B60" s="6" t="s">
        <v>37</v>
      </c>
      <c r="F60" s="6" t="s">
        <v>115</v>
      </c>
      <c r="L60" s="54"/>
      <c r="M60" s="33">
        <f>'Data on volumes and tariffs'!M33</f>
        <v>259.20705527999996</v>
      </c>
    </row>
    <row r="61" spans="1:13" ht="12.75" customHeight="1" x14ac:dyDescent="0.25">
      <c r="A61" s="58"/>
      <c r="B61" s="6" t="s">
        <v>38</v>
      </c>
      <c r="F61" s="6" t="s">
        <v>115</v>
      </c>
      <c r="L61" s="54"/>
      <c r="M61" s="33">
        <f>'Data on volumes and tariffs'!M34</f>
        <v>290.62101527999999</v>
      </c>
    </row>
    <row r="62" spans="1:13" ht="12.75" customHeight="1" x14ac:dyDescent="0.25">
      <c r="A62" s="58"/>
      <c r="B62" s="6" t="s">
        <v>39</v>
      </c>
      <c r="F62" s="6" t="s">
        <v>115</v>
      </c>
      <c r="L62" s="54"/>
      <c r="M62" s="33">
        <f>'Data on volumes and tariffs'!M35</f>
        <v>82.681542719999996</v>
      </c>
    </row>
    <row r="63" spans="1:13" ht="12.75" customHeight="1" x14ac:dyDescent="0.25">
      <c r="A63" s="58"/>
    </row>
    <row r="64" spans="1:13" ht="12.75" customHeight="1" x14ac:dyDescent="0.25">
      <c r="A64" s="58"/>
    </row>
    <row r="65" spans="1:15" s="11" customFormat="1" ht="12.75" customHeight="1" x14ac:dyDescent="0.25">
      <c r="A65" s="47"/>
      <c r="B65" s="55" t="s">
        <v>109</v>
      </c>
      <c r="I65" s="65"/>
      <c r="J65" s="65"/>
    </row>
    <row r="66" spans="1:15" ht="12.75" customHeight="1" x14ac:dyDescent="0.25">
      <c r="A66" s="58"/>
    </row>
    <row r="67" spans="1:15" ht="12.75" customHeight="1" x14ac:dyDescent="0.25">
      <c r="A67" s="58"/>
      <c r="B67" s="5" t="s">
        <v>51</v>
      </c>
    </row>
    <row r="68" spans="1:15" ht="12.75" customHeight="1" x14ac:dyDescent="0.25">
      <c r="A68" s="58"/>
      <c r="B68" s="6" t="s">
        <v>28</v>
      </c>
      <c r="F68" s="6" t="s">
        <v>27</v>
      </c>
      <c r="L68" s="35">
        <f>L27/L35</f>
        <v>0.18266952656267721</v>
      </c>
      <c r="M68" s="54"/>
    </row>
    <row r="69" spans="1:15" ht="12.75" customHeight="1" x14ac:dyDescent="0.25">
      <c r="A69" s="58"/>
      <c r="B69" s="6" t="s">
        <v>123</v>
      </c>
      <c r="F69" s="6" t="s">
        <v>27</v>
      </c>
      <c r="L69" s="29">
        <f>L32*L33*L34</f>
        <v>8.5111987035442579E-2</v>
      </c>
      <c r="M69" s="54"/>
    </row>
    <row r="70" spans="1:15" ht="12.75" customHeight="1" x14ac:dyDescent="0.25">
      <c r="A70" s="58"/>
      <c r="B70" s="6" t="s">
        <v>30</v>
      </c>
      <c r="F70" s="6" t="s">
        <v>27</v>
      </c>
      <c r="L70" s="29">
        <f>L68+L69</f>
        <v>0.2677815135981198</v>
      </c>
      <c r="M70" s="54"/>
    </row>
    <row r="71" spans="1:15" ht="12.75" customHeight="1" x14ac:dyDescent="0.25">
      <c r="A71" s="58"/>
    </row>
    <row r="72" spans="1:15" ht="12.75" customHeight="1" x14ac:dyDescent="0.25">
      <c r="A72" s="58"/>
      <c r="B72" s="5" t="s">
        <v>29</v>
      </c>
      <c r="O72" s="68"/>
    </row>
    <row r="73" spans="1:15" s="68" customFormat="1" ht="12.75" customHeight="1" x14ac:dyDescent="0.25">
      <c r="A73" s="58"/>
      <c r="B73" s="68" t="s">
        <v>209</v>
      </c>
      <c r="F73" s="68" t="s">
        <v>206</v>
      </c>
      <c r="L73" s="54"/>
      <c r="M73" s="36">
        <f>M22</f>
        <v>25802.030947163032</v>
      </c>
    </row>
    <row r="74" spans="1:15" s="68" customFormat="1" ht="12.75" customHeight="1" x14ac:dyDescent="0.25">
      <c r="A74" s="58"/>
      <c r="B74" s="23" t="s">
        <v>149</v>
      </c>
      <c r="F74" s="68" t="s">
        <v>221</v>
      </c>
      <c r="L74" s="54"/>
      <c r="M74" s="29">
        <f>M73/L35</f>
        <v>2.9443573965367998E-3</v>
      </c>
      <c r="O74" s="68" t="s">
        <v>333</v>
      </c>
    </row>
    <row r="75" spans="1:15" s="68" customFormat="1" ht="12.75" customHeight="1" x14ac:dyDescent="0.25">
      <c r="A75" s="58"/>
      <c r="B75" s="68" t="s">
        <v>150</v>
      </c>
      <c r="F75" s="68" t="s">
        <v>221</v>
      </c>
      <c r="L75" s="54"/>
      <c r="M75" s="29">
        <f>(L70+M74)/(1-M39)</f>
        <v>0.29403644043220439</v>
      </c>
    </row>
    <row r="76" spans="1:15" s="68" customFormat="1" ht="12.75" customHeight="1" x14ac:dyDescent="0.25"/>
    <row r="77" spans="1:15" s="68" customFormat="1" ht="12.75" customHeight="1" x14ac:dyDescent="0.25">
      <c r="A77" s="58"/>
      <c r="B77" s="23" t="s">
        <v>112</v>
      </c>
      <c r="F77" s="68" t="s">
        <v>206</v>
      </c>
      <c r="L77" s="54"/>
      <c r="M77" s="36">
        <f>M24</f>
        <v>-36225.665603148766</v>
      </c>
    </row>
    <row r="78" spans="1:15" ht="12.75" customHeight="1" x14ac:dyDescent="0.25">
      <c r="A78" s="58"/>
      <c r="B78" s="23" t="s">
        <v>220</v>
      </c>
      <c r="F78" s="6" t="s">
        <v>26</v>
      </c>
      <c r="L78" s="54"/>
      <c r="M78" s="31">
        <f>L35/2</f>
        <v>4381606.4886538219</v>
      </c>
      <c r="O78" s="6" t="s">
        <v>222</v>
      </c>
    </row>
    <row r="79" spans="1:15" ht="12.75" customHeight="1" x14ac:dyDescent="0.25">
      <c r="A79" s="58"/>
      <c r="B79" s="23" t="s">
        <v>151</v>
      </c>
      <c r="F79" s="68" t="s">
        <v>221</v>
      </c>
      <c r="L79" s="54"/>
      <c r="M79" s="29">
        <f>M77/M78</f>
        <v>-8.2676675089274204E-3</v>
      </c>
      <c r="O79" s="68" t="s">
        <v>223</v>
      </c>
    </row>
    <row r="80" spans="1:15" ht="12.75" customHeight="1" x14ac:dyDescent="0.25">
      <c r="A80" s="58"/>
      <c r="B80" s="6" t="s">
        <v>31</v>
      </c>
      <c r="F80" s="68" t="s">
        <v>221</v>
      </c>
      <c r="L80" s="54"/>
      <c r="M80" s="35">
        <f>M75+(M79)/(1-M39)</f>
        <v>0.28505689401475104</v>
      </c>
    </row>
    <row r="81" spans="1:13" ht="12.75" customHeight="1" x14ac:dyDescent="0.25">
      <c r="A81" s="58"/>
    </row>
    <row r="82" spans="1:13" ht="12.75" customHeight="1" x14ac:dyDescent="0.25">
      <c r="A82" s="58"/>
      <c r="B82" s="26" t="s">
        <v>32</v>
      </c>
    </row>
    <row r="83" spans="1:13" ht="12.75" customHeight="1" x14ac:dyDescent="0.25">
      <c r="A83" s="58"/>
      <c r="B83" s="6" t="s">
        <v>224</v>
      </c>
      <c r="F83" s="6" t="s">
        <v>21</v>
      </c>
      <c r="M83" s="69">
        <f>SUMPRODUCT(B42:B57,M42:M57)</f>
        <v>11552.371428571427</v>
      </c>
    </row>
    <row r="84" spans="1:13" ht="12.75" customHeight="1" x14ac:dyDescent="0.25">
      <c r="A84" s="58"/>
      <c r="B84" s="6" t="s">
        <v>33</v>
      </c>
      <c r="F84" s="6" t="s">
        <v>34</v>
      </c>
      <c r="M84" s="62">
        <f>M28/M83/12</f>
        <v>8.5765033038090657</v>
      </c>
    </row>
    <row r="85" spans="1:13" ht="12.75" customHeight="1" x14ac:dyDescent="0.25">
      <c r="A85" s="58"/>
    </row>
    <row r="86" spans="1:13" ht="12.75" customHeight="1" x14ac:dyDescent="0.25">
      <c r="A86" s="58"/>
      <c r="B86" s="37">
        <f t="shared" ref="B86:B101" si="0">B42</f>
        <v>3.2</v>
      </c>
      <c r="F86" s="6" t="s">
        <v>34</v>
      </c>
      <c r="M86" s="34">
        <f>$M$84*B86</f>
        <v>27.444810572189013</v>
      </c>
    </row>
    <row r="87" spans="1:13" ht="12.75" customHeight="1" x14ac:dyDescent="0.25">
      <c r="A87" s="58"/>
      <c r="B87" s="37">
        <f t="shared" si="0"/>
        <v>7.7</v>
      </c>
      <c r="F87" s="6" t="s">
        <v>34</v>
      </c>
      <c r="M87" s="34">
        <f t="shared" ref="M87:M101" si="1">$M$84*B87</f>
        <v>66.039075439329807</v>
      </c>
    </row>
    <row r="88" spans="1:13" ht="12.75" customHeight="1" x14ac:dyDescent="0.25">
      <c r="A88" s="58"/>
      <c r="B88" s="37">
        <f t="shared" si="0"/>
        <v>13.3</v>
      </c>
      <c r="F88" s="6" t="s">
        <v>34</v>
      </c>
      <c r="M88" s="34">
        <f t="shared" si="1"/>
        <v>114.06749394066058</v>
      </c>
    </row>
    <row r="89" spans="1:13" ht="12.75" customHeight="1" x14ac:dyDescent="0.25">
      <c r="A89" s="58"/>
      <c r="B89" s="37">
        <f t="shared" si="0"/>
        <v>18.3</v>
      </c>
      <c r="F89" s="6" t="s">
        <v>34</v>
      </c>
      <c r="M89" s="34">
        <f t="shared" si="1"/>
        <v>156.95001045970591</v>
      </c>
    </row>
    <row r="90" spans="1:13" ht="12.75" customHeight="1" x14ac:dyDescent="0.25">
      <c r="A90" s="58"/>
      <c r="B90" s="37">
        <f t="shared" si="0"/>
        <v>23.3</v>
      </c>
      <c r="F90" s="6" t="s">
        <v>34</v>
      </c>
      <c r="M90" s="34">
        <f t="shared" si="1"/>
        <v>199.83252697875125</v>
      </c>
    </row>
    <row r="91" spans="1:13" ht="12.75" customHeight="1" x14ac:dyDescent="0.25">
      <c r="A91" s="58"/>
      <c r="B91" s="37">
        <f t="shared" si="0"/>
        <v>28.3</v>
      </c>
      <c r="F91" s="6" t="s">
        <v>34</v>
      </c>
      <c r="M91" s="34">
        <f t="shared" si="1"/>
        <v>242.71504349779656</v>
      </c>
    </row>
    <row r="92" spans="1:13" ht="12.75" customHeight="1" x14ac:dyDescent="0.25">
      <c r="A92" s="58"/>
      <c r="B92" s="37">
        <f t="shared" si="0"/>
        <v>38.299999999999997</v>
      </c>
      <c r="F92" s="6" t="s">
        <v>34</v>
      </c>
      <c r="M92" s="34">
        <f t="shared" si="1"/>
        <v>328.48007653588718</v>
      </c>
    </row>
    <row r="93" spans="1:13" ht="12.75" customHeight="1" x14ac:dyDescent="0.25">
      <c r="A93" s="58"/>
      <c r="B93" s="37">
        <f t="shared" si="0"/>
        <v>48.3</v>
      </c>
      <c r="F93" s="6" t="s">
        <v>34</v>
      </c>
      <c r="M93" s="34">
        <f t="shared" si="1"/>
        <v>414.24510957397786</v>
      </c>
    </row>
    <row r="94" spans="1:13" ht="12.75" customHeight="1" x14ac:dyDescent="0.25">
      <c r="A94" s="58"/>
      <c r="B94" s="37">
        <f t="shared" si="0"/>
        <v>63.3</v>
      </c>
      <c r="F94" s="6" t="s">
        <v>34</v>
      </c>
      <c r="M94" s="34">
        <f t="shared" si="1"/>
        <v>542.89265913111387</v>
      </c>
    </row>
    <row r="95" spans="1:13" ht="12.75" customHeight="1" x14ac:dyDescent="0.25">
      <c r="A95" s="58"/>
      <c r="B95" s="37">
        <f t="shared" si="0"/>
        <v>78.3</v>
      </c>
      <c r="F95" s="6" t="s">
        <v>34</v>
      </c>
      <c r="M95" s="34">
        <f t="shared" si="1"/>
        <v>671.54020868824978</v>
      </c>
    </row>
    <row r="96" spans="1:13" ht="12.75" customHeight="1" x14ac:dyDescent="0.25">
      <c r="A96" s="58"/>
      <c r="B96" s="37">
        <f t="shared" si="0"/>
        <v>83.3</v>
      </c>
      <c r="F96" s="6" t="s">
        <v>34</v>
      </c>
      <c r="M96" s="34">
        <f t="shared" si="1"/>
        <v>714.42272520729512</v>
      </c>
    </row>
    <row r="97" spans="1:15" ht="12.75" customHeight="1" x14ac:dyDescent="0.25">
      <c r="A97" s="58"/>
      <c r="B97" s="37">
        <f t="shared" si="0"/>
        <v>93.3</v>
      </c>
      <c r="F97" s="6" t="s">
        <v>34</v>
      </c>
      <c r="M97" s="34">
        <f t="shared" si="1"/>
        <v>800.18775824538579</v>
      </c>
    </row>
    <row r="98" spans="1:15" ht="12.75" customHeight="1" x14ac:dyDescent="0.25">
      <c r="A98" s="58"/>
      <c r="B98" s="37">
        <f t="shared" si="0"/>
        <v>98.3</v>
      </c>
      <c r="F98" s="6" t="s">
        <v>34</v>
      </c>
      <c r="M98" s="34">
        <f t="shared" si="1"/>
        <v>843.07027476443113</v>
      </c>
    </row>
    <row r="99" spans="1:15" ht="12.75" customHeight="1" x14ac:dyDescent="0.25">
      <c r="A99" s="58"/>
      <c r="B99" s="37">
        <f t="shared" si="0"/>
        <v>100</v>
      </c>
      <c r="F99" s="6" t="s">
        <v>34</v>
      </c>
      <c r="M99" s="34">
        <f t="shared" si="1"/>
        <v>857.65033038090655</v>
      </c>
    </row>
    <row r="100" spans="1:15" ht="12.75" customHeight="1" x14ac:dyDescent="0.25">
      <c r="A100" s="58"/>
      <c r="B100" s="37">
        <f t="shared" si="0"/>
        <v>125</v>
      </c>
      <c r="F100" s="68" t="s">
        <v>34</v>
      </c>
      <c r="M100" s="34">
        <f t="shared" si="1"/>
        <v>1072.0629129761332</v>
      </c>
    </row>
    <row r="101" spans="1:15" ht="12.75" customHeight="1" x14ac:dyDescent="0.25">
      <c r="A101" s="58"/>
      <c r="B101" s="37">
        <f t="shared" si="0"/>
        <v>350</v>
      </c>
      <c r="F101" s="68" t="s">
        <v>34</v>
      </c>
      <c r="M101" s="34">
        <f t="shared" si="1"/>
        <v>3001.7761563331728</v>
      </c>
    </row>
    <row r="102" spans="1:15" s="68" customFormat="1" ht="12.75" customHeight="1" x14ac:dyDescent="0.25">
      <c r="A102" s="58"/>
      <c r="B102" s="2"/>
    </row>
    <row r="103" spans="1:15" ht="12.75" customHeight="1" x14ac:dyDescent="0.25">
      <c r="A103" s="58"/>
      <c r="B103" s="26" t="s">
        <v>35</v>
      </c>
    </row>
    <row r="104" spans="1:15" ht="12.75" customHeight="1" x14ac:dyDescent="0.25">
      <c r="A104" s="58"/>
      <c r="B104" s="6" t="s">
        <v>35</v>
      </c>
      <c r="F104" s="6" t="s">
        <v>206</v>
      </c>
      <c r="M104" s="52">
        <f>'Data on volumes and tariffs'!M37</f>
        <v>25</v>
      </c>
      <c r="O104" s="6" t="s">
        <v>159</v>
      </c>
    </row>
    <row r="105" spans="1:15" ht="12.75" customHeight="1" x14ac:dyDescent="0.25">
      <c r="A105" s="58"/>
    </row>
    <row r="106" spans="1:15" ht="12.75" customHeight="1" x14ac:dyDescent="0.25">
      <c r="A106" s="58"/>
      <c r="B106" s="5" t="s">
        <v>42</v>
      </c>
    </row>
    <row r="107" spans="1:15" ht="12.75" customHeight="1" x14ac:dyDescent="0.25">
      <c r="A107" s="58"/>
      <c r="B107" s="6" t="s">
        <v>37</v>
      </c>
      <c r="F107" s="6" t="s">
        <v>206</v>
      </c>
      <c r="M107" s="34">
        <f>M60*(1+$H$15)</f>
        <v>255.05974239551995</v>
      </c>
    </row>
    <row r="108" spans="1:15" ht="12.75" customHeight="1" x14ac:dyDescent="0.25">
      <c r="A108" s="58"/>
      <c r="B108" s="6" t="s">
        <v>38</v>
      </c>
      <c r="F108" s="6" t="s">
        <v>206</v>
      </c>
      <c r="M108" s="34">
        <f t="shared" ref="M108:M109" si="2">M61*(1+$H$15)</f>
        <v>285.97107903552001</v>
      </c>
    </row>
    <row r="109" spans="1:15" ht="12.75" customHeight="1" x14ac:dyDescent="0.25">
      <c r="A109" s="58"/>
      <c r="B109" s="6" t="s">
        <v>39</v>
      </c>
      <c r="F109" s="6" t="s">
        <v>206</v>
      </c>
      <c r="M109" s="34">
        <f t="shared" si="2"/>
        <v>81.358638036479988</v>
      </c>
    </row>
    <row r="110" spans="1:15" x14ac:dyDescent="0.25">
      <c r="A110" s="5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x14ac:dyDescent="0.25"/>
  <cols>
    <col min="1" max="16384" width="9.140625" style="22"/>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Q34"/>
  <sheetViews>
    <sheetView showGridLines="0" zoomScale="85" zoomScaleNormal="85" workbookViewId="0">
      <pane xSplit="6" ySplit="13" topLeftCell="G14" activePane="bottomRight" state="frozen"/>
      <selection pane="topRight" activeCell="G1" sqref="G1"/>
      <selection pane="bottomLeft" activeCell="A14" sqref="A14"/>
      <selection pane="bottomRight" activeCell="G14" sqref="G14"/>
    </sheetView>
  </sheetViews>
  <sheetFormatPr defaultRowHeight="12.75" x14ac:dyDescent="0.25"/>
  <cols>
    <col min="1" max="1" width="4" style="49" customWidth="1"/>
    <col min="2" max="2" width="41.42578125" style="49" customWidth="1"/>
    <col min="3" max="5" width="4.5703125" style="49" customWidth="1"/>
    <col min="6" max="6" width="13.7109375" style="49" customWidth="1"/>
    <col min="7" max="7" width="2.7109375" style="49" customWidth="1"/>
    <col min="8" max="8" width="13.7109375" style="49" customWidth="1"/>
    <col min="9" max="9" width="2.7109375" style="49" customWidth="1"/>
    <col min="10" max="10" width="13.7109375" style="49" customWidth="1"/>
    <col min="11" max="11" width="2.7109375" style="49" customWidth="1"/>
    <col min="12" max="13" width="21.7109375" style="49" customWidth="1"/>
    <col min="14" max="14" width="2.7109375" style="49" customWidth="1"/>
    <col min="15" max="15" width="36.7109375" style="49" customWidth="1"/>
    <col min="16" max="16" width="2.7109375" style="49" customWidth="1"/>
    <col min="17" max="17" width="13.7109375" style="49" customWidth="1"/>
    <col min="18" max="18" width="2.7109375" style="49" customWidth="1"/>
    <col min="19" max="33" width="13.7109375" style="49" customWidth="1"/>
    <col min="34" max="16384" width="9.140625" style="49"/>
  </cols>
  <sheetData>
    <row r="2" spans="2:17" s="20" customFormat="1" ht="18" x14ac:dyDescent="0.25">
      <c r="B2" s="20" t="s">
        <v>165</v>
      </c>
    </row>
    <row r="4" spans="2:17" ht="15" x14ac:dyDescent="0.25">
      <c r="B4" s="46" t="s">
        <v>55</v>
      </c>
      <c r="C4" s="5"/>
      <c r="D4" s="5"/>
      <c r="L4" s="59"/>
    </row>
    <row r="5" spans="2:17" x14ac:dyDescent="0.25">
      <c r="B5" s="23" t="s">
        <v>166</v>
      </c>
      <c r="C5" s="23"/>
      <c r="D5" s="23"/>
      <c r="H5" s="21"/>
    </row>
    <row r="6" spans="2:17" x14ac:dyDescent="0.25">
      <c r="B6" s="23"/>
      <c r="C6" s="23"/>
      <c r="D6" s="23"/>
      <c r="H6" s="21"/>
    </row>
    <row r="7" spans="2:17" x14ac:dyDescent="0.25">
      <c r="B7" s="60" t="s">
        <v>56</v>
      </c>
      <c r="C7" s="23"/>
      <c r="D7" s="23"/>
      <c r="H7" s="21"/>
    </row>
    <row r="8" spans="2:17" x14ac:dyDescent="0.25">
      <c r="B8" s="23" t="s">
        <v>57</v>
      </c>
      <c r="C8" s="23"/>
      <c r="D8" s="23"/>
    </row>
    <row r="9" spans="2:17" x14ac:dyDescent="0.25">
      <c r="B9" s="23" t="s">
        <v>269</v>
      </c>
      <c r="C9" s="23"/>
      <c r="D9" s="23"/>
    </row>
    <row r="11" spans="2:17" x14ac:dyDescent="0.25">
      <c r="B11" s="8" t="s">
        <v>313</v>
      </c>
    </row>
    <row r="13" spans="2:17" s="47" customFormat="1" x14ac:dyDescent="0.25">
      <c r="B13" s="47" t="s">
        <v>47</v>
      </c>
      <c r="F13" s="47" t="s">
        <v>48</v>
      </c>
      <c r="H13" s="47" t="s">
        <v>5</v>
      </c>
      <c r="J13" s="47" t="s">
        <v>6</v>
      </c>
      <c r="L13" s="65" t="s">
        <v>52</v>
      </c>
      <c r="M13" s="65" t="s">
        <v>53</v>
      </c>
      <c r="O13" s="47" t="s">
        <v>24</v>
      </c>
      <c r="Q13" s="47" t="s">
        <v>58</v>
      </c>
    </row>
    <row r="15" spans="2:17" s="47" customFormat="1" x14ac:dyDescent="0.25">
      <c r="B15" s="47" t="s">
        <v>41</v>
      </c>
      <c r="H15" s="65"/>
    </row>
    <row r="17" spans="1:17" x14ac:dyDescent="0.25">
      <c r="B17" s="68" t="s">
        <v>110</v>
      </c>
      <c r="C17" s="68"/>
      <c r="D17" s="68"/>
      <c r="E17" s="68"/>
      <c r="F17" s="68" t="s">
        <v>7</v>
      </c>
      <c r="H17" s="40">
        <v>3.0000000000000001E-3</v>
      </c>
      <c r="L17" s="68"/>
      <c r="M17" s="68"/>
      <c r="O17" s="23" t="s">
        <v>128</v>
      </c>
    </row>
    <row r="18" spans="1:17" x14ac:dyDescent="0.25">
      <c r="A18" s="68"/>
      <c r="B18" s="68" t="s">
        <v>204</v>
      </c>
      <c r="F18" s="68" t="s">
        <v>7</v>
      </c>
      <c r="H18" s="40">
        <v>-1.6E-2</v>
      </c>
      <c r="L18" s="68"/>
      <c r="M18" s="68"/>
      <c r="O18" s="23" t="s">
        <v>128</v>
      </c>
      <c r="Q18" s="68"/>
    </row>
    <row r="20" spans="1:17" s="47" customFormat="1" x14ac:dyDescent="0.25">
      <c r="B20" s="47" t="s">
        <v>59</v>
      </c>
      <c r="H20" s="86"/>
      <c r="L20" s="61"/>
      <c r="M20" s="61"/>
    </row>
    <row r="22" spans="1:17" x14ac:dyDescent="0.25">
      <c r="B22" s="68" t="s">
        <v>225</v>
      </c>
      <c r="C22" s="68"/>
      <c r="D22" s="68"/>
      <c r="E22" s="68"/>
      <c r="F22" s="68" t="s">
        <v>7</v>
      </c>
      <c r="H22" s="4">
        <v>0.06</v>
      </c>
      <c r="L22" s="68"/>
      <c r="M22" s="68"/>
      <c r="O22" s="23" t="s">
        <v>271</v>
      </c>
    </row>
    <row r="24" spans="1:17" s="65" customFormat="1" x14ac:dyDescent="0.25">
      <c r="B24" s="65" t="s">
        <v>129</v>
      </c>
    </row>
    <row r="25" spans="1:17" s="68" customFormat="1" x14ac:dyDescent="0.25"/>
    <row r="26" spans="1:17" s="68" customFormat="1" x14ac:dyDescent="0.25">
      <c r="B26" s="68" t="s">
        <v>196</v>
      </c>
      <c r="F26" s="68" t="s">
        <v>7</v>
      </c>
      <c r="L26" s="87">
        <v>0.25</v>
      </c>
      <c r="M26" s="87">
        <v>0.25</v>
      </c>
      <c r="Q26" s="23" t="s">
        <v>154</v>
      </c>
    </row>
    <row r="27" spans="1:17" s="68" customFormat="1" x14ac:dyDescent="0.25">
      <c r="B27" s="68" t="s">
        <v>153</v>
      </c>
      <c r="F27" s="68" t="s">
        <v>7</v>
      </c>
      <c r="L27" s="87">
        <v>0</v>
      </c>
      <c r="M27" s="87">
        <v>0.5</v>
      </c>
      <c r="Q27" s="23" t="s">
        <v>163</v>
      </c>
    </row>
    <row r="28" spans="1:17" x14ac:dyDescent="0.25">
      <c r="Q28" s="23"/>
    </row>
    <row r="34" spans="12:12" x14ac:dyDescent="0.25">
      <c r="L34" s="1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22"/>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x14ac:dyDescent="0.25"/>
  <cols>
    <col min="1" max="1" width="4" style="6" customWidth="1"/>
    <col min="2" max="2" width="41.42578125" style="6" customWidth="1"/>
    <col min="3" max="5" width="4.570312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3" width="21.7109375" style="6" customWidth="1"/>
    <col min="14" max="14" width="2.7109375" style="6" customWidth="1"/>
    <col min="15" max="15" width="36.7109375" style="6" customWidth="1"/>
    <col min="16" max="16" width="2.7109375" style="6" customWidth="1"/>
    <col min="17" max="17" width="13.7109375" style="6" customWidth="1"/>
    <col min="18" max="18" width="2.7109375" style="6" customWidth="1"/>
    <col min="19" max="33" width="13.7109375" style="6" customWidth="1"/>
    <col min="34" max="16384" width="9.140625" style="6"/>
  </cols>
  <sheetData>
    <row r="1" spans="1:17" x14ac:dyDescent="0.25">
      <c r="A1" s="58"/>
    </row>
    <row r="2" spans="1:17" s="20" customFormat="1" ht="18" x14ac:dyDescent="0.25">
      <c r="A2" s="56"/>
      <c r="B2" s="20" t="s">
        <v>61</v>
      </c>
    </row>
    <row r="3" spans="1:17" x14ac:dyDescent="0.25">
      <c r="A3" s="58"/>
    </row>
    <row r="4" spans="1:17" x14ac:dyDescent="0.25">
      <c r="A4" s="58"/>
      <c r="B4" s="5" t="s">
        <v>2</v>
      </c>
      <c r="C4" s="5"/>
      <c r="D4" s="5"/>
    </row>
    <row r="5" spans="1:17" x14ac:dyDescent="0.25">
      <c r="A5" s="58"/>
      <c r="B5" s="23" t="s">
        <v>164</v>
      </c>
      <c r="C5" s="7"/>
      <c r="D5" s="7"/>
      <c r="H5" s="21"/>
    </row>
    <row r="6" spans="1:17" x14ac:dyDescent="0.25">
      <c r="A6" s="58"/>
      <c r="B6" s="23" t="s">
        <v>226</v>
      </c>
      <c r="C6" s="7"/>
      <c r="D6" s="7"/>
      <c r="H6" s="21"/>
    </row>
    <row r="7" spans="1:17" x14ac:dyDescent="0.25">
      <c r="A7" s="58"/>
    </row>
    <row r="8" spans="1:17" s="65" customFormat="1" x14ac:dyDescent="0.25">
      <c r="B8" s="65" t="s">
        <v>3</v>
      </c>
      <c r="F8" s="65" t="s">
        <v>4</v>
      </c>
      <c r="H8" s="65" t="s">
        <v>8</v>
      </c>
      <c r="J8" s="65" t="s">
        <v>9</v>
      </c>
      <c r="L8" s="65" t="s">
        <v>52</v>
      </c>
      <c r="M8" s="65" t="s">
        <v>53</v>
      </c>
      <c r="O8" s="65" t="s">
        <v>24</v>
      </c>
      <c r="Q8" s="65" t="s">
        <v>49</v>
      </c>
    </row>
    <row r="9" spans="1:17" x14ac:dyDescent="0.25">
      <c r="A9" s="58"/>
    </row>
    <row r="10" spans="1:17" s="11" customFormat="1" x14ac:dyDescent="0.25">
      <c r="A10" s="57"/>
      <c r="B10" s="11" t="s">
        <v>227</v>
      </c>
    </row>
    <row r="11" spans="1:17" x14ac:dyDescent="0.25">
      <c r="A11" s="58"/>
    </row>
    <row r="12" spans="1:17" x14ac:dyDescent="0.25">
      <c r="A12" s="58"/>
      <c r="B12" s="60" t="s">
        <v>145</v>
      </c>
    </row>
    <row r="13" spans="1:17" x14ac:dyDescent="0.25">
      <c r="A13" s="58"/>
      <c r="B13" s="68" t="s">
        <v>228</v>
      </c>
      <c r="F13" s="6" t="s">
        <v>40</v>
      </c>
      <c r="J13" s="31">
        <f>SUM(L13:M13)</f>
        <v>2199896.59</v>
      </c>
      <c r="L13" s="41">
        <v>1341632.665</v>
      </c>
      <c r="M13" s="41">
        <v>858263.92500000005</v>
      </c>
      <c r="O13" s="23" t="s">
        <v>273</v>
      </c>
      <c r="P13" s="66"/>
      <c r="Q13" s="66"/>
    </row>
    <row r="14" spans="1:17" x14ac:dyDescent="0.25">
      <c r="A14" s="58"/>
      <c r="B14" s="68" t="s">
        <v>229</v>
      </c>
      <c r="F14" s="6" t="s">
        <v>40</v>
      </c>
      <c r="J14" s="31">
        <f>SUM(L14:M14)</f>
        <v>97252.99</v>
      </c>
      <c r="L14" s="41">
        <v>5287.08</v>
      </c>
      <c r="M14" s="41">
        <v>91965.91</v>
      </c>
      <c r="O14" s="23" t="s">
        <v>274</v>
      </c>
      <c r="P14" s="66"/>
      <c r="Q14" s="66"/>
    </row>
    <row r="15" spans="1:17" x14ac:dyDescent="0.25">
      <c r="A15" s="58"/>
      <c r="J15" s="42"/>
      <c r="O15" s="66"/>
      <c r="P15" s="66"/>
      <c r="Q15" s="66"/>
    </row>
    <row r="16" spans="1:17" x14ac:dyDescent="0.25">
      <c r="A16" s="58"/>
      <c r="B16" s="60" t="s">
        <v>146</v>
      </c>
      <c r="J16" s="42"/>
      <c r="O16" s="66"/>
      <c r="P16" s="66"/>
      <c r="Q16" s="66"/>
    </row>
    <row r="17" spans="1:17" x14ac:dyDescent="0.25">
      <c r="A17" s="58"/>
      <c r="B17" s="68" t="s">
        <v>230</v>
      </c>
      <c r="F17" s="6" t="s">
        <v>111</v>
      </c>
      <c r="J17" s="31">
        <f>SUM(L17:M17)</f>
        <v>6366027.9471222078</v>
      </c>
      <c r="L17" s="41">
        <v>2435322.9712092979</v>
      </c>
      <c r="M17" s="41">
        <v>3930704.97591291</v>
      </c>
      <c r="O17" s="23" t="s">
        <v>279</v>
      </c>
      <c r="P17" s="66"/>
      <c r="Q17" s="23" t="s">
        <v>156</v>
      </c>
    </row>
    <row r="18" spans="1:17" x14ac:dyDescent="0.25">
      <c r="A18" s="58"/>
      <c r="B18" s="68" t="s">
        <v>231</v>
      </c>
      <c r="F18" s="6" t="s">
        <v>111</v>
      </c>
      <c r="J18" s="31">
        <f>SUM(L18:M18)</f>
        <v>377005.36506085575</v>
      </c>
      <c r="L18" s="41">
        <v>112482.70404425287</v>
      </c>
      <c r="M18" s="41">
        <v>264522.66101660288</v>
      </c>
      <c r="O18" s="23" t="s">
        <v>280</v>
      </c>
      <c r="P18" s="66"/>
      <c r="Q18" s="23" t="s">
        <v>155</v>
      </c>
    </row>
    <row r="19" spans="1:17" x14ac:dyDescent="0.25">
      <c r="A19" s="58"/>
    </row>
    <row r="20" spans="1:17" s="68" customFormat="1" x14ac:dyDescent="0.25"/>
    <row r="21" spans="1:17" x14ac:dyDescent="0.25">
      <c r="A21" s="68"/>
    </row>
    <row r="22" spans="1:17" s="68" customFormat="1"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Q70"/>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x14ac:dyDescent="0.25"/>
  <cols>
    <col min="1" max="1" width="4" style="6" customWidth="1"/>
    <col min="2" max="2" width="50.140625" style="6" customWidth="1"/>
    <col min="3" max="5" width="4.570312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3" width="21.7109375" style="6" customWidth="1"/>
    <col min="14" max="14" width="2.7109375" style="6" customWidth="1"/>
    <col min="15" max="15" width="74" style="6" customWidth="1"/>
    <col min="16" max="16" width="2.7109375" style="6" customWidth="1"/>
    <col min="17" max="17" width="13.7109375" style="6" customWidth="1"/>
    <col min="18" max="18" width="2.7109375" style="6" customWidth="1"/>
    <col min="19" max="33" width="13.7109375" style="6" customWidth="1"/>
    <col min="34" max="16384" width="9.140625" style="6"/>
  </cols>
  <sheetData>
    <row r="1" spans="1:17" x14ac:dyDescent="0.25">
      <c r="A1" s="49"/>
    </row>
    <row r="2" spans="1:17" s="20" customFormat="1" ht="18" x14ac:dyDescent="0.25">
      <c r="A2" s="56"/>
      <c r="B2" s="20" t="s">
        <v>62</v>
      </c>
    </row>
    <row r="3" spans="1:17" x14ac:dyDescent="0.25">
      <c r="A3" s="58"/>
    </row>
    <row r="4" spans="1:17" x14ac:dyDescent="0.25">
      <c r="A4" s="58"/>
      <c r="B4" s="5" t="s">
        <v>2</v>
      </c>
      <c r="C4" s="5"/>
      <c r="D4" s="5"/>
    </row>
    <row r="5" spans="1:17" x14ac:dyDescent="0.25">
      <c r="A5" s="58"/>
      <c r="B5" s="23" t="s">
        <v>117</v>
      </c>
      <c r="C5" s="7"/>
      <c r="D5" s="7"/>
      <c r="H5" s="21"/>
    </row>
    <row r="6" spans="1:17" x14ac:dyDescent="0.25">
      <c r="A6" s="58"/>
    </row>
    <row r="7" spans="1:17" s="11" customFormat="1" x14ac:dyDescent="0.25">
      <c r="A7" s="57"/>
      <c r="B7" s="11" t="s">
        <v>3</v>
      </c>
      <c r="F7" s="11" t="s">
        <v>4</v>
      </c>
      <c r="H7" s="11" t="s">
        <v>8</v>
      </c>
      <c r="J7" s="11" t="s">
        <v>9</v>
      </c>
      <c r="L7" s="47" t="s">
        <v>52</v>
      </c>
      <c r="M7" s="47" t="s">
        <v>53</v>
      </c>
      <c r="O7" s="11" t="s">
        <v>24</v>
      </c>
      <c r="Q7" s="11" t="s">
        <v>49</v>
      </c>
    </row>
    <row r="8" spans="1:17" x14ac:dyDescent="0.25">
      <c r="A8" s="58"/>
    </row>
    <row r="9" spans="1:17" s="11" customFormat="1" x14ac:dyDescent="0.25">
      <c r="A9" s="57"/>
      <c r="B9" s="11" t="s">
        <v>11</v>
      </c>
    </row>
    <row r="10" spans="1:17" x14ac:dyDescent="0.25">
      <c r="A10" s="58"/>
    </row>
    <row r="11" spans="1:17" s="68" customFormat="1" x14ac:dyDescent="0.25">
      <c r="A11" s="58"/>
      <c r="B11" s="67" t="s">
        <v>162</v>
      </c>
    </row>
    <row r="12" spans="1:17" s="60" customFormat="1" x14ac:dyDescent="0.25">
      <c r="B12" s="60" t="s">
        <v>48</v>
      </c>
      <c r="F12" s="60" t="s">
        <v>130</v>
      </c>
      <c r="L12" s="60" t="s">
        <v>26</v>
      </c>
      <c r="M12" s="60" t="s">
        <v>21</v>
      </c>
    </row>
    <row r="13" spans="1:17" s="68" customFormat="1" x14ac:dyDescent="0.25">
      <c r="A13" s="58"/>
      <c r="B13" s="68" t="s">
        <v>232</v>
      </c>
      <c r="F13" s="68" t="s">
        <v>130</v>
      </c>
      <c r="L13" s="50">
        <v>9137706.3000000007</v>
      </c>
      <c r="M13" s="50">
        <v>11528.715384615381</v>
      </c>
      <c r="O13" s="23" t="s">
        <v>304</v>
      </c>
    </row>
    <row r="14" spans="1:17" s="68" customFormat="1" x14ac:dyDescent="0.25">
      <c r="A14" s="58"/>
      <c r="O14" s="66"/>
    </row>
    <row r="15" spans="1:17" x14ac:dyDescent="0.25">
      <c r="A15" s="48"/>
      <c r="B15" s="5" t="s">
        <v>334</v>
      </c>
      <c r="O15" s="66"/>
    </row>
    <row r="16" spans="1:17" x14ac:dyDescent="0.25">
      <c r="A16" s="58"/>
      <c r="B16" s="6" t="s">
        <v>335</v>
      </c>
      <c r="F16" s="6" t="s">
        <v>12</v>
      </c>
      <c r="L16" s="50">
        <v>3210600.1604091395</v>
      </c>
      <c r="M16" s="54"/>
      <c r="O16" s="23" t="s">
        <v>307</v>
      </c>
    </row>
    <row r="17" spans="1:17" x14ac:dyDescent="0.25">
      <c r="A17" s="58"/>
      <c r="B17" s="6" t="s">
        <v>336</v>
      </c>
      <c r="F17" s="6" t="s">
        <v>12</v>
      </c>
      <c r="L17" s="39">
        <v>5707731.8407273591</v>
      </c>
      <c r="M17" s="54"/>
      <c r="O17" s="23" t="s">
        <v>285</v>
      </c>
    </row>
    <row r="18" spans="1:17" s="68" customFormat="1" x14ac:dyDescent="0.25">
      <c r="A18" s="58"/>
      <c r="B18" s="68" t="s">
        <v>337</v>
      </c>
      <c r="F18" s="68" t="s">
        <v>12</v>
      </c>
      <c r="L18" s="50">
        <v>155119.023828854</v>
      </c>
      <c r="M18" s="54"/>
      <c r="O18" s="23" t="s">
        <v>286</v>
      </c>
    </row>
    <row r="19" spans="1:17" x14ac:dyDescent="0.25">
      <c r="A19" s="48"/>
      <c r="B19" s="6" t="s">
        <v>338</v>
      </c>
      <c r="F19" s="6" t="s">
        <v>12</v>
      </c>
      <c r="L19" s="31">
        <f>L16+L17-L18</f>
        <v>8763212.9773076437</v>
      </c>
      <c r="M19" s="54"/>
      <c r="O19" s="23"/>
    </row>
    <row r="20" spans="1:17" s="68" customFormat="1" x14ac:dyDescent="0.25">
      <c r="A20" s="58"/>
      <c r="B20" s="68" t="s">
        <v>339</v>
      </c>
      <c r="F20" s="68" t="s">
        <v>7</v>
      </c>
      <c r="L20" s="83">
        <f>L17/(L18+L19)</f>
        <v>0.63999992823770191</v>
      </c>
      <c r="M20" s="54"/>
      <c r="O20" s="23"/>
    </row>
    <row r="21" spans="1:17" x14ac:dyDescent="0.25">
      <c r="A21" s="58"/>
      <c r="B21" s="6" t="s">
        <v>308</v>
      </c>
      <c r="F21" s="6" t="s">
        <v>13</v>
      </c>
      <c r="L21" s="30">
        <v>0.27004207133895602</v>
      </c>
      <c r="M21" s="54"/>
      <c r="O21" s="23" t="s">
        <v>287</v>
      </c>
    </row>
    <row r="22" spans="1:17" x14ac:dyDescent="0.25">
      <c r="O22" s="23"/>
    </row>
    <row r="23" spans="1:17" s="68" customFormat="1" x14ac:dyDescent="0.25">
      <c r="B23" s="68" t="s">
        <v>63</v>
      </c>
      <c r="F23" s="68" t="s">
        <v>322</v>
      </c>
      <c r="L23" s="63">
        <v>1.8642000000000001</v>
      </c>
      <c r="M23" s="54"/>
      <c r="O23" s="117" t="s">
        <v>320</v>
      </c>
    </row>
    <row r="24" spans="1:17" s="68" customFormat="1" x14ac:dyDescent="0.25">
      <c r="B24" s="68" t="s">
        <v>321</v>
      </c>
      <c r="L24" s="63">
        <v>3.7854117839999999</v>
      </c>
      <c r="M24" s="54"/>
      <c r="O24" s="23" t="s">
        <v>301</v>
      </c>
    </row>
    <row r="25" spans="1:17" ht="12.75" customHeight="1" x14ac:dyDescent="0.25">
      <c r="A25" s="58"/>
      <c r="B25" s="6" t="s">
        <v>63</v>
      </c>
      <c r="F25" s="6" t="s">
        <v>14</v>
      </c>
      <c r="L25" s="29">
        <f>L23/L24</f>
        <v>0.4924695400060603</v>
      </c>
      <c r="M25" s="54"/>
      <c r="O25" s="117"/>
      <c r="Q25" s="68" t="s">
        <v>288</v>
      </c>
    </row>
    <row r="26" spans="1:17" x14ac:dyDescent="0.25">
      <c r="A26" s="58"/>
      <c r="O26" s="23"/>
    </row>
    <row r="27" spans="1:17" x14ac:dyDescent="0.25">
      <c r="A27" s="58"/>
      <c r="B27" s="5" t="s">
        <v>161</v>
      </c>
      <c r="O27" s="23"/>
    </row>
    <row r="28" spans="1:17" x14ac:dyDescent="0.25">
      <c r="A28" s="58"/>
      <c r="B28" s="6" t="s">
        <v>303</v>
      </c>
      <c r="F28" s="6" t="s">
        <v>7</v>
      </c>
      <c r="L28" s="54"/>
      <c r="M28" s="4">
        <v>7.9277824895729071E-2</v>
      </c>
      <c r="O28" s="23" t="s">
        <v>314</v>
      </c>
    </row>
    <row r="29" spans="1:17" x14ac:dyDescent="0.25">
      <c r="A29" s="58"/>
      <c r="O29" s="23"/>
    </row>
    <row r="30" spans="1:17" s="11" customFormat="1" x14ac:dyDescent="0.25">
      <c r="A30" s="57"/>
      <c r="B30" s="11" t="s">
        <v>158</v>
      </c>
      <c r="O30" s="55"/>
    </row>
    <row r="31" spans="1:17" s="49" customFormat="1" x14ac:dyDescent="0.25">
      <c r="A31" s="58"/>
      <c r="O31" s="23"/>
    </row>
    <row r="32" spans="1:17" x14ac:dyDescent="0.25">
      <c r="A32" s="58"/>
      <c r="B32" s="64" t="s">
        <v>233</v>
      </c>
      <c r="C32" s="7"/>
      <c r="D32" s="7"/>
      <c r="H32" s="21"/>
      <c r="N32" s="49"/>
      <c r="O32" s="23"/>
    </row>
    <row r="33" spans="1:17" x14ac:dyDescent="0.25">
      <c r="A33" s="58"/>
      <c r="B33" s="23" t="s">
        <v>16</v>
      </c>
      <c r="C33" s="7"/>
      <c r="D33" s="7"/>
      <c r="F33" s="6" t="s">
        <v>115</v>
      </c>
      <c r="H33" s="21"/>
      <c r="L33" s="54"/>
      <c r="M33" s="28">
        <v>259.20705527999996</v>
      </c>
      <c r="O33" s="117" t="s">
        <v>315</v>
      </c>
      <c r="P33" s="66"/>
      <c r="Q33" s="66"/>
    </row>
    <row r="34" spans="1:17" x14ac:dyDescent="0.25">
      <c r="A34" s="58"/>
      <c r="B34" s="23" t="s">
        <v>15</v>
      </c>
      <c r="C34" s="7"/>
      <c r="D34" s="7"/>
      <c r="F34" s="6" t="s">
        <v>115</v>
      </c>
      <c r="H34" s="21"/>
      <c r="L34" s="54"/>
      <c r="M34" s="28">
        <v>290.62101527999999</v>
      </c>
      <c r="O34" s="117" t="s">
        <v>316</v>
      </c>
      <c r="P34" s="66"/>
      <c r="Q34" s="66"/>
    </row>
    <row r="35" spans="1:17" x14ac:dyDescent="0.25">
      <c r="A35" s="58"/>
      <c r="B35" s="6" t="s">
        <v>17</v>
      </c>
      <c r="F35" s="6" t="s">
        <v>115</v>
      </c>
      <c r="L35" s="54"/>
      <c r="M35" s="28">
        <v>82.681542719999996</v>
      </c>
      <c r="O35" s="117" t="s">
        <v>317</v>
      </c>
      <c r="P35" s="66"/>
      <c r="Q35" s="66"/>
    </row>
    <row r="36" spans="1:17" x14ac:dyDescent="0.25">
      <c r="A36" s="58"/>
      <c r="O36" s="23"/>
      <c r="P36" s="66"/>
      <c r="Q36" s="66"/>
    </row>
    <row r="37" spans="1:17" x14ac:dyDescent="0.25">
      <c r="A37" s="58"/>
      <c r="B37" s="6" t="s">
        <v>60</v>
      </c>
      <c r="F37" s="49" t="s">
        <v>206</v>
      </c>
      <c r="L37" s="54"/>
      <c r="M37" s="50">
        <v>25</v>
      </c>
      <c r="O37" s="117" t="s">
        <v>318</v>
      </c>
      <c r="P37" s="66"/>
      <c r="Q37" s="23"/>
    </row>
    <row r="38" spans="1:17" x14ac:dyDescent="0.2">
      <c r="A38" s="58"/>
      <c r="B38" s="44"/>
      <c r="F38" s="44"/>
      <c r="H38" s="45"/>
    </row>
    <row r="39" spans="1:17" s="11" customFormat="1" x14ac:dyDescent="0.25">
      <c r="A39" s="57"/>
      <c r="B39" s="11" t="s">
        <v>19</v>
      </c>
    </row>
    <row r="40" spans="1:17" x14ac:dyDescent="0.25">
      <c r="A40" s="49"/>
      <c r="B40" s="8" t="s">
        <v>20</v>
      </c>
    </row>
    <row r="41" spans="1:17" x14ac:dyDescent="0.25">
      <c r="A41" s="49"/>
    </row>
    <row r="42" spans="1:17" ht="12" customHeight="1" x14ac:dyDescent="0.25">
      <c r="A42" s="48"/>
      <c r="B42" s="5" t="s">
        <v>340</v>
      </c>
    </row>
    <row r="43" spans="1:17" x14ac:dyDescent="0.25">
      <c r="A43" s="49"/>
      <c r="B43" s="43">
        <v>3.2</v>
      </c>
      <c r="F43" s="6" t="s">
        <v>18</v>
      </c>
      <c r="L43" s="54"/>
      <c r="M43" s="39">
        <v>109.57142857142857</v>
      </c>
      <c r="O43" s="23" t="s">
        <v>295</v>
      </c>
    </row>
    <row r="44" spans="1:17" x14ac:dyDescent="0.25">
      <c r="A44" s="49"/>
      <c r="B44" s="43">
        <v>7.7</v>
      </c>
      <c r="F44" s="6" t="s">
        <v>18</v>
      </c>
      <c r="L44" s="54"/>
      <c r="M44" s="39">
        <v>1016</v>
      </c>
    </row>
    <row r="45" spans="1:17" x14ac:dyDescent="0.25">
      <c r="A45" s="49"/>
      <c r="B45" s="43">
        <v>13.3</v>
      </c>
      <c r="F45" s="6" t="s">
        <v>18</v>
      </c>
      <c r="L45" s="54"/>
      <c r="M45" s="39">
        <v>83</v>
      </c>
    </row>
    <row r="46" spans="1:17" x14ac:dyDescent="0.25">
      <c r="A46" s="49"/>
      <c r="B46" s="43">
        <v>18.3</v>
      </c>
      <c r="F46" s="6" t="s">
        <v>18</v>
      </c>
      <c r="L46" s="54"/>
      <c r="M46" s="39">
        <v>12.357142857142858</v>
      </c>
    </row>
    <row r="47" spans="1:17" x14ac:dyDescent="0.25">
      <c r="A47" s="49"/>
      <c r="B47" s="43">
        <v>23.3</v>
      </c>
      <c r="F47" s="6" t="s">
        <v>18</v>
      </c>
      <c r="L47" s="54"/>
      <c r="M47" s="39">
        <v>15.571428571428571</v>
      </c>
    </row>
    <row r="48" spans="1:17" x14ac:dyDescent="0.25">
      <c r="A48" s="49"/>
      <c r="B48" s="43">
        <v>28.3</v>
      </c>
      <c r="F48" s="6" t="s">
        <v>18</v>
      </c>
      <c r="L48" s="54"/>
      <c r="M48" s="39">
        <v>9.1428571428571423</v>
      </c>
    </row>
    <row r="49" spans="1:13" x14ac:dyDescent="0.25">
      <c r="A49" s="49"/>
      <c r="B49" s="43">
        <v>38.299999999999997</v>
      </c>
      <c r="F49" s="6" t="s">
        <v>18</v>
      </c>
      <c r="L49" s="54"/>
      <c r="M49" s="39">
        <v>9.5</v>
      </c>
    </row>
    <row r="50" spans="1:13" x14ac:dyDescent="0.25">
      <c r="A50" s="49"/>
      <c r="B50" s="43">
        <v>48.3</v>
      </c>
      <c r="F50" s="6" t="s">
        <v>18</v>
      </c>
      <c r="L50" s="54"/>
      <c r="M50" s="39">
        <v>3</v>
      </c>
    </row>
    <row r="51" spans="1:13" x14ac:dyDescent="0.25">
      <c r="A51" s="49"/>
      <c r="B51" s="43">
        <v>63.3</v>
      </c>
      <c r="F51" s="6" t="s">
        <v>18</v>
      </c>
      <c r="L51" s="54"/>
      <c r="M51" s="39">
        <v>1</v>
      </c>
    </row>
    <row r="52" spans="1:13" x14ac:dyDescent="0.25">
      <c r="A52" s="49"/>
      <c r="B52" s="43">
        <v>78.3</v>
      </c>
      <c r="F52" s="6" t="s">
        <v>18</v>
      </c>
      <c r="L52" s="54"/>
      <c r="M52" s="39">
        <v>1</v>
      </c>
    </row>
    <row r="53" spans="1:13" x14ac:dyDescent="0.25">
      <c r="A53" s="49"/>
      <c r="B53" s="43">
        <v>83.3</v>
      </c>
      <c r="F53" s="6" t="s">
        <v>18</v>
      </c>
      <c r="L53" s="54"/>
      <c r="M53" s="39">
        <v>1</v>
      </c>
    </row>
    <row r="54" spans="1:13" x14ac:dyDescent="0.25">
      <c r="A54" s="49"/>
      <c r="B54" s="43">
        <v>93.3</v>
      </c>
      <c r="F54" s="6" t="s">
        <v>18</v>
      </c>
      <c r="L54" s="54"/>
      <c r="M54" s="39">
        <v>1</v>
      </c>
    </row>
    <row r="55" spans="1:13" s="68" customFormat="1" x14ac:dyDescent="0.25">
      <c r="B55" s="43">
        <v>98.3</v>
      </c>
      <c r="F55" s="68" t="s">
        <v>18</v>
      </c>
      <c r="L55" s="54"/>
      <c r="M55" s="50">
        <v>0</v>
      </c>
    </row>
    <row r="56" spans="1:13" s="68" customFormat="1" x14ac:dyDescent="0.25">
      <c r="B56" s="43">
        <v>100</v>
      </c>
      <c r="F56" s="68" t="s">
        <v>18</v>
      </c>
      <c r="L56" s="54"/>
      <c r="M56" s="50">
        <v>0</v>
      </c>
    </row>
    <row r="57" spans="1:13" x14ac:dyDescent="0.25">
      <c r="A57" s="49"/>
      <c r="B57" s="43">
        <v>125</v>
      </c>
      <c r="F57" s="6" t="s">
        <v>18</v>
      </c>
      <c r="L57" s="54"/>
      <c r="M57" s="39">
        <v>2</v>
      </c>
    </row>
    <row r="58" spans="1:13" x14ac:dyDescent="0.25">
      <c r="A58" s="49"/>
      <c r="B58" s="43">
        <v>350</v>
      </c>
      <c r="F58" s="6" t="s">
        <v>18</v>
      </c>
      <c r="L58" s="54"/>
      <c r="M58" s="39">
        <v>1</v>
      </c>
    </row>
    <row r="59" spans="1:13" s="68" customFormat="1" x14ac:dyDescent="0.25"/>
    <row r="60" spans="1:13" s="68" customFormat="1" x14ac:dyDescent="0.25">
      <c r="B60" s="68" t="s">
        <v>341</v>
      </c>
      <c r="F60" s="68" t="s">
        <v>21</v>
      </c>
      <c r="L60" s="54"/>
      <c r="M60" s="69">
        <f>SUMPRODUCT(B43:B58,M43:M58)</f>
        <v>11552.371428571427</v>
      </c>
    </row>
    <row r="61" spans="1:13" s="68" customFormat="1" x14ac:dyDescent="0.25"/>
    <row r="62" spans="1:13" s="68" customFormat="1" x14ac:dyDescent="0.25"/>
    <row r="63" spans="1:13" s="68" customFormat="1" x14ac:dyDescent="0.25"/>
    <row r="64" spans="1:13" s="68" customFormat="1" x14ac:dyDescent="0.25"/>
    <row r="65" s="68" customFormat="1" x14ac:dyDescent="0.25"/>
    <row r="66" s="68" customFormat="1" x14ac:dyDescent="0.25"/>
    <row r="67" s="68" customFormat="1" x14ac:dyDescent="0.25"/>
    <row r="68" s="68" customFormat="1" x14ac:dyDescent="0.25"/>
    <row r="69" s="68" customFormat="1" x14ac:dyDescent="0.25"/>
    <row r="70" s="68" customFormat="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Q28"/>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x14ac:dyDescent="0.25"/>
  <cols>
    <col min="1" max="1" width="4.5703125" style="49" customWidth="1"/>
    <col min="2" max="2" width="41.42578125" style="6" customWidth="1"/>
    <col min="3" max="5" width="4.570312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3" width="21.7109375" style="6" customWidth="1"/>
    <col min="14" max="14" width="2.7109375" style="6" customWidth="1"/>
    <col min="15" max="15" width="47.42578125" style="6" customWidth="1"/>
    <col min="16" max="16" width="2.7109375" style="6" customWidth="1"/>
    <col min="17" max="17" width="13.7109375" style="6" customWidth="1"/>
    <col min="18" max="18" width="2.7109375" style="6" customWidth="1"/>
    <col min="19" max="33" width="13.7109375" style="6" customWidth="1"/>
    <col min="34" max="16384" width="9.140625" style="6"/>
  </cols>
  <sheetData>
    <row r="2" spans="1:17" s="20" customFormat="1" ht="18" x14ac:dyDescent="0.25">
      <c r="B2" s="20" t="s">
        <v>43</v>
      </c>
    </row>
    <row r="4" spans="1:17" x14ac:dyDescent="0.25">
      <c r="A4" s="5"/>
      <c r="B4" s="5" t="s">
        <v>2</v>
      </c>
      <c r="C4" s="5"/>
      <c r="D4" s="5"/>
    </row>
    <row r="5" spans="1:17" x14ac:dyDescent="0.25">
      <c r="A5" s="7"/>
      <c r="B5" s="23" t="s">
        <v>113</v>
      </c>
      <c r="C5" s="7"/>
      <c r="D5" s="7"/>
      <c r="H5" s="21"/>
    </row>
    <row r="6" spans="1:17" s="68" customFormat="1" x14ac:dyDescent="0.25">
      <c r="A6" s="7"/>
      <c r="B6" s="23" t="s">
        <v>114</v>
      </c>
      <c r="C6" s="7"/>
      <c r="D6" s="7"/>
      <c r="H6" s="66"/>
    </row>
    <row r="7" spans="1:17" x14ac:dyDescent="0.25">
      <c r="A7" s="7"/>
      <c r="B7" s="23"/>
      <c r="C7" s="7"/>
      <c r="D7" s="7"/>
      <c r="H7" s="21"/>
    </row>
    <row r="8" spans="1:17" s="68" customFormat="1" x14ac:dyDescent="0.25">
      <c r="A8" s="7"/>
      <c r="B8" s="60" t="s">
        <v>56</v>
      </c>
      <c r="C8" s="7"/>
      <c r="D8" s="7"/>
      <c r="H8" s="66"/>
    </row>
    <row r="9" spans="1:17" s="68" customFormat="1" x14ac:dyDescent="0.25">
      <c r="A9" s="7"/>
      <c r="B9" s="60" t="s">
        <v>324</v>
      </c>
      <c r="C9" s="7"/>
      <c r="D9" s="7"/>
      <c r="H9" s="66"/>
    </row>
    <row r="10" spans="1:17" s="68" customFormat="1" x14ac:dyDescent="0.25">
      <c r="A10" s="7"/>
      <c r="B10" s="23"/>
      <c r="C10" s="7"/>
      <c r="D10" s="7"/>
      <c r="H10" s="66"/>
    </row>
    <row r="11" spans="1:17" s="11" customFormat="1" x14ac:dyDescent="0.25">
      <c r="A11" s="47"/>
      <c r="B11" s="11" t="s">
        <v>3</v>
      </c>
      <c r="F11" s="11" t="s">
        <v>4</v>
      </c>
      <c r="H11" s="11" t="s">
        <v>8</v>
      </c>
      <c r="J11" s="11" t="s">
        <v>9</v>
      </c>
      <c r="L11" s="55" t="s">
        <v>52</v>
      </c>
      <c r="M11" s="55" t="s">
        <v>53</v>
      </c>
      <c r="O11" s="11" t="s">
        <v>24</v>
      </c>
      <c r="Q11" s="65" t="s">
        <v>49</v>
      </c>
    </row>
    <row r="13" spans="1:17" s="11" customFormat="1" x14ac:dyDescent="0.25">
      <c r="A13" s="47"/>
      <c r="B13" s="11" t="s">
        <v>44</v>
      </c>
    </row>
    <row r="15" spans="1:17" s="68" customFormat="1" x14ac:dyDescent="0.25">
      <c r="B15" s="67" t="s">
        <v>125</v>
      </c>
    </row>
    <row r="16" spans="1:17" s="68" customFormat="1" x14ac:dyDescent="0.25">
      <c r="B16" s="68" t="s">
        <v>207</v>
      </c>
      <c r="F16" s="68" t="s">
        <v>206</v>
      </c>
      <c r="L16" s="50">
        <v>-16456.510810024036</v>
      </c>
      <c r="M16" s="50">
        <v>-16842.109175764355</v>
      </c>
      <c r="O16" s="23" t="s">
        <v>299</v>
      </c>
      <c r="P16" s="66"/>
      <c r="Q16" s="23" t="s">
        <v>265</v>
      </c>
    </row>
    <row r="17" spans="1:17" s="68" customFormat="1" x14ac:dyDescent="0.25">
      <c r="B17" s="68" t="s">
        <v>208</v>
      </c>
      <c r="F17" s="68" t="s">
        <v>206</v>
      </c>
      <c r="L17" s="50">
        <v>148008.80541840842</v>
      </c>
      <c r="M17" s="50">
        <v>-51822.671892656195</v>
      </c>
      <c r="O17" s="23" t="s">
        <v>296</v>
      </c>
      <c r="P17" s="66"/>
      <c r="Q17" s="23" t="s">
        <v>266</v>
      </c>
    </row>
    <row r="18" spans="1:17" s="68" customFormat="1" x14ac:dyDescent="0.25">
      <c r="B18" s="68" t="s">
        <v>209</v>
      </c>
      <c r="F18" s="68" t="s">
        <v>206</v>
      </c>
      <c r="L18" s="3"/>
      <c r="M18" s="50">
        <v>25802.030947163032</v>
      </c>
      <c r="O18" s="23" t="s">
        <v>300</v>
      </c>
      <c r="P18" s="66"/>
      <c r="Q18" s="23" t="s">
        <v>264</v>
      </c>
    </row>
    <row r="19" spans="1:17" s="68" customFormat="1" x14ac:dyDescent="0.25">
      <c r="O19" s="23"/>
      <c r="P19" s="66"/>
      <c r="Q19" s="66"/>
    </row>
    <row r="20" spans="1:17" s="68" customFormat="1" x14ac:dyDescent="0.25">
      <c r="B20" s="64" t="s">
        <v>124</v>
      </c>
      <c r="O20" s="23"/>
      <c r="P20" s="66"/>
      <c r="Q20" s="66"/>
    </row>
    <row r="21" spans="1:17" x14ac:dyDescent="0.25">
      <c r="A21" s="68"/>
      <c r="B21" s="6" t="s">
        <v>122</v>
      </c>
      <c r="F21" s="6" t="s">
        <v>40</v>
      </c>
      <c r="L21" s="39">
        <v>97045.783938654698</v>
      </c>
      <c r="M21" s="3"/>
      <c r="O21" s="23" t="s">
        <v>319</v>
      </c>
      <c r="P21" s="66"/>
      <c r="Q21" s="66"/>
    </row>
    <row r="22" spans="1:17" x14ac:dyDescent="0.25">
      <c r="A22" s="68"/>
      <c r="B22" s="6" t="s">
        <v>112</v>
      </c>
      <c r="F22" s="6" t="s">
        <v>115</v>
      </c>
      <c r="L22" s="3"/>
      <c r="M22" s="50">
        <v>-36814.700816208097</v>
      </c>
      <c r="O22" s="23" t="s">
        <v>297</v>
      </c>
      <c r="P22" s="66"/>
      <c r="Q22" s="66"/>
    </row>
    <row r="24" spans="1:17" s="57" customFormat="1" x14ac:dyDescent="0.25">
      <c r="B24" s="57" t="s">
        <v>327</v>
      </c>
    </row>
    <row r="26" spans="1:17" x14ac:dyDescent="0.25">
      <c r="B26" s="6" t="s">
        <v>331</v>
      </c>
      <c r="F26" s="6" t="s">
        <v>40</v>
      </c>
      <c r="L26" s="50">
        <v>-214469.64087443467</v>
      </c>
      <c r="O26" s="6" t="s">
        <v>325</v>
      </c>
      <c r="Q26" s="6" t="s">
        <v>326</v>
      </c>
    </row>
    <row r="27" spans="1:17" x14ac:dyDescent="0.25">
      <c r="B27" s="6" t="s">
        <v>332</v>
      </c>
      <c r="F27" s="6" t="s">
        <v>7</v>
      </c>
      <c r="L27" s="87">
        <v>0.9</v>
      </c>
      <c r="Q27" s="6" t="s">
        <v>328</v>
      </c>
    </row>
    <row r="28" spans="1:17" x14ac:dyDescent="0.25">
      <c r="B28" s="6" t="s">
        <v>330</v>
      </c>
      <c r="F28" s="68" t="s">
        <v>40</v>
      </c>
      <c r="L28" s="69">
        <f>L26*L27</f>
        <v>-193022.67678699121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dcmitype/"/>
    <ds:schemaRef ds:uri="http://www.w3.org/XML/1998/namespace"/>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Cover sheet</vt:lpstr>
      <vt:lpstr>Explanation</vt:lpstr>
      <vt:lpstr>Sources and applications</vt:lpstr>
      <vt:lpstr>Tariffs</vt:lpstr>
      <vt:lpstr>Input --&gt;</vt:lpstr>
      <vt:lpstr>Parameters</vt:lpstr>
      <vt:lpstr>Data on costs</vt:lpstr>
      <vt:lpstr>Data on volumes and tariffs</vt:lpstr>
      <vt:lpstr>Data on corrections</vt:lpstr>
      <vt:lpstr>Calculations --&gt;</vt:lpstr>
      <vt:lpstr>Fixed-variable costs</vt:lpstr>
      <vt:lpstr>Calculation income level</vt:lpstr>
      <vt:lpstr>Dictum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2020-12-15T13:44:09Z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y fmtid="{D5CDD505-2E9C-101B-9397-08002B2CF9AE}" pid="3" name="_MarkAsFinal">
    <vt:bool>true</vt:bool>
  </property>
</Properties>
</file>