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defaultThemeVersion="124226"/>
  <xr:revisionPtr revIDLastSave="0" documentId="8_{E3289261-AF99-4DD0-B414-3D64A1F8B5BB}" xr6:coauthVersionLast="46" xr6:coauthVersionMax="46" xr10:uidLastSave="{00000000-0000-0000-0000-000000000000}"/>
  <bookViews>
    <workbookView xWindow="1950" yWindow="1950" windowWidth="21600" windowHeight="11385" xr2:uid="{00000000-000D-0000-FFFF-FFFF00000000}"/>
  </bookViews>
  <sheets>
    <sheet name="Cover sheet" sheetId="9" r:id="rId1"/>
    <sheet name="Explanation" sheetId="10" r:id="rId2"/>
    <sheet name="Sources and specifics" sheetId="11" r:id="rId3"/>
    <sheet name="Production price 2022" sheetId="21" r:id="rId4"/>
    <sheet name="Input --&gt;" sheetId="13" r:id="rId5"/>
    <sheet name="Parameters" sheetId="18" r:id="rId6"/>
    <sheet name="Est. and realized costs 2020" sheetId="24" r:id="rId7"/>
    <sheet name="Production and fuel costs 2020" sheetId="25" r:id="rId8"/>
    <sheet name="Est. production and costs 2022" sheetId="26" r:id="rId9"/>
    <sheet name="Calculations --&gt;" sheetId="15" r:id="rId10"/>
    <sheet name="Calculation RAB" sheetId="22" r:id="rId11"/>
    <sheet name="Fuel costs and income 2020" sheetId="29" r:id="rId12"/>
    <sheet name="Volume corr. and P.S. 2020" sheetId="28" r:id="rId13"/>
    <sheet name="Income 2022 and prod. price" sheetId="27"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9" i="22" l="1"/>
  <c r="H190" i="22"/>
  <c r="H76" i="27" l="1"/>
  <c r="H18" i="26" l="1"/>
  <c r="H73" i="27" l="1"/>
  <c r="H17" i="26" l="1"/>
  <c r="H71" i="27"/>
  <c r="H75" i="27"/>
  <c r="H25" i="18"/>
  <c r="H15" i="27"/>
  <c r="H18" i="27"/>
  <c r="H22" i="27" s="1"/>
  <c r="H28" i="28"/>
  <c r="H16" i="27"/>
  <c r="H69" i="27"/>
  <c r="H70" i="27"/>
  <c r="H72" i="27"/>
  <c r="H74" i="27"/>
  <c r="H83" i="27" l="1"/>
  <c r="H20" i="27"/>
  <c r="H23" i="27"/>
  <c r="H21" i="27"/>
  <c r="O40" i="29"/>
  <c r="P40" i="29"/>
  <c r="Q40" i="29"/>
  <c r="R40" i="29"/>
  <c r="S40" i="29"/>
  <c r="T40" i="29"/>
  <c r="U40" i="29"/>
  <c r="V40" i="29"/>
  <c r="W40" i="29"/>
  <c r="X40" i="29"/>
  <c r="Y40" i="29"/>
  <c r="N40" i="29"/>
  <c r="H31" i="21" l="1"/>
  <c r="H29" i="21"/>
  <c r="R22" i="29" l="1"/>
  <c r="S22" i="29"/>
  <c r="T22" i="29"/>
  <c r="U22" i="29"/>
  <c r="V22" i="29"/>
  <c r="W22" i="29"/>
  <c r="X22" i="29"/>
  <c r="Y22" i="29"/>
  <c r="H41" i="27" l="1"/>
  <c r="H16" i="21"/>
  <c r="H49" i="27"/>
  <c r="H30" i="27"/>
  <c r="H42" i="27" l="1"/>
  <c r="H43" i="27" l="1"/>
  <c r="H45" i="27" l="1"/>
  <c r="O36" i="29"/>
  <c r="P36" i="29"/>
  <c r="Q36" i="29"/>
  <c r="R36" i="29"/>
  <c r="S36" i="29"/>
  <c r="T36" i="29"/>
  <c r="U36" i="29"/>
  <c r="V36" i="29"/>
  <c r="W36" i="29"/>
  <c r="X36" i="29"/>
  <c r="Y36" i="29"/>
  <c r="O37" i="29"/>
  <c r="P37" i="29"/>
  <c r="Q37" i="29"/>
  <c r="R37" i="29"/>
  <c r="S37" i="29"/>
  <c r="T37" i="29"/>
  <c r="U37" i="29"/>
  <c r="V37" i="29"/>
  <c r="W37" i="29"/>
  <c r="X37" i="29"/>
  <c r="Y37" i="29"/>
  <c r="N37" i="29"/>
  <c r="N36" i="29"/>
  <c r="O25" i="29"/>
  <c r="P25" i="29"/>
  <c r="Q25" i="29"/>
  <c r="R25" i="29"/>
  <c r="S25" i="29"/>
  <c r="T25" i="29"/>
  <c r="U25" i="29"/>
  <c r="V25" i="29"/>
  <c r="W25" i="29"/>
  <c r="X25" i="29"/>
  <c r="Y25" i="29"/>
  <c r="O26" i="29"/>
  <c r="P26" i="29"/>
  <c r="Q26" i="29"/>
  <c r="R26" i="29"/>
  <c r="S26" i="29"/>
  <c r="T26" i="29"/>
  <c r="U26" i="29"/>
  <c r="V26" i="29"/>
  <c r="W26" i="29"/>
  <c r="X26" i="29"/>
  <c r="Y26" i="29"/>
  <c r="N26" i="29"/>
  <c r="N25" i="29"/>
  <c r="H18" i="29"/>
  <c r="O16" i="29"/>
  <c r="O50" i="29" s="1"/>
  <c r="P16" i="29"/>
  <c r="O17" i="29"/>
  <c r="P17" i="29"/>
  <c r="Q17" i="29"/>
  <c r="O21" i="29"/>
  <c r="P21" i="29"/>
  <c r="Q21" i="29"/>
  <c r="R21" i="29"/>
  <c r="S21" i="29"/>
  <c r="T21" i="29"/>
  <c r="U21" i="29"/>
  <c r="U51" i="29" s="1"/>
  <c r="V21" i="29"/>
  <c r="W21" i="29"/>
  <c r="X21" i="29"/>
  <c r="Y21" i="29"/>
  <c r="Y51" i="29" s="1"/>
  <c r="O22" i="29"/>
  <c r="P22" i="29"/>
  <c r="Q22" i="29"/>
  <c r="N22" i="29"/>
  <c r="N21" i="29"/>
  <c r="N17" i="29"/>
  <c r="N16" i="29"/>
  <c r="J29" i="25"/>
  <c r="J28" i="25"/>
  <c r="O31" i="25"/>
  <c r="P31" i="25"/>
  <c r="Q31" i="25"/>
  <c r="R31" i="25"/>
  <c r="S31" i="25"/>
  <c r="T31" i="25"/>
  <c r="U31" i="25"/>
  <c r="V31" i="25"/>
  <c r="W31" i="25"/>
  <c r="X31" i="25"/>
  <c r="Y31" i="25"/>
  <c r="N31" i="25"/>
  <c r="Q51" i="29" l="1"/>
  <c r="X28" i="29"/>
  <c r="T28" i="29"/>
  <c r="P28" i="29"/>
  <c r="N50" i="29"/>
  <c r="V51" i="29"/>
  <c r="R51" i="29"/>
  <c r="P50" i="29"/>
  <c r="Y28" i="29"/>
  <c r="U28" i="29"/>
  <c r="Q28" i="29"/>
  <c r="X51" i="29"/>
  <c r="T51" i="29"/>
  <c r="P51" i="29"/>
  <c r="U50" i="29"/>
  <c r="Y50" i="29"/>
  <c r="T50" i="29"/>
  <c r="R50" i="29"/>
  <c r="V50" i="29"/>
  <c r="X50" i="29"/>
  <c r="S50" i="29"/>
  <c r="W50" i="29"/>
  <c r="W28" i="29"/>
  <c r="S28" i="29"/>
  <c r="O28" i="29"/>
  <c r="W51" i="29"/>
  <c r="S51" i="29"/>
  <c r="O51" i="29"/>
  <c r="N28" i="29"/>
  <c r="V28" i="29"/>
  <c r="R28" i="29"/>
  <c r="J31" i="25"/>
  <c r="H26" i="28" s="1"/>
  <c r="H48" i="27" l="1"/>
  <c r="H89" i="27" s="1"/>
  <c r="Q16" i="29"/>
  <c r="Q50" i="29" s="1"/>
  <c r="Y46" i="29"/>
  <c r="Y47" i="29" s="1"/>
  <c r="X46" i="29"/>
  <c r="X47" i="29" s="1"/>
  <c r="U46" i="29"/>
  <c r="U47" i="29" s="1"/>
  <c r="T46" i="29"/>
  <c r="T47" i="29" s="1"/>
  <c r="R46" i="29"/>
  <c r="R47" i="29" s="1"/>
  <c r="Q46" i="29"/>
  <c r="Q47" i="29" s="1"/>
  <c r="P46" i="29"/>
  <c r="P47" i="29" s="1"/>
  <c r="W46" i="29"/>
  <c r="W47" i="29" s="1"/>
  <c r="V46" i="29"/>
  <c r="V47" i="29" s="1"/>
  <c r="S46" i="29"/>
  <c r="S47" i="29" s="1"/>
  <c r="O46" i="29"/>
  <c r="O47" i="29" s="1"/>
  <c r="N46" i="29"/>
  <c r="N47" i="29" s="1"/>
  <c r="N51" i="29"/>
  <c r="W52" i="29"/>
  <c r="V52" i="29"/>
  <c r="S52" i="29"/>
  <c r="R52" i="29"/>
  <c r="O52" i="29"/>
  <c r="H20" i="21" l="1"/>
  <c r="N52" i="29"/>
  <c r="P52" i="29"/>
  <c r="X52" i="29"/>
  <c r="Q52" i="29"/>
  <c r="U52" i="29"/>
  <c r="Y52" i="29"/>
  <c r="T52" i="29"/>
  <c r="H56" i="29" l="1"/>
  <c r="H65" i="27" s="1"/>
  <c r="H76" i="22"/>
  <c r="H20" i="28"/>
  <c r="H18" i="28"/>
  <c r="H17" i="28"/>
  <c r="H16" i="28"/>
  <c r="H34" i="28" l="1"/>
  <c r="H36" i="28" s="1"/>
  <c r="H38" i="28" s="1"/>
  <c r="H35" i="28" l="1"/>
  <c r="H48" i="28" s="1"/>
  <c r="H49" i="28" s="1"/>
  <c r="H63" i="27" s="1"/>
  <c r="H39" i="28" l="1"/>
  <c r="H89" i="22" l="1"/>
  <c r="H88" i="22"/>
  <c r="H87" i="22"/>
  <c r="H85" i="22"/>
  <c r="H84" i="22"/>
  <c r="H83" i="22"/>
  <c r="H78" i="22"/>
  <c r="H77" i="22"/>
  <c r="H71" i="22"/>
  <c r="H70" i="22"/>
  <c r="H69" i="22"/>
  <c r="H64" i="22"/>
  <c r="H63" i="22"/>
  <c r="H62" i="22"/>
  <c r="H57" i="22"/>
  <c r="H56" i="22"/>
  <c r="H55" i="22"/>
  <c r="H52" i="22"/>
  <c r="H51" i="22"/>
  <c r="H50" i="22"/>
  <c r="H45" i="22"/>
  <c r="H44" i="22"/>
  <c r="H43" i="22"/>
  <c r="H40" i="22"/>
  <c r="H39" i="22"/>
  <c r="H38" i="22"/>
  <c r="H35" i="22"/>
  <c r="H34" i="22"/>
  <c r="H33" i="22"/>
  <c r="H26" i="22"/>
  <c r="H25" i="22"/>
  <c r="H24" i="22"/>
  <c r="H23" i="22"/>
  <c r="H18" i="22"/>
  <c r="H17" i="22"/>
  <c r="H151" i="22" l="1"/>
  <c r="H152" i="22" s="1"/>
  <c r="H153" i="22" s="1"/>
  <c r="H121" i="22"/>
  <c r="H122" i="22" s="1"/>
  <c r="H96" i="22"/>
  <c r="H145" i="22"/>
  <c r="H146" i="22" s="1"/>
  <c r="H164" i="22"/>
  <c r="H113" i="22"/>
  <c r="H133" i="22"/>
  <c r="H134" i="22" s="1"/>
  <c r="H117" i="22"/>
  <c r="H118" i="22" s="1"/>
  <c r="H129" i="22"/>
  <c r="H130" i="22" s="1"/>
  <c r="H139" i="22"/>
  <c r="H140" i="22" s="1"/>
  <c r="H175" i="22"/>
  <c r="H179" i="22" s="1"/>
  <c r="H170" i="22" l="1"/>
  <c r="H177" i="22"/>
  <c r="H181" i="22"/>
  <c r="H176" i="22"/>
  <c r="H168" i="22"/>
  <c r="H171" i="22"/>
  <c r="H172" i="22" s="1"/>
  <c r="H165" i="22"/>
  <c r="H167" i="22" s="1"/>
  <c r="H182" i="22"/>
  <c r="H166" i="22"/>
  <c r="H114" i="22"/>
  <c r="H97" i="22"/>
  <c r="H98" i="22" s="1"/>
  <c r="H123" i="22"/>
  <c r="H124" i="22" s="1"/>
  <c r="H100" i="22" l="1"/>
  <c r="H101" i="22" s="1"/>
  <c r="H178" i="22"/>
  <c r="H183" i="22"/>
  <c r="H198" i="22"/>
  <c r="H158" i="22"/>
  <c r="H203" i="22" s="1"/>
  <c r="H157" i="22"/>
  <c r="H202" i="22" s="1"/>
  <c r="H102" i="22" l="1"/>
  <c r="H105" i="22"/>
  <c r="H212" i="22"/>
  <c r="H104" i="22"/>
  <c r="H209" i="22"/>
  <c r="H35" i="27" s="1"/>
  <c r="H204" i="22"/>
  <c r="H34" i="27" s="1"/>
  <c r="H103" i="22"/>
  <c r="H191" i="22" l="1"/>
  <c r="H24" i="28" s="1"/>
  <c r="H106" i="22"/>
  <c r="H197" i="22" s="1"/>
  <c r="H211" i="22" s="1"/>
  <c r="H199" i="22" l="1"/>
  <c r="H213" i="22" s="1"/>
  <c r="H33" i="27" l="1"/>
  <c r="H56" i="27" s="1"/>
  <c r="H29" i="27"/>
  <c r="H23" i="28"/>
  <c r="H42" i="28" s="1"/>
  <c r="H55" i="28" s="1"/>
  <c r="H56" i="28" s="1"/>
  <c r="H64" i="27" s="1"/>
  <c r="H66" i="27" l="1"/>
  <c r="H55" i="27"/>
  <c r="B17" i="10"/>
  <c r="H82" i="27" l="1"/>
  <c r="H28" i="21" s="1"/>
  <c r="H57" i="27"/>
  <c r="B18" i="10"/>
  <c r="H60" i="27" l="1"/>
  <c r="H78" i="27" s="1"/>
  <c r="H15" i="21" s="1"/>
  <c r="H17" i="21" s="1"/>
  <c r="H18" i="21" s="1"/>
  <c r="H27" i="21"/>
  <c r="B19" i="10"/>
  <c r="B23" i="10" s="1"/>
  <c r="H22" i="21" l="1"/>
  <c r="H23"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23" authorId="0" shapeId="0" xr:uid="{00000000-0006-0000-0400-000001000000}">
      <text>
        <r>
          <rPr>
            <sz val="8"/>
            <color indexed="81"/>
            <rFont val="Tahoma"/>
            <family val="2"/>
          </rPr>
          <t>At all times a (group of) pink cell(s) needs an explanantion on its special nature. This explanation will be added through this remark box.</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30" authorId="0" shapeId="0" xr:uid="{1247AE4C-51B3-439F-9671-040F738DE1C4}">
      <text>
        <r>
          <rPr>
            <sz val="8"/>
            <color indexed="81"/>
            <rFont val="Tahoma"/>
            <family val="2"/>
          </rPr>
          <t>Changes made to this cell due to data confidentiality</t>
        </r>
      </text>
    </comment>
    <comment ref="H31" authorId="0" shapeId="0" xr:uid="{936B3737-6AE2-4DAC-81E2-C440807486F1}">
      <text>
        <r>
          <rPr>
            <sz val="8"/>
            <color indexed="81"/>
            <rFont val="Tahoma"/>
            <family val="2"/>
          </rPr>
          <t>Changes made to this cell due to data confidentiality</t>
        </r>
      </text>
    </comment>
    <comment ref="H32" authorId="0" shapeId="0" xr:uid="{9694A380-3614-4EA4-8DB5-D00461147D08}">
      <text>
        <r>
          <rPr>
            <sz val="8"/>
            <color indexed="81"/>
            <rFont val="Tahoma"/>
            <family val="2"/>
          </rPr>
          <t>Changes made to this cell due to data confidentiality</t>
        </r>
      </text>
    </comment>
    <comment ref="H33" authorId="0" shapeId="0" xr:uid="{2FE909F4-F3A6-401B-B5D5-F67C0EC00D9B}">
      <text>
        <r>
          <rPr>
            <sz val="8"/>
            <color indexed="81"/>
            <rFont val="Tahoma"/>
            <family val="2"/>
          </rPr>
          <t>Changes made to this cell due to data confidentiality</t>
        </r>
      </text>
    </comment>
    <comment ref="H100" authorId="0" shapeId="0" xr:uid="{2A53DBEF-9905-408D-A33B-B2A4F0EB0224}">
      <text>
        <r>
          <rPr>
            <sz val="8"/>
            <color indexed="81"/>
            <rFont val="Tahoma"/>
            <family val="2"/>
          </rPr>
          <t>Changes made to this cell due to data confidentiality</t>
        </r>
      </text>
    </comment>
    <comment ref="H101" authorId="0" shapeId="0" xr:uid="{12FA95EF-26B1-489C-B9E4-3C7BF62572FC}">
      <text>
        <r>
          <rPr>
            <sz val="8"/>
            <color indexed="81"/>
            <rFont val="Tahoma"/>
            <family val="2"/>
          </rPr>
          <t>Changes made to this cell due to data confidentiality</t>
        </r>
      </text>
    </comment>
    <comment ref="H102" authorId="0" shapeId="0" xr:uid="{A72F5B23-69BC-498A-86B4-A50FAE422A77}">
      <text>
        <r>
          <rPr>
            <sz val="8"/>
            <color indexed="81"/>
            <rFont val="Tahoma"/>
            <family val="2"/>
          </rPr>
          <t>Changes made to this cell due to data confidentiality</t>
        </r>
      </text>
    </comment>
    <comment ref="H104" authorId="0" shapeId="0" xr:uid="{E53E8912-4589-4DD1-B465-12B044DB793D}">
      <text>
        <r>
          <rPr>
            <sz val="8"/>
            <color indexed="81"/>
            <rFont val="Tahoma"/>
            <family val="2"/>
          </rPr>
          <t>Changes made to this cell due to data confidentiality</t>
        </r>
      </text>
    </comment>
    <comment ref="H105" authorId="0" shapeId="0" xr:uid="{F265F85C-54F7-4107-8EFC-3F08FD1D6103}">
      <text>
        <r>
          <rPr>
            <sz val="8"/>
            <color indexed="81"/>
            <rFont val="Tahoma"/>
            <family val="2"/>
          </rPr>
          <t>Changes made to this cell due to data confidentiality</t>
        </r>
      </text>
    </comment>
    <comment ref="H106" authorId="0" shapeId="0" xr:uid="{9F6D715F-E994-4F7C-8F35-066BA686CFC4}">
      <text>
        <r>
          <rPr>
            <sz val="8"/>
            <color indexed="81"/>
            <rFont val="Tahoma"/>
            <family val="2"/>
          </rPr>
          <t>Changes made to this cell due to data confidentiality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N19" authorId="0" shapeId="0" xr:uid="{A61B9825-1CF3-46D6-B9EF-66E50F75BCE6}">
      <text>
        <r>
          <rPr>
            <sz val="8"/>
            <color indexed="81"/>
            <rFont val="Tahoma"/>
            <family val="2"/>
          </rPr>
          <t>Changes made to this cell due to data confidentiality</t>
        </r>
      </text>
    </comment>
    <comment ref="O19" authorId="0" shapeId="0" xr:uid="{1A7A8020-8C1C-409E-A62E-6C4B489C597A}">
      <text>
        <r>
          <rPr>
            <sz val="8"/>
            <color indexed="81"/>
            <rFont val="Tahoma"/>
            <family val="2"/>
          </rPr>
          <t>Changes made to this cell due to data confidentiality</t>
        </r>
      </text>
    </comment>
    <comment ref="P19" authorId="0" shapeId="0" xr:uid="{335F7890-237D-4953-9C26-35942D66CDEE}">
      <text>
        <r>
          <rPr>
            <sz val="8"/>
            <color indexed="81"/>
            <rFont val="Tahoma"/>
            <family val="2"/>
          </rPr>
          <t>Changes made to this cell due to data confidentiality</t>
        </r>
      </text>
    </comment>
    <comment ref="Q19" authorId="0" shapeId="0" xr:uid="{C64F0F8D-DE7B-4502-8287-B525BDE0CF2E}">
      <text>
        <r>
          <rPr>
            <sz val="8"/>
            <color indexed="81"/>
            <rFont val="Tahoma"/>
            <family val="2"/>
          </rPr>
          <t>Changes made to this cell due to data confidentiality</t>
        </r>
      </text>
    </comment>
    <comment ref="N20" authorId="0" shapeId="0" xr:uid="{3717FE03-1298-450F-83AD-1AB300E9D0C1}">
      <text>
        <r>
          <rPr>
            <sz val="8"/>
            <color indexed="81"/>
            <rFont val="Tahoma"/>
            <family val="2"/>
          </rPr>
          <t>Changes made to this cell due to data confidentiality</t>
        </r>
      </text>
    </comment>
    <comment ref="O20" authorId="0" shapeId="0" xr:uid="{5D68E7B4-852D-4371-964C-3EC5EDE9835A}">
      <text>
        <r>
          <rPr>
            <sz val="8"/>
            <color indexed="81"/>
            <rFont val="Tahoma"/>
            <family val="2"/>
          </rPr>
          <t>Changes made to this cell due to data confidentiality</t>
        </r>
      </text>
    </comment>
    <comment ref="P20" authorId="0" shapeId="0" xr:uid="{2E486CCE-9DD7-4B85-865E-4B394615BEF0}">
      <text>
        <r>
          <rPr>
            <sz val="8"/>
            <color indexed="81"/>
            <rFont val="Tahoma"/>
            <family val="2"/>
          </rPr>
          <t>Changes made to this cell due to data confidentiality</t>
        </r>
      </text>
    </comment>
    <comment ref="Q20" authorId="0" shapeId="0" xr:uid="{3B9D553C-BF95-4B3D-A8D3-D5180DC64838}">
      <text>
        <r>
          <rPr>
            <sz val="8"/>
            <color indexed="81"/>
            <rFont val="Tahoma"/>
            <family val="2"/>
          </rPr>
          <t>Changes made to this cell due to data confidentiality</t>
        </r>
      </text>
    </comment>
    <comment ref="N24" authorId="0" shapeId="0" xr:uid="{78A473D6-414C-41D9-800A-E58EC965EA72}">
      <text>
        <r>
          <rPr>
            <sz val="8"/>
            <color indexed="81"/>
            <rFont val="Tahoma"/>
            <family val="2"/>
          </rPr>
          <t>Changes made to this cell due to data confidentiality</t>
        </r>
      </text>
    </comment>
    <comment ref="O24" authorId="0" shapeId="0" xr:uid="{F44C9512-EDF9-4DE5-90D6-1C2B9AC695C5}">
      <text>
        <r>
          <rPr>
            <sz val="8"/>
            <color indexed="81"/>
            <rFont val="Tahoma"/>
            <family val="2"/>
          </rPr>
          <t>Changes made to this cell due to data confidentiality</t>
        </r>
      </text>
    </comment>
    <comment ref="P24" authorId="0" shapeId="0" xr:uid="{BFE4728E-69BD-4FB0-8233-6A6D892CF3C8}">
      <text>
        <r>
          <rPr>
            <sz val="8"/>
            <color indexed="81"/>
            <rFont val="Tahoma"/>
            <family val="2"/>
          </rPr>
          <t>Changes made to this cell due to data confidentiality</t>
        </r>
      </text>
    </comment>
    <comment ref="Q24" authorId="0" shapeId="0" xr:uid="{4C4D2380-B429-430A-AEBA-29939370A93F}">
      <text>
        <r>
          <rPr>
            <sz val="8"/>
            <color indexed="81"/>
            <rFont val="Tahoma"/>
            <family val="2"/>
          </rPr>
          <t>Changes made to this cell due to data confidentiality</t>
        </r>
      </text>
    </comment>
    <comment ref="R24" authorId="0" shapeId="0" xr:uid="{686427C0-CE8C-4B81-8388-5D2C06D12FD8}">
      <text>
        <r>
          <rPr>
            <sz val="8"/>
            <color indexed="81"/>
            <rFont val="Tahoma"/>
            <family val="2"/>
          </rPr>
          <t>Changes made to this cell due to data confidentiality</t>
        </r>
      </text>
    </comment>
    <comment ref="S24" authorId="0" shapeId="0" xr:uid="{EE231447-3293-4D00-A626-DA1D4C8B0B71}">
      <text>
        <r>
          <rPr>
            <sz val="8"/>
            <color indexed="81"/>
            <rFont val="Tahoma"/>
            <family val="2"/>
          </rPr>
          <t>Changes made to this cell due to data confidentiality</t>
        </r>
      </text>
    </comment>
    <comment ref="T24" authorId="0" shapeId="0" xr:uid="{613E89E6-CDD2-4BC8-BA5F-81C09CC3A7D1}">
      <text>
        <r>
          <rPr>
            <sz val="8"/>
            <color indexed="81"/>
            <rFont val="Tahoma"/>
            <family val="2"/>
          </rPr>
          <t>Changes made to this cell due to data confidentiality</t>
        </r>
      </text>
    </comment>
    <comment ref="U24" authorId="0" shapeId="0" xr:uid="{D1A0EFBE-5EDB-4297-94DE-74C1EF62ED28}">
      <text>
        <r>
          <rPr>
            <sz val="8"/>
            <color indexed="81"/>
            <rFont val="Tahoma"/>
            <family val="2"/>
          </rPr>
          <t>Changes made to this cell due to data confidentiality</t>
        </r>
      </text>
    </comment>
    <comment ref="V24" authorId="0" shapeId="0" xr:uid="{6E6126AC-0DED-4770-BE05-A0A4D5A69D36}">
      <text>
        <r>
          <rPr>
            <sz val="8"/>
            <color indexed="81"/>
            <rFont val="Tahoma"/>
            <family val="2"/>
          </rPr>
          <t>Changes made to this cell due to data confidentiality</t>
        </r>
      </text>
    </comment>
    <comment ref="W24" authorId="0" shapeId="0" xr:uid="{2FCB6A8F-5C93-4A66-997F-074B860E1393}">
      <text>
        <r>
          <rPr>
            <sz val="8"/>
            <color indexed="81"/>
            <rFont val="Tahoma"/>
            <family val="2"/>
          </rPr>
          <t>Changes made to this cell due to data confidentiality</t>
        </r>
      </text>
    </comment>
    <comment ref="X24" authorId="0" shapeId="0" xr:uid="{99F2C579-2B22-40CA-8AA1-EF6647170B49}">
      <text>
        <r>
          <rPr>
            <sz val="8"/>
            <color indexed="81"/>
            <rFont val="Tahoma"/>
            <family val="2"/>
          </rPr>
          <t>Changes made to this cell due to data confidentiality</t>
        </r>
      </text>
    </comment>
    <comment ref="Y24" authorId="0" shapeId="0" xr:uid="{F25F3BE2-7466-4230-9CD0-7CDCF9E7A864}">
      <text>
        <r>
          <rPr>
            <sz val="8"/>
            <color indexed="81"/>
            <rFont val="Tahoma"/>
            <family val="2"/>
          </rPr>
          <t>Changes made to this cell due to data confidentiality</t>
        </r>
      </text>
    </comment>
    <comment ref="N25" authorId="0" shapeId="0" xr:uid="{0A103762-BAC6-457D-BB04-CAF288239C71}">
      <text>
        <r>
          <rPr>
            <sz val="8"/>
            <color indexed="81"/>
            <rFont val="Tahoma"/>
            <family val="2"/>
          </rPr>
          <t>Changes made to this cell due to data confidentiality</t>
        </r>
      </text>
    </comment>
    <comment ref="O25" authorId="0" shapeId="0" xr:uid="{7EF3C0AE-53FC-430D-8A74-2E8DD03401E6}">
      <text>
        <r>
          <rPr>
            <sz val="8"/>
            <color indexed="81"/>
            <rFont val="Tahoma"/>
            <family val="2"/>
          </rPr>
          <t>Changes made to this cell due to data confidentiality</t>
        </r>
      </text>
    </comment>
    <comment ref="P25" authorId="0" shapeId="0" xr:uid="{B1B4D363-2D0E-42BF-A28F-F248C45C7897}">
      <text>
        <r>
          <rPr>
            <sz val="8"/>
            <color indexed="81"/>
            <rFont val="Tahoma"/>
            <family val="2"/>
          </rPr>
          <t>Changes made to this cell due to data confidentiality</t>
        </r>
      </text>
    </comment>
    <comment ref="Q25" authorId="0" shapeId="0" xr:uid="{5420CAD9-AFFE-4846-8586-400D85A1C8AC}">
      <text>
        <r>
          <rPr>
            <sz val="8"/>
            <color indexed="81"/>
            <rFont val="Tahoma"/>
            <family val="2"/>
          </rPr>
          <t>Changes made to this cell due to data confidentiality</t>
        </r>
      </text>
    </comment>
    <comment ref="R25" authorId="0" shapeId="0" xr:uid="{C1519D3F-7326-4B32-BBA9-5ACC5CB72DF0}">
      <text>
        <r>
          <rPr>
            <sz val="8"/>
            <color indexed="81"/>
            <rFont val="Tahoma"/>
            <family val="2"/>
          </rPr>
          <t>Changes made to this cell due to data confidentiality</t>
        </r>
      </text>
    </comment>
    <comment ref="S25" authorId="0" shapeId="0" xr:uid="{6F628610-71D7-444A-8B7A-4C5DDB767E35}">
      <text>
        <r>
          <rPr>
            <sz val="8"/>
            <color indexed="81"/>
            <rFont val="Tahoma"/>
            <family val="2"/>
          </rPr>
          <t>Changes made to this cell due to data confidentiality</t>
        </r>
      </text>
    </comment>
    <comment ref="T25" authorId="0" shapeId="0" xr:uid="{52A53ABB-E211-4796-8E23-D4A615E0289E}">
      <text>
        <r>
          <rPr>
            <sz val="8"/>
            <color indexed="81"/>
            <rFont val="Tahoma"/>
            <family val="2"/>
          </rPr>
          <t>Changes made to this cell due to data confidentiality</t>
        </r>
      </text>
    </comment>
    <comment ref="U25" authorId="0" shapeId="0" xr:uid="{3288B67E-62AC-4651-B037-322D6D871C09}">
      <text>
        <r>
          <rPr>
            <sz val="8"/>
            <color indexed="81"/>
            <rFont val="Tahoma"/>
            <family val="2"/>
          </rPr>
          <t>Changes made to this cell due to data confidentiality</t>
        </r>
      </text>
    </comment>
    <comment ref="V25" authorId="0" shapeId="0" xr:uid="{B743308A-AE85-470A-9839-8C86AC3EF759}">
      <text>
        <r>
          <rPr>
            <sz val="8"/>
            <color indexed="81"/>
            <rFont val="Tahoma"/>
            <family val="2"/>
          </rPr>
          <t>Changes made to this cell due to data confidentiality</t>
        </r>
      </text>
    </comment>
    <comment ref="W25" authorId="0" shapeId="0" xr:uid="{7ED90CB5-849F-4507-A4B4-4C244F7E3250}">
      <text>
        <r>
          <rPr>
            <sz val="8"/>
            <color indexed="81"/>
            <rFont val="Tahoma"/>
            <family val="2"/>
          </rPr>
          <t>Changes made to this cell due to data confidentiality</t>
        </r>
      </text>
    </comment>
    <comment ref="X25" authorId="0" shapeId="0" xr:uid="{59A274A8-17BC-4209-92FE-B631CC21B518}">
      <text>
        <r>
          <rPr>
            <sz val="8"/>
            <color indexed="81"/>
            <rFont val="Tahoma"/>
            <family val="2"/>
          </rPr>
          <t>Changes made to this cell due to data confidentiality</t>
        </r>
      </text>
    </comment>
    <comment ref="Y25" authorId="0" shapeId="0" xr:uid="{09D1543A-8022-46E5-9E1C-8D40FD5197D3}">
      <text>
        <r>
          <rPr>
            <sz val="8"/>
            <color indexed="81"/>
            <rFont val="Tahoma"/>
            <family val="2"/>
          </rPr>
          <t>Changes made to this cell due to data confidentiality</t>
        </r>
      </text>
    </comment>
    <comment ref="N37" authorId="0" shapeId="0" xr:uid="{019F0F56-C848-473E-9881-85588F0F49DD}">
      <text>
        <r>
          <rPr>
            <sz val="8"/>
            <color indexed="81"/>
            <rFont val="Tahoma"/>
            <family val="2"/>
          </rPr>
          <t>Changes made to this cell due to data confidentiality</t>
        </r>
      </text>
    </comment>
    <comment ref="O37" authorId="0" shapeId="0" xr:uid="{23D3BEA9-FEC8-4FDC-9F2B-109DE6F319F2}">
      <text>
        <r>
          <rPr>
            <sz val="8"/>
            <color indexed="81"/>
            <rFont val="Tahoma"/>
            <family val="2"/>
          </rPr>
          <t>Changes made to this cell due to data confidentiality</t>
        </r>
      </text>
    </comment>
    <comment ref="P37" authorId="0" shapeId="0" xr:uid="{B609208B-BF6B-45CE-B358-0DD60FDA62D3}">
      <text>
        <r>
          <rPr>
            <sz val="8"/>
            <color indexed="81"/>
            <rFont val="Tahoma"/>
            <family val="2"/>
          </rPr>
          <t>Changes made to this cell due to data confidentiality</t>
        </r>
      </text>
    </comment>
    <comment ref="Q37" authorId="0" shapeId="0" xr:uid="{9D4B80DF-DD44-4873-ADBF-3128FF78BD67}">
      <text>
        <r>
          <rPr>
            <sz val="8"/>
            <color indexed="81"/>
            <rFont val="Tahoma"/>
            <family val="2"/>
          </rPr>
          <t>Changes made to this cell due to data confidentiality</t>
        </r>
      </text>
    </comment>
    <comment ref="R37" authorId="0" shapeId="0" xr:uid="{7C62FCE9-8231-4BED-A83F-09D5601A7A02}">
      <text>
        <r>
          <rPr>
            <sz val="8"/>
            <color indexed="81"/>
            <rFont val="Tahoma"/>
            <family val="2"/>
          </rPr>
          <t>Changes made to this cell due to data confidentiality</t>
        </r>
      </text>
    </comment>
    <comment ref="S37" authorId="0" shapeId="0" xr:uid="{B558D775-70C8-421F-AA4E-5E3DEC166DEC}">
      <text>
        <r>
          <rPr>
            <sz val="8"/>
            <color indexed="81"/>
            <rFont val="Tahoma"/>
            <family val="2"/>
          </rPr>
          <t>Changes made to this cell due to data confidentiality</t>
        </r>
      </text>
    </comment>
    <comment ref="T37" authorId="0" shapeId="0" xr:uid="{2C924FA5-10DE-44D1-ACCF-E6EFEC1340BE}">
      <text>
        <r>
          <rPr>
            <sz val="8"/>
            <color indexed="81"/>
            <rFont val="Tahoma"/>
            <family val="2"/>
          </rPr>
          <t>Changes made to this cell due to data confidentiality</t>
        </r>
      </text>
    </comment>
    <comment ref="U37" authorId="0" shapeId="0" xr:uid="{EEB44BD7-18F2-4090-8878-9D5F7A389CFE}">
      <text>
        <r>
          <rPr>
            <sz val="8"/>
            <color indexed="81"/>
            <rFont val="Tahoma"/>
            <family val="2"/>
          </rPr>
          <t>Changes made to this cell due to data confidentiality</t>
        </r>
      </text>
    </comment>
    <comment ref="V37" authorId="0" shapeId="0" xr:uid="{23E335BF-96A7-4BEB-B161-7D407E714460}">
      <text>
        <r>
          <rPr>
            <sz val="8"/>
            <color indexed="81"/>
            <rFont val="Tahoma"/>
            <family val="2"/>
          </rPr>
          <t>Changes made to this cell due to data confidentiality</t>
        </r>
      </text>
    </comment>
    <comment ref="W37" authorId="0" shapeId="0" xr:uid="{4B779824-DE34-4952-BF21-A5E6398A061C}">
      <text>
        <r>
          <rPr>
            <sz val="8"/>
            <color indexed="81"/>
            <rFont val="Tahoma"/>
            <family val="2"/>
          </rPr>
          <t>Changes made to this cell due to data confidentiality</t>
        </r>
      </text>
    </comment>
    <comment ref="X37" authorId="0" shapeId="0" xr:uid="{E8E2BA8B-EF90-4216-B307-C63F895E1A3B}">
      <text>
        <r>
          <rPr>
            <sz val="8"/>
            <color indexed="81"/>
            <rFont val="Tahoma"/>
            <family val="2"/>
          </rPr>
          <t>Changes made to this cell due to data confidentiality</t>
        </r>
      </text>
    </comment>
    <comment ref="Y37" authorId="0" shapeId="0" xr:uid="{50777141-2148-4584-92F4-AB334ECA13D1}">
      <text>
        <r>
          <rPr>
            <sz val="8"/>
            <color indexed="81"/>
            <rFont val="Tahoma"/>
            <family val="2"/>
          </rPr>
          <t>Changes made to this cell due to data confidentiality</t>
        </r>
      </text>
    </comment>
    <comment ref="N38" authorId="0" shapeId="0" xr:uid="{D7A25254-CE93-4CC8-B5D4-0ADCB8C8B5D5}">
      <text>
        <r>
          <rPr>
            <sz val="8"/>
            <color indexed="81"/>
            <rFont val="Tahoma"/>
            <family val="2"/>
          </rPr>
          <t>Changes made to this cell due to data confidentiality</t>
        </r>
      </text>
    </comment>
    <comment ref="O38" authorId="0" shapeId="0" xr:uid="{7BA23CBD-B7E3-43A6-9B75-9FE6A6E58516}">
      <text>
        <r>
          <rPr>
            <sz val="8"/>
            <color indexed="81"/>
            <rFont val="Tahoma"/>
            <family val="2"/>
          </rPr>
          <t>Changes made to this cell due to data confidentiality</t>
        </r>
      </text>
    </comment>
    <comment ref="P38" authorId="0" shapeId="0" xr:uid="{E2BEC5AE-A36A-4728-8957-54CCA70FC63D}">
      <text>
        <r>
          <rPr>
            <sz val="8"/>
            <color indexed="81"/>
            <rFont val="Tahoma"/>
            <family val="2"/>
          </rPr>
          <t>Changes made to this cell due to data confidentiality</t>
        </r>
      </text>
    </comment>
    <comment ref="Q38" authorId="0" shapeId="0" xr:uid="{16FDB10B-E948-4D89-9330-F7BB31DC9C2A}">
      <text>
        <r>
          <rPr>
            <sz val="8"/>
            <color indexed="81"/>
            <rFont val="Tahoma"/>
            <family val="2"/>
          </rPr>
          <t>Changes made to this cell due to data confidentiality</t>
        </r>
      </text>
    </comment>
    <comment ref="R38" authorId="0" shapeId="0" xr:uid="{7B9A0643-D8BC-4D3A-B3F2-AEFA3C9B73F0}">
      <text>
        <r>
          <rPr>
            <sz val="8"/>
            <color indexed="81"/>
            <rFont val="Tahoma"/>
            <family val="2"/>
          </rPr>
          <t>Changes made to this cell due to data confidentiality</t>
        </r>
      </text>
    </comment>
    <comment ref="S38" authorId="0" shapeId="0" xr:uid="{4B9F192A-4B8E-4E92-AFD6-E4DDB360F199}">
      <text>
        <r>
          <rPr>
            <sz val="8"/>
            <color indexed="81"/>
            <rFont val="Tahoma"/>
            <family val="2"/>
          </rPr>
          <t>Changes made to this cell due to data confidentiality</t>
        </r>
      </text>
    </comment>
    <comment ref="T38" authorId="0" shapeId="0" xr:uid="{CD599CB2-86B1-4135-A48E-E2D4177F3C7D}">
      <text>
        <r>
          <rPr>
            <sz val="8"/>
            <color indexed="81"/>
            <rFont val="Tahoma"/>
            <family val="2"/>
          </rPr>
          <t>Changes made to this cell due to data confidentiality</t>
        </r>
      </text>
    </comment>
    <comment ref="U38" authorId="0" shapeId="0" xr:uid="{0A42B71E-9037-4101-AA43-61AC38667566}">
      <text>
        <r>
          <rPr>
            <sz val="8"/>
            <color indexed="81"/>
            <rFont val="Tahoma"/>
            <family val="2"/>
          </rPr>
          <t>Changes made to this cell due to data confidentiality</t>
        </r>
      </text>
    </comment>
    <comment ref="V38" authorId="0" shapeId="0" xr:uid="{0FC0DC17-417B-4C91-BAF7-80E490CF3B7E}">
      <text>
        <r>
          <rPr>
            <sz val="8"/>
            <color indexed="81"/>
            <rFont val="Tahoma"/>
            <family val="2"/>
          </rPr>
          <t>Changes made to this cell due to data confidentiality</t>
        </r>
      </text>
    </comment>
    <comment ref="W38" authorId="0" shapeId="0" xr:uid="{BDC57F77-CF95-4F55-BBAF-762613853D5C}">
      <text>
        <r>
          <rPr>
            <sz val="8"/>
            <color indexed="81"/>
            <rFont val="Tahoma"/>
            <family val="2"/>
          </rPr>
          <t>Changes made to this cell due to data confidentiality</t>
        </r>
      </text>
    </comment>
    <comment ref="X38" authorId="0" shapeId="0" xr:uid="{BA9165B9-7BF0-4BAE-9006-D77B32237971}">
      <text>
        <r>
          <rPr>
            <sz val="8"/>
            <color indexed="81"/>
            <rFont val="Tahoma"/>
            <family val="2"/>
          </rPr>
          <t>Changes made to this cell due to data confidentiality</t>
        </r>
      </text>
    </comment>
    <comment ref="Y38" authorId="0" shapeId="0" xr:uid="{C51BF624-80CF-430E-B1CC-D57AE0C7A5B2}">
      <text>
        <r>
          <rPr>
            <sz val="8"/>
            <color indexed="81"/>
            <rFont val="Tahoma"/>
            <family val="2"/>
          </rPr>
          <t>Changes made to this cell due to data confidentiality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83" authorId="0" shapeId="0" xr:uid="{7D11D200-D40D-4428-9471-D3CDE1A0313F}">
      <text>
        <r>
          <rPr>
            <sz val="9"/>
            <color indexed="81"/>
            <rFont val="Tahoma"/>
            <family val="2"/>
          </rPr>
          <t>Data was deleted due to confidentiality</t>
        </r>
      </text>
    </comment>
    <comment ref="H87" authorId="0" shapeId="0" xr:uid="{6EA1EF57-9398-4BB9-A508-ACF312F465D9}">
      <text>
        <r>
          <rPr>
            <sz val="9"/>
            <color indexed="81"/>
            <rFont val="Tahoma"/>
            <family val="2"/>
          </rPr>
          <t>Data was deleted due to confidentiality</t>
        </r>
      </text>
    </comment>
    <comment ref="H164" authorId="0" shapeId="0" xr:uid="{3E385BBE-EFF5-4639-825B-4F70B43B9632}">
      <text>
        <r>
          <rPr>
            <sz val="9"/>
            <color indexed="81"/>
            <rFont val="Tahoma"/>
            <family val="2"/>
          </rPr>
          <t>These cells give error value since data was deleted (due to confidentiality). The formulas in these cells represent the original content of these cells.</t>
        </r>
      </text>
    </comment>
    <comment ref="H170" authorId="0" shapeId="0" xr:uid="{C39E5914-CCC6-4C57-8A16-30820A17E001}">
      <text>
        <r>
          <rPr>
            <sz val="9"/>
            <color indexed="81"/>
            <rFont val="Tahoma"/>
            <family val="2"/>
          </rPr>
          <t>These cells give error value since data was deleted (due to confidentiality). The formulas in these cells represent the original content of these cells.</t>
        </r>
      </text>
    </comment>
    <comment ref="H175" authorId="0" shapeId="0" xr:uid="{E4AA62DA-A495-4D40-ABC4-A5F89C912792}">
      <text>
        <r>
          <rPr>
            <sz val="9"/>
            <color indexed="81"/>
            <rFont val="Tahoma"/>
            <family val="2"/>
          </rPr>
          <t>These cells give error value since data was deleted (due to confidentiality). The formulas in these cells represent the original content of these cells.</t>
        </r>
      </text>
    </comment>
    <comment ref="H181" authorId="0" shapeId="0" xr:uid="{7BB0A351-193B-4BFD-A946-FF7337864CC6}">
      <text>
        <r>
          <rPr>
            <sz val="9"/>
            <color indexed="81"/>
            <rFont val="Tahoma"/>
            <family val="2"/>
          </rPr>
          <t>These cells give error value since data was deleted (due to confidentiality). The formulas in these cells represent the original content of these cells.</t>
        </r>
      </text>
    </comment>
    <comment ref="H189" authorId="0" shapeId="0" xr:uid="{B7E2C9C4-8526-4B88-AA6B-19E29B20EA69}">
      <text>
        <r>
          <rPr>
            <sz val="8"/>
            <color indexed="81"/>
            <rFont val="Tahoma"/>
            <family val="2"/>
          </rPr>
          <t>Changes made to this cell due to data confidentiality</t>
        </r>
      </text>
    </comment>
    <comment ref="H190" authorId="0" shapeId="0" xr:uid="{5C143642-1F26-4FBE-B75A-51D1F22D2BAE}">
      <text>
        <r>
          <rPr>
            <sz val="8"/>
            <color indexed="81"/>
            <rFont val="Tahoma"/>
            <family val="2"/>
          </rPr>
          <t>Changes made to this cell due to data confidentiality</t>
        </r>
      </text>
    </comment>
    <comment ref="H207" authorId="0" shapeId="0" xr:uid="{FD400F0E-9BD1-4851-BFF5-5C1613601DA9}">
      <text>
        <r>
          <rPr>
            <sz val="8"/>
            <color indexed="81"/>
            <rFont val="Tahoma"/>
            <family val="2"/>
          </rPr>
          <t>Changes made to this cell due to data confidentiality</t>
        </r>
      </text>
    </comment>
    <comment ref="H208" authorId="0" shapeId="0" xr:uid="{2FD3BEDB-3F53-47D2-A952-5033C0999EC6}">
      <text>
        <r>
          <rPr>
            <sz val="8"/>
            <color indexed="81"/>
            <rFont val="Tahoma"/>
            <family val="2"/>
          </rPr>
          <t>Changes made to this cell due to data confidentiality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30" authorId="0" shapeId="0" xr:uid="{197A53F1-3C24-48E1-AEC3-0FDE9408FA7A}">
      <text>
        <r>
          <rPr>
            <sz val="9"/>
            <color indexed="81"/>
            <rFont val="Tahoma"/>
            <family val="2"/>
          </rPr>
          <t>Hard Copy value, the calculation in this cell was originally based on dividing sum of R22:Y22 by sum of R26:Y26.</t>
        </r>
      </text>
    </comment>
    <comment ref="M46" authorId="0" shapeId="0" xr:uid="{5C8DF8E6-D65E-40DB-B61D-6C81A3ED7207}">
      <text>
        <r>
          <rPr>
            <sz val="9"/>
            <color indexed="81"/>
            <rFont val="Tahoma"/>
            <family val="2"/>
          </rPr>
          <t>These cells give error value since data was deleted (due to confidentiality). The formulas in these cells represent the original content of these cells.</t>
        </r>
      </text>
    </comment>
    <comment ref="M47" authorId="0" shapeId="0" xr:uid="{125D40B7-EB5A-4F8D-91AE-D4B369A65FC6}">
      <text>
        <r>
          <rPr>
            <sz val="9"/>
            <color indexed="81"/>
            <rFont val="Tahoma"/>
            <family val="2"/>
          </rPr>
          <t>These cells give error value since data was deleted (due to confidentiality). The formulas in these cells represent the original content of these cells.</t>
        </r>
      </text>
    </comment>
    <comment ref="M50" authorId="0" shapeId="0" xr:uid="{CD3CE423-DC53-4748-B98E-0415FB009F02}">
      <text>
        <r>
          <rPr>
            <sz val="9"/>
            <color indexed="81"/>
            <rFont val="Tahoma"/>
            <family val="2"/>
          </rPr>
          <t>These cells give error value since data was deleted (due to confidentiality). The formulas in these cells represent the original content of these cells.</t>
        </r>
      </text>
    </comment>
    <comment ref="M51" authorId="0" shapeId="0" xr:uid="{7BEC1EE1-7F56-4FFC-A27D-5C16E356A0BF}">
      <text>
        <r>
          <rPr>
            <sz val="9"/>
            <color indexed="81"/>
            <rFont val="Tahoma"/>
            <family val="2"/>
          </rPr>
          <t>These cells give error value since data was deleted (due to confidentiality). The formulas in these cells represent the original content of these cells.</t>
        </r>
      </text>
    </comment>
    <comment ref="M52" authorId="0" shapeId="0" xr:uid="{BFFC5949-5330-4548-BEE5-1C5D9E352E1F}">
      <text>
        <r>
          <rPr>
            <sz val="9"/>
            <color indexed="81"/>
            <rFont val="Tahoma"/>
            <family val="2"/>
          </rPr>
          <t>These cells give error value since data was deleted (due to confidentiality). The formulas in these cells represent the original content of these cells.</t>
        </r>
      </text>
    </comment>
    <comment ref="M54" authorId="0" shapeId="0" xr:uid="{67149E4F-BFCE-43F6-9AB6-879B0634E457}">
      <text>
        <r>
          <rPr>
            <sz val="8"/>
            <color indexed="81"/>
            <rFont val="Tahoma"/>
            <family val="2"/>
          </rPr>
          <t xml:space="preserve">These cells are hard copied. Original calculation was based on the difference between row 52 and row 47. </t>
        </r>
      </text>
    </comment>
  </commentList>
</comments>
</file>

<file path=xl/sharedStrings.xml><?xml version="1.0" encoding="utf-8"?>
<sst xmlns="http://schemas.openxmlformats.org/spreadsheetml/2006/main" count="1071" uniqueCount="479">
  <si>
    <t>Data</t>
  </si>
  <si>
    <t>Input --&gt;</t>
  </si>
  <si>
    <t>About this file</t>
  </si>
  <si>
    <t>Case number</t>
  </si>
  <si>
    <t>File title</t>
  </si>
  <si>
    <t>Other remarks</t>
  </si>
  <si>
    <t>About the status of this file</t>
  </si>
  <si>
    <t>Final version? (y/n)</t>
  </si>
  <si>
    <t>Is this file legally part of the decision(s) listed above? (y/n)</t>
  </si>
  <si>
    <t>Cell colors (for numbers)</t>
  </si>
  <si>
    <t>Description</t>
  </si>
  <si>
    <t>Data and input (source required)</t>
  </si>
  <si>
    <t>Calculated value</t>
  </si>
  <si>
    <t>Empty cell (not zero) used in a formula range</t>
  </si>
  <si>
    <t>Value or calculation that needs special attention or explanation</t>
  </si>
  <si>
    <t>Sheet tab colors</t>
  </si>
  <si>
    <t>Sheet with result/output</t>
  </si>
  <si>
    <t>Sheet with input</t>
  </si>
  <si>
    <t>Sheet with calculations</t>
  </si>
  <si>
    <t>Model sheets</t>
  </si>
  <si>
    <t>Result</t>
  </si>
  <si>
    <t>Calculation</t>
  </si>
  <si>
    <t>Explanatory sheets</t>
  </si>
  <si>
    <t>Explanation</t>
  </si>
  <si>
    <t>Special attention:</t>
  </si>
  <si>
    <t>Source overview and specific applications</t>
  </si>
  <si>
    <t>Source overview</t>
  </si>
  <si>
    <t>Each input sheet contains a column 'Source', in which the sources are referred to by their shortened name. These sources are further explained in the table below.</t>
  </si>
  <si>
    <t>No.</t>
  </si>
  <si>
    <t>Shortened name</t>
  </si>
  <si>
    <t>As referred to in Source column</t>
  </si>
  <si>
    <t>Date received, email, URL, file location</t>
  </si>
  <si>
    <t>Explanantory notes</t>
  </si>
  <si>
    <t>Unit</t>
  </si>
  <si>
    <t>Constant</t>
  </si>
  <si>
    <t>Row total</t>
  </si>
  <si>
    <t>Remarks</t>
  </si>
  <si>
    <t>Source</t>
  </si>
  <si>
    <t>Cover sheet</t>
  </si>
  <si>
    <t>Belongs to decision(s):</t>
  </si>
  <si>
    <t>Reference number of decision(s)</t>
  </si>
  <si>
    <t>If applicable</t>
  </si>
  <si>
    <t>Objections and appeals can be filed against the decision to which this file belongs.</t>
  </si>
  <si>
    <t>Explanatory notes to this file</t>
  </si>
  <si>
    <t>Legend for the cell and sheet colors</t>
  </si>
  <si>
    <t>Value that is taken from another sheet or cell without calculation</t>
  </si>
  <si>
    <t>Result/calculated value that is used in another sheet</t>
  </si>
  <si>
    <t xml:space="preserve">Empty sheet used for indexing </t>
  </si>
  <si>
    <t>Standardized sheets with general information abouyt this file</t>
  </si>
  <si>
    <t>Additional information about this source</t>
  </si>
  <si>
    <t>Relationship to other calculation files</t>
  </si>
  <si>
    <t>in the overview below, ACM lists the sources that are used for data and calculations in this file.</t>
  </si>
  <si>
    <t>When final, will this file be published?</t>
  </si>
  <si>
    <t>When published, date of this file:</t>
  </si>
  <si>
    <t>This calculation is developed in the standardized format used by the Energy Department of ACM (based on version 5, june 2021)</t>
  </si>
  <si>
    <t>[ END OF SHEET ]</t>
  </si>
  <si>
    <t>This sheet seperates different types of sheets and is intentially left blank</t>
  </si>
  <si>
    <t>No texts, data or calculations may be included on this sheet</t>
  </si>
  <si>
    <t>ACM case number and/or reference</t>
  </si>
  <si>
    <t xml:space="preserve">Parameters </t>
  </si>
  <si>
    <t>Description data</t>
  </si>
  <si>
    <t>This sheet shows the CPI and WACC used. Also, input for profit sharing is included.</t>
  </si>
  <si>
    <t>Explanatory notes</t>
  </si>
  <si>
    <t xml:space="preserve">The development of the CPI of Q3 year T and Q3 year T-1 will be used as the estimated inflation for the year T+1. The estimated inflation is rounded to one decimal. </t>
  </si>
  <si>
    <t>Comments</t>
  </si>
  <si>
    <t>CPI for Bonaire</t>
  </si>
  <si>
    <t>%</t>
  </si>
  <si>
    <t>Estimated inflation 2019</t>
  </si>
  <si>
    <t>Estimated inflation 2020</t>
  </si>
  <si>
    <t>Estimated inflation 2021</t>
  </si>
  <si>
    <t>WACC for electricity production only</t>
  </si>
  <si>
    <t>Profit sharing parameter</t>
  </si>
  <si>
    <t>Based on choice in method decision</t>
  </si>
  <si>
    <t>Estimated inflation 2022</t>
  </si>
  <si>
    <t>WACC 2020</t>
  </si>
  <si>
    <t>WACC 2022</t>
  </si>
  <si>
    <t>For the realized operational costs, the CPI is used to translate costs over years, as these are expected to develop with CPI. So price level is always mentioned in the Unit column.</t>
  </si>
  <si>
    <t>For the realized capital costs, ACM will not apply CPI to the RAB level of investments to translate depreciation costs or costs of capital over years. By using a nominal WACC, CGB is fully compensated for costs of inflation on the invested assets. As the RAB is not indexed, depreciation levels are constant over time, and do not need to be indexed with CPI.</t>
  </si>
  <si>
    <t>Data on cost estimation for 2020 and realized costs of 2020</t>
  </si>
  <si>
    <t>The first part of this sheet concerns the cost data that were used for setting the tariff for 2020. These were mainly based on the 2018 realisations.</t>
  </si>
  <si>
    <t>Then the realized costs of 2020 are presented. The source of the cost data is the annual account of 2020 plus additional data from CGB. The source of the production data is an information request by ACM to ContourGlobal.</t>
  </si>
  <si>
    <t>USD, pl 2019</t>
  </si>
  <si>
    <t>USD, pl 2020</t>
  </si>
  <si>
    <t>Other relevant information</t>
  </si>
  <si>
    <t>kWh</t>
  </si>
  <si>
    <t>Regular OPEX (excl. fuel)</t>
  </si>
  <si>
    <t>Personnel expenses</t>
  </si>
  <si>
    <t>Other operating expenses</t>
  </si>
  <si>
    <t>Non-variabel fuel costs</t>
  </si>
  <si>
    <t>Total regular OPEX</t>
  </si>
  <si>
    <t>Part 1: RAB power plant (initial investment)</t>
  </si>
  <si>
    <t>Initial costs power plant (value 20 Aug 2010)</t>
  </si>
  <si>
    <t>USD</t>
  </si>
  <si>
    <t>Information request 2016: Mazars report</t>
  </si>
  <si>
    <t>Transaction costs financing</t>
  </si>
  <si>
    <t>Residual value power plant (value 20 Aug 2025)</t>
  </si>
  <si>
    <t>Information request 2016: Power Purchase Agreement</t>
  </si>
  <si>
    <t>PPA period in years</t>
  </si>
  <si>
    <t>Years</t>
  </si>
  <si>
    <t>Part 2: yearly investments (regular add-ons)</t>
  </si>
  <si>
    <t>RAB investments 2016</t>
  </si>
  <si>
    <t xml:space="preserve">Office </t>
  </si>
  <si>
    <t>Investment</t>
  </si>
  <si>
    <t>Information request 2017</t>
  </si>
  <si>
    <t>Depreciation period</t>
  </si>
  <si>
    <t>years</t>
  </si>
  <si>
    <t xml:space="preserve">Investment date </t>
  </si>
  <si>
    <t>date</t>
  </si>
  <si>
    <t>Software</t>
  </si>
  <si>
    <t>Computer equipment</t>
  </si>
  <si>
    <t>RAB investments 2017</t>
  </si>
  <si>
    <t>Information request 2018</t>
  </si>
  <si>
    <t>RAB investments 2018</t>
  </si>
  <si>
    <t>Software / computer equipment</t>
  </si>
  <si>
    <t>RAB investments 2019</t>
  </si>
  <si>
    <t>Investment batteries</t>
  </si>
  <si>
    <t>Second information request 2020, see answer to question 10a</t>
  </si>
  <si>
    <t>Cost estimation 2020</t>
  </si>
  <si>
    <t>Estimated production volume for 2020</t>
  </si>
  <si>
    <t>Calculation production price CGB for 2020, sheet 'Est. production and costs 2020', cell H21</t>
  </si>
  <si>
    <t>Realized costs 2020: Operational costs</t>
  </si>
  <si>
    <t>Report on annual accounts 2020</t>
  </si>
  <si>
    <t>https://opendata.cbs.nl/statline/#/CBS/nl/dataset/84046NED/table?ts=1571909504894</t>
  </si>
  <si>
    <t xml:space="preserve">CBS data on CPI </t>
  </si>
  <si>
    <t>Report on Annual Accounts 2020</t>
  </si>
  <si>
    <t>The following sources were already used in earlier versions of the production price calculation, so in this case reference is made to these earlier versions</t>
  </si>
  <si>
    <t>First use in production price decision 2017</t>
  </si>
  <si>
    <t>First use in production price decision 2018</t>
  </si>
  <si>
    <t>First use in production price decision 2019</t>
  </si>
  <si>
    <t>Information request 2018: data on HFO expansion</t>
  </si>
  <si>
    <t>Information request 2019: data on regular capital additions</t>
  </si>
  <si>
    <t>First use in production price decision 2020</t>
  </si>
  <si>
    <t>Information request 2020: data on regular capital additions</t>
  </si>
  <si>
    <t>First use in production price decision 2021</t>
  </si>
  <si>
    <t>Information request 2019</t>
  </si>
  <si>
    <t>Information request 2020</t>
  </si>
  <si>
    <t>Information request 2020: data on HFO expansion</t>
  </si>
  <si>
    <t>Realized costs 2020: Asset base</t>
  </si>
  <si>
    <t>RAB investments 2020</t>
  </si>
  <si>
    <t xml:space="preserve">Year: 
Month: </t>
  </si>
  <si>
    <t>2020
January</t>
  </si>
  <si>
    <t>2020
February</t>
  </si>
  <si>
    <t>2020
March</t>
  </si>
  <si>
    <t>2020
April</t>
  </si>
  <si>
    <t>2020
May</t>
  </si>
  <si>
    <t>2020
June</t>
  </si>
  <si>
    <t>2020
July</t>
  </si>
  <si>
    <t>2020
August</t>
  </si>
  <si>
    <t>2020
September</t>
  </si>
  <si>
    <t>2020
October</t>
  </si>
  <si>
    <t>2020
November</t>
  </si>
  <si>
    <t>2020
December</t>
  </si>
  <si>
    <t>HFO</t>
  </si>
  <si>
    <t>Weighted average purchasing price</t>
  </si>
  <si>
    <t>USD / barrel</t>
  </si>
  <si>
    <t>Fuel volume consumed for production</t>
  </si>
  <si>
    <t>LFO</t>
  </si>
  <si>
    <t>USD / liter</t>
  </si>
  <si>
    <t>liter</t>
  </si>
  <si>
    <t>Production from windfarm plus Sorobon</t>
  </si>
  <si>
    <t xml:space="preserve">Total production </t>
  </si>
  <si>
    <t>Information from monthly invoice to WEB</t>
  </si>
  <si>
    <t>USD / kWh</t>
  </si>
  <si>
    <t>Volume sold to WEB</t>
  </si>
  <si>
    <t>Production price excluding fuel component</t>
  </si>
  <si>
    <t>Data on fuel and production 2020</t>
  </si>
  <si>
    <t>Data on income from production price 2020</t>
  </si>
  <si>
    <t>Parameters of production price decision for 2020</t>
  </si>
  <si>
    <t>Realized production levels and fuel costs 2020</t>
  </si>
  <si>
    <t>On this sheet all relevant data on fuel use, fuel prices and invoiced income are presented. The data are used to calculated the fuel correction over 2020, which compensates for differences in fuel prices, volumes used and realized yield (see sheet 'fuel correction 2020')</t>
  </si>
  <si>
    <t>Estimated production and cost developments for 2022</t>
  </si>
  <si>
    <t>Production by fuel</t>
  </si>
  <si>
    <t>Production by wind</t>
  </si>
  <si>
    <t>Information on yield and fuel price LFO production</t>
  </si>
  <si>
    <t>Yield production by LFO (kWh)</t>
  </si>
  <si>
    <t>liter / kWh</t>
  </si>
  <si>
    <t>Percentage of operational costs regarded as variable</t>
  </si>
  <si>
    <t>Estimated production amounts 2022 and fuel information</t>
  </si>
  <si>
    <t>Estimated production for 2022</t>
  </si>
  <si>
    <t>LFO price (November 2021)</t>
  </si>
  <si>
    <t>Equal to estimation for 2020 and 2021</t>
  </si>
  <si>
    <t>Description calculation</t>
  </si>
  <si>
    <t>RAB calculation 2020</t>
  </si>
  <si>
    <t>This RAB calculation follows the choices made in earlier decisions and calculations for CGB. The RAB and depreciation levels lead to a capital cost calculation over 2020 and an estimation for 2022, at the bottom of this sheet.</t>
  </si>
  <si>
    <t>Data on RAB</t>
  </si>
  <si>
    <t>Office</t>
  </si>
  <si>
    <t>RAB calculation</t>
  </si>
  <si>
    <t>Initial costs power plant excluding transaction costs (value 20 Aug 2010)</t>
  </si>
  <si>
    <t>Decrease in value during PPA-period</t>
  </si>
  <si>
    <t>Yearly depreciation</t>
  </si>
  <si>
    <t>RAB value of Powerplant (initial investment) ultimo 2015</t>
  </si>
  <si>
    <t>New formula in use since tariff decision of 2020.</t>
  </si>
  <si>
    <t>Part 2: yearly investments (regular add-ons and replacements)</t>
  </si>
  <si>
    <t>Yearly depreciation investments in this category</t>
  </si>
  <si>
    <t>Totals Part 2 RAB value</t>
  </si>
  <si>
    <t>Total realized capital costs for profit sharing</t>
  </si>
  <si>
    <t>Note: for part 2 ACM still uses 'ultimo value' of T-2 as estimator, based on assumption of constant asset base / continuous replacement, see notes above.</t>
  </si>
  <si>
    <t>RAB value of Powerplant (initial investment) primo 2020</t>
  </si>
  <si>
    <t>RAB value of Powerplant (initial investment) ultimo 2020</t>
  </si>
  <si>
    <t>RAB value of Powerplant (initial investment) primo 2022</t>
  </si>
  <si>
    <t>RAB value of Powerplant (initial investment) ultimo 2022</t>
  </si>
  <si>
    <t>Average RAB value of Powerplant (initial investment) during 2020</t>
  </si>
  <si>
    <t>Average RAB value of Powerplant (initial investment) during 2022</t>
  </si>
  <si>
    <t>RAB value of regular investments 2016 ultimo 2020</t>
  </si>
  <si>
    <t>RAB value of regular investments 2017 ultimo 2020</t>
  </si>
  <si>
    <t>RAB value of regular investments 2018 ultimo 2020</t>
  </si>
  <si>
    <t>RAB value of regular investments 2019 ultimo 2020</t>
  </si>
  <si>
    <t>Part 3: expansion investments (capacity add-on realized in 2019 and major overhaul 2020)</t>
  </si>
  <si>
    <t>Data from first information request, answer to question 1a</t>
  </si>
  <si>
    <t>Total estimated cost level 2020</t>
  </si>
  <si>
    <t>Total regular OPEX, as estimated for 2020</t>
  </si>
  <si>
    <t>The volume correction is made to correct the realized income for over- or undercovering the fixed costs. When realized volume is higher than estimated volume, the cost cover of fixed costs is more than 100%, which means the production price was too high (in hindsight).</t>
  </si>
  <si>
    <t xml:space="preserve">The profit sharing of 50% is calculated over the difference between realized costs and expected costs, where the expected costs are corrected for higher or lower realized volume. </t>
  </si>
  <si>
    <t>Remark</t>
  </si>
  <si>
    <t>Estimate of percentage of OPEX considered as variable costs (directly related to kWh)</t>
  </si>
  <si>
    <t>Total costs considered as variable</t>
  </si>
  <si>
    <t>Note: all capital costs are regarded as fixed (based on lumpy character and lack of direct relation with kWh)</t>
  </si>
  <si>
    <t>Estimated variable costs per unit output (excl. fuel)</t>
  </si>
  <si>
    <t>Estimated costs divided by estimated production</t>
  </si>
  <si>
    <t>Total estimated costs for profit sharing</t>
  </si>
  <si>
    <t>Total realized costs</t>
  </si>
  <si>
    <t>Total realized costs for profit sharing</t>
  </si>
  <si>
    <t>Calculation volume correction</t>
  </si>
  <si>
    <t>Calculation of profit sharing correction</t>
  </si>
  <si>
    <t>Profit sharing</t>
  </si>
  <si>
    <t>Profit sharing amount</t>
  </si>
  <si>
    <t>Positive realized profit: profit sharing takes 50% of difference away from CGB. Subtract this amount from tariff income 2021</t>
  </si>
  <si>
    <t>Correction for volume effect and profit sharing effect over 2020</t>
  </si>
  <si>
    <t>Data on cost estimation 2020 and costs realization 2020</t>
  </si>
  <si>
    <t>Total amount of regular OPEX in estimated cost level 2020</t>
  </si>
  <si>
    <t>Realized costs and production 2020</t>
  </si>
  <si>
    <t>Capital costs 2020</t>
  </si>
  <si>
    <t>Estimated costs and production 2020</t>
  </si>
  <si>
    <t>(Since 2020 is last year of depreciation): RAB value ultimo 2019:</t>
  </si>
  <si>
    <t>RAB value of regular investments 2020 ultimo 2020</t>
  </si>
  <si>
    <t>RAB value of investment primo 2020</t>
  </si>
  <si>
    <t>RAB value of investment ultimo 2020</t>
  </si>
  <si>
    <t>Depreciation in 2020 on this asset</t>
  </si>
  <si>
    <t>RAB value of investment primo 2022</t>
  </si>
  <si>
    <t>RAB value of investment ultimo 2022</t>
  </si>
  <si>
    <t>Average RAB value of investment during 2022</t>
  </si>
  <si>
    <t>Investment batteries (2019)</t>
  </si>
  <si>
    <t>Investment extra HFO generators (2019)</t>
  </si>
  <si>
    <t>Average RAB value of investment during 2020</t>
  </si>
  <si>
    <t>Calculation capital costs for profit sharing over 2020</t>
  </si>
  <si>
    <t>Total RAB Value 2020</t>
  </si>
  <si>
    <t>Total Depreciation 2020</t>
  </si>
  <si>
    <t>Total capital costs 2020 for profit sharing</t>
  </si>
  <si>
    <t>Based on WACC for 2020</t>
  </si>
  <si>
    <t>Cost base (capital costs) for estimating expected costs in 2022</t>
  </si>
  <si>
    <t>USD, pl 2022</t>
  </si>
  <si>
    <t>Total RAB estimation for 2022 (medio/ultimo)</t>
  </si>
  <si>
    <t>Total estimated depreciation in 2022</t>
  </si>
  <si>
    <t>RAB value 2022 (medio)</t>
  </si>
  <si>
    <t>Depreciation in 2022</t>
  </si>
  <si>
    <t>Capital costs in 2022 (based on WACC for 2022)</t>
  </si>
  <si>
    <t>RAB value 2022 (ultimo)</t>
  </si>
  <si>
    <t>RAB value of regular investments ultimo 2020</t>
  </si>
  <si>
    <t>Depreciation in 2020 on regular investments</t>
  </si>
  <si>
    <t>Calculation estimated and realized costs 2020</t>
  </si>
  <si>
    <t>Estimated costs 2020</t>
  </si>
  <si>
    <t>USD, pl 2020 / kWh</t>
  </si>
  <si>
    <t>Estimated fixed costs 2020</t>
  </si>
  <si>
    <t>Cost estimation variable costs corrected for realized volume 2020</t>
  </si>
  <si>
    <t>Cost estimation total costs corrected for realized volume 2020</t>
  </si>
  <si>
    <t>Total net production with generators (fuel)</t>
  </si>
  <si>
    <t>Total net production by renewable sources</t>
  </si>
  <si>
    <t>Cost covering of fixed costs 2020</t>
  </si>
  <si>
    <t>Total realized income for covering fixed costs in 2020, based on realized volumes</t>
  </si>
  <si>
    <t>Cost cover was lower than estimated fixed costs: add this amount to tariff income 2022</t>
  </si>
  <si>
    <t>Over- or under covering of estimated fixed costs 2020</t>
  </si>
  <si>
    <t>Realized economic profit over 2020 (after volume correction)</t>
  </si>
  <si>
    <t>Realized costs 2020</t>
  </si>
  <si>
    <t>When published, does this file contain business-confidential information? (y/n)</t>
  </si>
  <si>
    <t>Costs of fuel and income from fuel component 2020</t>
  </si>
  <si>
    <t>Data on fuel and production</t>
  </si>
  <si>
    <t>Data on income from production</t>
  </si>
  <si>
    <t>Production price as set in production price decision</t>
  </si>
  <si>
    <t>Fuel income</t>
  </si>
  <si>
    <t>Calculation realized fuel component</t>
  </si>
  <si>
    <t>Total income from fuel component</t>
  </si>
  <si>
    <t>Fuel costs</t>
  </si>
  <si>
    <t>Costs HFO fuel</t>
  </si>
  <si>
    <t>Costs LFO fuel</t>
  </si>
  <si>
    <t>Total fuel costs</t>
  </si>
  <si>
    <t>Total fuel cost correction per month</t>
  </si>
  <si>
    <t>First information request, question 7</t>
  </si>
  <si>
    <t>Total net production over all gensets and fuel types</t>
  </si>
  <si>
    <t>Production volumes</t>
  </si>
  <si>
    <t>Liters per barrel</t>
  </si>
  <si>
    <t>liter / barrel</t>
  </si>
  <si>
    <t>Production price as calculated by CGB</t>
  </si>
  <si>
    <t>ACM/19/035836</t>
  </si>
  <si>
    <t>https://www.acm.nl/nl/publicaties/beschikking-productieprijs-elektriciteit-2020-bonaire-contourglobal-caribisch-nederland</t>
  </si>
  <si>
    <t>Percentage of OPEX considered variable</t>
  </si>
  <si>
    <t>Capital costs RAB power plant (initial investment - part 1)</t>
  </si>
  <si>
    <t>Capital costs yearly investments (regular add-ons and replacements - part 2)</t>
  </si>
  <si>
    <t>Expected production levels</t>
  </si>
  <si>
    <t>Part of total production by renewable sources</t>
  </si>
  <si>
    <t>Calculation of fuel costs</t>
  </si>
  <si>
    <t>Fuel component is based on LFO production only</t>
  </si>
  <si>
    <t>Calculation total income 2022 and production price 2022</t>
  </si>
  <si>
    <t>On this sheet the total income level for 2022 is calculated, including the effect of all regular corrections.The fuel component (valid for January 2022) is calculated as well. Both figures are used to calculate the production price for 2022 (January 2022) on the result sheet.</t>
  </si>
  <si>
    <t>Data on cost estimation 2022</t>
  </si>
  <si>
    <t>OPEX estimation for 2022</t>
  </si>
  <si>
    <t>Regular OPEX 2020</t>
  </si>
  <si>
    <t>Realized fuel yield based on LFO (for months May - Dec)</t>
  </si>
  <si>
    <t>First information request, answer question 5</t>
  </si>
  <si>
    <t>Total amount of production by ContourGlobal in 2022</t>
  </si>
  <si>
    <t xml:space="preserve">This correction reimburses the positive and negative effects of differences in 1) monthly production needed (based on island demand and production by WEB), 2) availability of renewable sources (i.e. wind), 3) realized production mix between HFO and LFO, </t>
  </si>
  <si>
    <t xml:space="preserve">On this sheet the fuel correction over 2020 is calculated. This fuel correction reflects the difference between the monthly income from the fuel component in 2020 and the actual monthly fuel costs in 2020. </t>
  </si>
  <si>
    <t>Expected capital costs for 2022</t>
  </si>
  <si>
    <t>Capital costs expansion investments HFO and batteries (add-on realized in 2019 - part 3)</t>
  </si>
  <si>
    <t>Data on fuel component 2022</t>
  </si>
  <si>
    <t>Estimated production volume with fuel in 2022</t>
  </si>
  <si>
    <t>Estimated production by renewables in 2022</t>
  </si>
  <si>
    <t>Total amount of estimated production by ContourGlobal in 2022</t>
  </si>
  <si>
    <t>Total amount of renewables production by ContourGlobal in 2022</t>
  </si>
  <si>
    <t>Calculation expected costs for 2022 and income level 2022</t>
  </si>
  <si>
    <t>Calculation expected costs for 2022 (excluding fuel)</t>
  </si>
  <si>
    <t>Total OPEX estimation regular OPEX</t>
  </si>
  <si>
    <t>Total expected costs 2022</t>
  </si>
  <si>
    <t>OPEX considered as variable (as part of the total costs of 2022)</t>
  </si>
  <si>
    <t>Income level for 2022</t>
  </si>
  <si>
    <t>Email ACM to CGB, January 28, 2021</t>
  </si>
  <si>
    <t>Correction on income 2022 for volume effect 2020</t>
  </si>
  <si>
    <t>Correction on income 2022 for fuel price difference in 2020</t>
  </si>
  <si>
    <t>Correction on income 2022 for profit sharing over 2020</t>
  </si>
  <si>
    <t>1+%</t>
  </si>
  <si>
    <t>Description result</t>
  </si>
  <si>
    <t>Result: calculation of production price 2022</t>
  </si>
  <si>
    <t>On this sheet the production price of ContourGlobal is calculated for 2022, consisting of the non-fuel part, which covers all costs excluding fuel, and the fuel component that applies for January 2022.</t>
  </si>
  <si>
    <t>The ACM also included the amount and percentage of variable costs, as this is information that will be used in the profit sharing calculation over 2022 (expected in tariffs for 2024).</t>
  </si>
  <si>
    <t>Calculation production price</t>
  </si>
  <si>
    <t>Total expected production volume</t>
  </si>
  <si>
    <t>This is the production price set in the Dictum</t>
  </si>
  <si>
    <t>This fuel component is not rounded (as it is not set in the Dictum, but follows from the formula)</t>
  </si>
  <si>
    <t>This production price is rounded to 4 decimals as this is used in the tariff calculation for WEB.</t>
  </si>
  <si>
    <t>Variable costs expressed as a percentage of OPEX:</t>
  </si>
  <si>
    <t>Calculation production price 2022</t>
  </si>
  <si>
    <t>USD, price level 2022</t>
  </si>
  <si>
    <t>Total income level for 2022, after corrections</t>
  </si>
  <si>
    <t>USD, pl 2022 / kWh</t>
  </si>
  <si>
    <t>Production price CGB 2022 (based on fuel component for January 2022)</t>
  </si>
  <si>
    <t>Production price CGB 2022 (used in usage tariff decision for WEB 2022)</t>
  </si>
  <si>
    <t>Production price 2022 excl. fuel component (not rounded)</t>
  </si>
  <si>
    <t>Fuel component (for January 2022)</t>
  </si>
  <si>
    <t>Production price 2022 excl. fuel component (rounded to 4 decimals)</t>
  </si>
  <si>
    <t>Total estimated costs for 2022</t>
  </si>
  <si>
    <t>Costs considered as variable in the costs estimation for 2022</t>
  </si>
  <si>
    <t>In case no price is known for a specific month (as no invoice was sent / no purchase was made), the fuel price for that month is taken equal to the month in advance. This also applies to HFO production in April 2020, with fuel purchased in March 2020.</t>
  </si>
  <si>
    <t>Fuel costs model ACM over 2020</t>
  </si>
  <si>
    <t>Contrary to the calculation of fuel costs over 2019, ACM no longer includes 'own consumption' in the calculation. All production volumes are net volumes.</t>
  </si>
  <si>
    <t>Total estimated capital costs in 2022 (based on WACC for 2022)</t>
  </si>
  <si>
    <t>Calculation fuel correction 2020</t>
  </si>
  <si>
    <t>Cumulative fuel correction 2020</t>
  </si>
  <si>
    <t>Estimated inflation 2018</t>
  </si>
  <si>
    <t>Regular corrections</t>
  </si>
  <si>
    <t>One-time corrections</t>
  </si>
  <si>
    <t>Total effect of regular corrections (in price level 2022)</t>
  </si>
  <si>
    <t>Total effect of one-time corrections (in price level 2022)</t>
  </si>
  <si>
    <t>Note: several one-time corrections apply to the income level of CGB in 2022.</t>
  </si>
  <si>
    <t>One-time correction for Beslissing op Bezwaar Productieprijsbeschikking 2017</t>
  </si>
  <si>
    <t>One-time correction for Beslissing op Bezwaar Productieprijsbeschikking 2018</t>
  </si>
  <si>
    <t>One-time correction for Beslissing op Bezwaar Productieprijsbeschikking 2019</t>
  </si>
  <si>
    <t>One-time correction for volume data error in volume correction over 2019 (in Tariff decision 2021)</t>
  </si>
  <si>
    <t>USD, pl 2017</t>
  </si>
  <si>
    <t>USD, pl 2018</t>
  </si>
  <si>
    <t>Calculation based on price difference and volume in 'Tariff calculation 2017'</t>
  </si>
  <si>
    <t>Rekenmodel BoB productieprijs CGB 2018</t>
  </si>
  <si>
    <t>Rekenmodel BoB productieprijs CGB 2019</t>
  </si>
  <si>
    <t>Decision BoB productieprijs 2019 / Data on Breakage fee by CGB</t>
  </si>
  <si>
    <t>One-time correction for Reimbursement of Breakage fee (reflects costs over 2019-2025)</t>
  </si>
  <si>
    <t>Tariff calculation 2017</t>
  </si>
  <si>
    <t>Recalculation of this tariff based on WACC level 9,17%, for setting one-time correction BOB 2017</t>
  </si>
  <si>
    <t xml:space="preserve">Decision BoB productieprijs 2019 </t>
  </si>
  <si>
    <t>Data on Breakage fee by CGB</t>
  </si>
  <si>
    <t xml:space="preserve">https://www.acm.nl/nl/publicaties/wacc-elektriciteit-en-drinkwater-caribisch-nederland-2020-2022 </t>
  </si>
  <si>
    <t>WACC Decision on 2020-2022 (original decision)</t>
  </si>
  <si>
    <t>WACC Decision 2020-2022 (original decision)</t>
  </si>
  <si>
    <t>See Source overview for URL to relevant tables by CBS: CPI gegevens CBS (2017 = 100). Note: inflation for 2018 is based on 2010 = 100.</t>
  </si>
  <si>
    <t>Investment extra HFO generators</t>
  </si>
  <si>
    <t>Data received by ACM as part of BoB procedure production price decision 2019 and 2020</t>
  </si>
  <si>
    <t xml:space="preserve">https://www.acm.nl/nl/publicaties/beslissing-bezwaar-contourglobal-bonaire-tarieven-2018-en-2019  </t>
  </si>
  <si>
    <t>ACM/19/034873; ACM/UIT/561770</t>
  </si>
  <si>
    <t>ACM/18/027776; ACM/UIT/561766</t>
  </si>
  <si>
    <t>ACM/19/034873</t>
  </si>
  <si>
    <t>ACM/20/042914; ACM/UIT/543827</t>
  </si>
  <si>
    <t>Every sheet contains specific information on the calculation made and explanatory notes on details and exemptions.</t>
  </si>
  <si>
    <t>Explanation on this file</t>
  </si>
  <si>
    <t xml:space="preserve">This document contains the calculation of the production price for electricity of ContourGlobal B.V for 2022. The production price is based on an estimation of the cost of ContourGlobal in 2022 and several corrections (including profit sharing results) over 2020. </t>
  </si>
  <si>
    <t>ACM estimates the cost of 2022 with the cost of 2020 as can be found in the annual account of ContourGlobal and other relevant information, for instance on major occurrences.</t>
  </si>
  <si>
    <t>ACM/21/052519</t>
  </si>
  <si>
    <t>Fuel costs calculation is input to this file</t>
  </si>
  <si>
    <t>Second information request, question 8b</t>
  </si>
  <si>
    <t>Second information request, question 8a</t>
  </si>
  <si>
    <t>Second information request, question 13</t>
  </si>
  <si>
    <t>Wettelijke rente CNL ('legal fixed interest rate')</t>
  </si>
  <si>
    <t>Interest rate for time-value of tariff corrections</t>
  </si>
  <si>
    <t>Wettelijke rente CNL</t>
  </si>
  <si>
    <t>https://wetten.overheid.nl/BWBR0030649/2011-11-18</t>
  </si>
  <si>
    <t>Calculation relevant cpi and interest factors</t>
  </si>
  <si>
    <t>Compound 'wettelijke rente' interest factor (1+%) for tariff corrections 2017 to 2022</t>
  </si>
  <si>
    <t>Compound 'wettelijke rente' interest factor (1+%) for tariff corrections 2020 to 2022</t>
  </si>
  <si>
    <t>Compound 'wettelijke rente' interest factor (1+%) for tariff corrections 2018 to 2022</t>
  </si>
  <si>
    <t>Compound 'wettelijke rente' interest factor (1+%) for tariff corrections 2019 to 2022</t>
  </si>
  <si>
    <t>Part 3: expansion investments (capacity add-on realized in 2019)</t>
  </si>
  <si>
    <t>Note: this figure is only relevant for profit sharing over 2022, it doesn't play a role in setting the tariff for 2022.</t>
  </si>
  <si>
    <t>Here ACM applies 'wettelijke rente'</t>
  </si>
  <si>
    <t>CBS data on CPI for 2020, corrected for Covid-impact</t>
  </si>
  <si>
    <t>https://www.cbs.nl/nl-nl/maatwerk/2021/45/cpi-caribisch-nederland-exclusief-covid-19-toeslagen</t>
  </si>
  <si>
    <t>Wettelijke rente CNL (legal fixed interest rate) for period 2017 - 2022</t>
  </si>
  <si>
    <t>Maatwerkanalyse CBS cpi CNL excl. Covid-subsidies (2017 = 100)</t>
  </si>
  <si>
    <t>Original cpi figure 2019 Q3</t>
  </si>
  <si>
    <t>CPI data CBS (2010=100)</t>
  </si>
  <si>
    <t>Alternative cpi figure ('afgeleid') 2020 Q3</t>
  </si>
  <si>
    <t>Other relevant information for result sheet</t>
  </si>
  <si>
    <t>Note: this figure is only relevant for communicating a material effect in tariff decision WEB for 2022, it doesn't play a role in setting the tariff for CGB for 2022.</t>
  </si>
  <si>
    <t>Total income level for 2022</t>
  </si>
  <si>
    <t>Calculation fuel component 2022</t>
  </si>
  <si>
    <t>Fuel component for January 2022</t>
  </si>
  <si>
    <t>Last update input CBS: 18 Nov 2021</t>
  </si>
  <si>
    <t>Estimated inflation for 2021 is corrected for impact of Covid subsidies (original figure was -4,8%)</t>
  </si>
  <si>
    <t>Calculation production price for CGB 2020, sheet 'Income calculation and prod. price', cell H67</t>
  </si>
  <si>
    <t>Calculation production price for CGB 2020, sheet 'Income calculation and prod. price', cell H58</t>
  </si>
  <si>
    <t>Calculation production price for CGB 2020, sheet 'Income calculation and prod. price', cell H64</t>
  </si>
  <si>
    <t>One-time correction for repairment of profit sharing over 2018, due to BoB 2018</t>
  </si>
  <si>
    <t>One-time correction for repairment of profit sharing over 2019, due to BoB 2019</t>
  </si>
  <si>
    <t>Draft calculation for BoB productieprijs CGB 2020</t>
  </si>
  <si>
    <t>Repairment of PS2019 in calculation production price 2021</t>
  </si>
  <si>
    <t>This effect is no longer 'part of BoB for 2020', but is presented as a 'stand alone' effect of the BoB over 2018</t>
  </si>
  <si>
    <t>This effect is presented as a 'stand alone' effect of the BoB over 2019</t>
  </si>
  <si>
    <t>This calculation also contains the effect of repairment of the profit sharing over 2017, due to the BoB 2017</t>
  </si>
  <si>
    <t>This approach holds for both the profit sharing over 2020 and the cost estimation that we make for the year 2022.</t>
  </si>
  <si>
    <t>Data on variable costs</t>
  </si>
  <si>
    <t>Other information and corrections in 2022</t>
  </si>
  <si>
    <t>On this sheet ACM presents the relevant data that is taken into account when estimating the production and costs for 2022: volumes and LFO price.</t>
  </si>
  <si>
    <t>Also, a list of one-time corrections that apply to the 2022 tariffs is presented here.</t>
  </si>
  <si>
    <t>Here ACM applies cpi</t>
  </si>
  <si>
    <t>Total capital costs estimation</t>
  </si>
  <si>
    <t>Original cost estimation for tariff 2020</t>
  </si>
  <si>
    <t>Calculation production price electricity ContourGlobal Bonaire for 2022</t>
  </si>
  <si>
    <t>Production price decision for ContourGlobal Bonaire for 2022</t>
  </si>
  <si>
    <t>This is net production; level is agreed upon between CGB and WEB</t>
  </si>
  <si>
    <t>Expected production level CGB 2022</t>
  </si>
  <si>
    <t>Estimated share variable OPEX (as % of total regular OPEX)</t>
  </si>
  <si>
    <t>Calculation production price for 2020</t>
  </si>
  <si>
    <t>First information request - answers to questions 1 to 7</t>
  </si>
  <si>
    <t>LFO price 29 November 2021</t>
  </si>
  <si>
    <t>ACM/18/034526</t>
  </si>
  <si>
    <t>Second information request - answers to questions 8 to 13</t>
  </si>
  <si>
    <t>First Information request 2021, question 4</t>
  </si>
  <si>
    <t>Production price CGB for 2020, sheet 'production price 2020', row 19</t>
  </si>
  <si>
    <t>Positive amount means: income was lower than costs for that month, so add positive amount to income in 2022</t>
  </si>
  <si>
    <t xml:space="preserve">    4) realized fuel yields of HFO and LFO (compared to assumed fuel yield), 5) actual monthly fuel prices (compared to fuel component on T-2 basis).</t>
  </si>
  <si>
    <t xml:space="preserve">Production price as calculated by CGB </t>
  </si>
  <si>
    <t>Production price excluding fuel component CGB (as set for full year)</t>
  </si>
  <si>
    <t xml:space="preserve">On this sheet ACM calculates the correction for the volume effect and the profit sharing effect. From the 2020 tariff decision on, ACM refined the calculation method by taking into account the share of total costs that can be considered as 'variable'. </t>
  </si>
  <si>
    <t>Estimated production volume for 2020 (net)</t>
  </si>
  <si>
    <t>Realized production volume 2020 (net)</t>
  </si>
  <si>
    <r>
      <t xml:space="preserve">As of the tariff decision for 2022, ACM will apply two different interest rates when translating amounts in USD to different price levels (years). For </t>
    </r>
    <r>
      <rPr>
        <u/>
        <sz val="10"/>
        <rFont val="Arial"/>
        <family val="2"/>
      </rPr>
      <t>cost estimations (only OPEX)</t>
    </r>
    <r>
      <rPr>
        <sz val="10"/>
        <rFont val="Arial"/>
        <family val="2"/>
      </rPr>
      <t xml:space="preserve"> ACM uses the cpi (as we did before); for </t>
    </r>
    <r>
      <rPr>
        <u/>
        <sz val="10"/>
        <rFont val="Arial"/>
        <family val="2"/>
      </rPr>
      <t>tariff corrections</t>
    </r>
    <r>
      <rPr>
        <sz val="10"/>
        <rFont val="Arial"/>
        <family val="2"/>
      </rPr>
      <t xml:space="preserve"> ACM applies the 'wettelijke rente'.</t>
    </r>
  </si>
  <si>
    <t xml:space="preserve">Income level for 2022 before corrections </t>
  </si>
  <si>
    <t>As CGB switched to 100% production with LFO in April 2020, ACM no longer applies separate production volumes and yields for HFO and LFO, as long as future production is foreseen to be fully based on LFO.</t>
  </si>
  <si>
    <t>Correction amount in price level 2020</t>
  </si>
  <si>
    <t>Total amount (in pl 2022) of BoB-effects over 2017-2019 (including repairment of PS-effects)</t>
  </si>
  <si>
    <t>Total amount (in pl 2022) of BoB-effects over 2017-2019</t>
  </si>
  <si>
    <t>ACM/UIT/564490</t>
  </si>
  <si>
    <t>Yes</t>
  </si>
  <si>
    <t>Decision date: December 10, 2021; Publication (foreseen): Mid December</t>
  </si>
  <si>
    <t>Condifential information is deleted in this public version of this file. The deleted data is flagged/explained in pink cell formatting</t>
  </si>
  <si>
    <t>Sent by CGB to ACM</t>
  </si>
  <si>
    <t>E-mail from CGB to ACM</t>
  </si>
  <si>
    <t>Separate calculation file - sent to CGB as attachment to the decicion for 2022</t>
  </si>
  <si>
    <t>Separate calculation file - shared with CGB</t>
  </si>
  <si>
    <t>Calculation not yet published (earlier version has been sent to CGB by e-mail)</t>
  </si>
  <si>
    <t>Received from CGB per e-mail</t>
  </si>
  <si>
    <t>confidential</t>
  </si>
  <si>
    <t>Annual account / info on expansions planned in tariff decision 2019</t>
  </si>
  <si>
    <t>As in the tariff decisions for 2020 and 2021, ACM still uses the assumption of 'continuous replacement' for the assets in part 2 of the asset base (estimation based on ultimo T-2 value); the capital costs of part 1 and 3 of the RAB are estimated using the 'medio forward-looking value' (which proofs to be very precise, as this reflects the actual costs in year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</si>
</sst>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0.0%"/>
    <numFmt numFmtId="165" formatCode="_ * #,##0_ ;_ * \-#,##0_ ;_ * &quot;-&quot;??_ ;_ @_ "/>
    <numFmt numFmtId="166" formatCode="_ * #,##0.0000_ ;_ * \-#,##0.0000_ ;_ * &quot;-&quot;??_ ;_ @_ "/>
    <numFmt numFmtId="167" formatCode="_ * #,##0.000_ ;_ * \-#,##0.000_ ;_ * &quot;-&quot;??_ ;_ @_ "/>
    <numFmt numFmtId="168" formatCode="_ * #,##0.0000_ ;_ * \-#,##0.0000_ ;_ * &quot;-&quot;_ ;_ @_ "/>
    <numFmt numFmtId="169" formatCode="0.0000"/>
    <numFmt numFmtId="170" formatCode="_ * #,##0.000_ ;_ * \-#,##0.000_ ;_ * &quot;-&quot;_ ;_ @_ "/>
    <numFmt numFmtId="171" formatCode="_ * #,##0.0_ ;_ * \-#,##0.0_ ;_ * &quot;-&quot;?_ ;_ @_ "/>
    <numFmt numFmtId="172" formatCode="_ * #,##0.0000_ ;_ * \-#,##0.0000_ ;_ * &quot;-&quot;????_ ;_ @_ "/>
  </numFmts>
  <fonts count="37"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rgb="FF00B0F0"/>
      <name val="Arial"/>
      <family val="2"/>
    </font>
    <font>
      <sz val="10"/>
      <color rgb="FF00B0F0"/>
      <name val="Arial"/>
      <family val="2"/>
    </font>
    <font>
      <u/>
      <sz val="10"/>
      <name val="Arial"/>
      <family val="2"/>
    </font>
    <font>
      <sz val="8"/>
      <name val="Arial"/>
      <family val="2"/>
    </font>
    <font>
      <sz val="10"/>
      <color rgb="FFFFC000"/>
      <name val="Arial"/>
      <family val="2"/>
    </font>
    <font>
      <sz val="9"/>
      <color indexed="81"/>
      <name val="Tahoma"/>
      <family val="2"/>
    </font>
    <font>
      <sz val="9.5"/>
      <color theme="1"/>
      <name val="Courier New"/>
      <family val="3"/>
    </font>
    <font>
      <sz val="9.5"/>
      <color theme="1"/>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theme="0" tint="-0.14999847407452621"/>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66">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7" borderId="1">
      <alignment vertical="top"/>
    </xf>
    <xf numFmtId="49" fontId="6" fillId="0" borderId="0">
      <alignment vertical="top"/>
    </xf>
    <xf numFmtId="41" fontId="5" fillId="10" borderId="0">
      <alignment vertical="top"/>
    </xf>
    <xf numFmtId="41" fontId="5" fillId="9" borderId="0">
      <alignment vertical="top"/>
    </xf>
    <xf numFmtId="41" fontId="5" fillId="8" borderId="0">
      <alignment vertical="top"/>
    </xf>
    <xf numFmtId="41" fontId="5" fillId="44" borderId="0">
      <alignment vertical="top"/>
    </xf>
    <xf numFmtId="41" fontId="5" fillId="7" borderId="0">
      <alignment vertical="top"/>
    </xf>
    <xf numFmtId="41" fontId="5" fillId="11" borderId="0">
      <alignment vertical="top"/>
    </xf>
    <xf numFmtId="49" fontId="10" fillId="0" borderId="0">
      <alignment vertical="top"/>
    </xf>
    <xf numFmtId="49" fontId="9" fillId="0" borderId="0">
      <alignment vertical="top"/>
    </xf>
    <xf numFmtId="0" fontId="15" fillId="13" borderId="3" applyNumberFormat="0" applyAlignment="0" applyProtection="0"/>
    <xf numFmtId="0" fontId="16" fillId="14" borderId="4" applyNumberFormat="0" applyAlignment="0" applyProtection="0"/>
    <xf numFmtId="0" fontId="17" fillId="14" borderId="3" applyNumberFormat="0" applyAlignment="0" applyProtection="0"/>
    <xf numFmtId="0" fontId="18" fillId="0" borderId="5" applyNumberFormat="0" applyFill="0" applyAlignment="0" applyProtection="0"/>
    <xf numFmtId="0" fontId="12" fillId="15" borderId="6" applyNumberFormat="0" applyAlignment="0" applyProtection="0"/>
    <xf numFmtId="0" fontId="14" fillId="16" borderId="7" applyNumberFormat="0" applyFont="0" applyAlignment="0" applyProtection="0"/>
    <xf numFmtId="0" fontId="19" fillId="0" borderId="0" applyNumberForma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4" fontId="14" fillId="0" borderId="0" applyFont="0" applyFill="0" applyBorder="0" applyAlignment="0" applyProtection="0"/>
    <xf numFmtId="42" fontId="14" fillId="0" borderId="0" applyFont="0" applyFill="0" applyBorder="0" applyAlignment="0" applyProtection="0"/>
    <xf numFmtId="9" fontId="14" fillId="0" borderId="0" applyFon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13" fillId="0" borderId="0" applyNumberFormat="0" applyFill="0" applyBorder="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27" fillId="41" borderId="0" applyNumberFormat="0" applyBorder="0" applyAlignment="0" applyProtection="0"/>
    <xf numFmtId="0" fontId="28" fillId="0" borderId="0" applyNumberFormat="0" applyFill="0" applyBorder="0" applyAlignment="0" applyProtection="0"/>
    <xf numFmtId="49" fontId="20" fillId="0" borderId="0" applyFill="0" applyBorder="0" applyAlignment="0" applyProtection="0"/>
    <xf numFmtId="43" fontId="5" fillId="42" borderId="0" applyNumberFormat="0">
      <alignment vertical="top"/>
    </xf>
    <xf numFmtId="43" fontId="5" fillId="9" borderId="0" applyFont="0" applyFill="0" applyBorder="0" applyAlignment="0" applyProtection="0">
      <alignment vertical="top"/>
    </xf>
    <xf numFmtId="10" fontId="5" fillId="0" borderId="0" applyFont="0" applyFill="0" applyBorder="0" applyAlignment="0" applyProtection="0">
      <alignment vertical="top"/>
    </xf>
    <xf numFmtId="41" fontId="5" fillId="43" borderId="0">
      <alignment vertical="top"/>
    </xf>
  </cellStyleXfs>
  <cellXfs count="104">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7" borderId="1" xfId="6">
      <alignment vertical="top"/>
    </xf>
    <xf numFmtId="0" fontId="5" fillId="0" borderId="0" xfId="4" applyFill="1">
      <alignment vertical="top"/>
    </xf>
    <xf numFmtId="0" fontId="5" fillId="0" borderId="2" xfId="4" applyBorder="1" applyAlignment="1">
      <alignment horizontal="left" vertical="top" wrapText="1"/>
    </xf>
    <xf numFmtId="0" fontId="10" fillId="0" borderId="0" xfId="4" applyFont="1" applyFill="1">
      <alignment vertical="top"/>
    </xf>
    <xf numFmtId="0" fontId="5" fillId="6" borderId="0" xfId="4" applyFill="1">
      <alignment vertical="top"/>
    </xf>
    <xf numFmtId="49" fontId="7" fillId="17" borderId="2" xfId="6" applyFont="1" applyBorder="1">
      <alignment vertical="top"/>
    </xf>
    <xf numFmtId="0" fontId="8" fillId="5" borderId="1" xfId="5" applyNumberFormat="1">
      <alignment vertical="top"/>
    </xf>
    <xf numFmtId="0" fontId="13" fillId="0" borderId="0" xfId="4" applyFont="1">
      <alignment vertical="top"/>
    </xf>
    <xf numFmtId="0" fontId="5" fillId="12" borderId="0" xfId="4" applyFill="1">
      <alignment vertical="top"/>
    </xf>
    <xf numFmtId="0" fontId="5" fillId="0" borderId="0" xfId="4" applyFont="1">
      <alignment vertical="top"/>
    </xf>
    <xf numFmtId="49" fontId="5" fillId="17" borderId="2" xfId="6" applyFont="1" applyBorder="1">
      <alignment vertical="top"/>
    </xf>
    <xf numFmtId="0" fontId="5" fillId="0" borderId="2" xfId="4" applyFont="1" applyBorder="1">
      <alignment vertical="top"/>
    </xf>
    <xf numFmtId="0" fontId="7" fillId="0" borderId="0" xfId="4" applyFont="1" applyFill="1" applyBorder="1" applyAlignment="1">
      <alignment horizontal="left" vertical="top" wrapText="1"/>
    </xf>
    <xf numFmtId="49" fontId="10" fillId="0" borderId="0" xfId="14">
      <alignment vertical="top"/>
    </xf>
    <xf numFmtId="49" fontId="6" fillId="0" borderId="0" xfId="7">
      <alignment vertical="top"/>
    </xf>
    <xf numFmtId="49" fontId="9" fillId="0" borderId="0" xfId="15">
      <alignment vertical="top"/>
    </xf>
    <xf numFmtId="41" fontId="5" fillId="10" borderId="0" xfId="8">
      <alignment vertical="top"/>
    </xf>
    <xf numFmtId="9" fontId="5" fillId="0" borderId="0" xfId="4" applyNumberFormat="1">
      <alignment vertical="top"/>
    </xf>
    <xf numFmtId="41" fontId="5" fillId="8" borderId="0" xfId="10">
      <alignment vertical="top"/>
    </xf>
    <xf numFmtId="41" fontId="5" fillId="44" borderId="0" xfId="11">
      <alignment vertical="top"/>
    </xf>
    <xf numFmtId="0" fontId="5" fillId="0" borderId="2" xfId="4" applyFont="1" applyBorder="1" applyAlignment="1">
      <alignment horizontal="left" vertical="top" wrapText="1"/>
    </xf>
    <xf numFmtId="41" fontId="5" fillId="11" borderId="0" xfId="13">
      <alignment vertical="top"/>
    </xf>
    <xf numFmtId="41" fontId="5" fillId="9" borderId="0" xfId="9">
      <alignment vertical="top"/>
    </xf>
    <xf numFmtId="49" fontId="29" fillId="0" borderId="0" xfId="14" applyFont="1">
      <alignment vertical="top"/>
    </xf>
    <xf numFmtId="0" fontId="30" fillId="0" borderId="0" xfId="4" applyFont="1">
      <alignment vertical="top"/>
    </xf>
    <xf numFmtId="49" fontId="5" fillId="17" borderId="0" xfId="6" applyFont="1" applyBorder="1">
      <alignment vertical="top"/>
    </xf>
    <xf numFmtId="49" fontId="12" fillId="5" borderId="1" xfId="5" applyFont="1">
      <alignment vertical="top"/>
    </xf>
    <xf numFmtId="0" fontId="5" fillId="0" borderId="2" xfId="4" applyFont="1" applyBorder="1" applyAlignment="1">
      <alignment horizontal="left" vertical="top" wrapText="1"/>
    </xf>
    <xf numFmtId="49" fontId="5" fillId="0" borderId="0" xfId="7" applyFont="1">
      <alignment vertical="top"/>
    </xf>
    <xf numFmtId="0" fontId="9" fillId="12" borderId="0" xfId="4" applyFont="1" applyFill="1">
      <alignment vertical="top"/>
    </xf>
    <xf numFmtId="164" fontId="5" fillId="44" borderId="0" xfId="64" applyNumberFormat="1" applyFill="1">
      <alignment vertical="top"/>
    </xf>
    <xf numFmtId="10" fontId="5" fillId="44" borderId="0" xfId="64" applyFill="1">
      <alignment vertical="top"/>
    </xf>
    <xf numFmtId="10" fontId="5" fillId="11" borderId="0" xfId="64" applyFill="1">
      <alignment vertical="top"/>
    </xf>
    <xf numFmtId="0" fontId="0" fillId="0" borderId="0" xfId="0" applyAlignment="1"/>
    <xf numFmtId="0" fontId="33" fillId="0" borderId="0" xfId="4" applyFont="1">
      <alignment vertical="top"/>
    </xf>
    <xf numFmtId="41" fontId="5" fillId="0" borderId="0" xfId="4" applyNumberFormat="1">
      <alignment vertical="top"/>
    </xf>
    <xf numFmtId="165" fontId="5" fillId="0" borderId="0" xfId="63" applyNumberFormat="1" applyFill="1">
      <alignment vertical="top"/>
    </xf>
    <xf numFmtId="165" fontId="5" fillId="0" borderId="0" xfId="4" applyNumberFormat="1">
      <alignment vertical="top"/>
    </xf>
    <xf numFmtId="0" fontId="31" fillId="0" borderId="0" xfId="4" applyFont="1">
      <alignment vertical="top"/>
    </xf>
    <xf numFmtId="14" fontId="5" fillId="44" borderId="0" xfId="11" applyNumberFormat="1">
      <alignment vertical="top"/>
    </xf>
    <xf numFmtId="165" fontId="5" fillId="44" borderId="0" xfId="11" applyNumberFormat="1">
      <alignment vertical="top"/>
    </xf>
    <xf numFmtId="0" fontId="5" fillId="0" borderId="0" xfId="4" applyAlignment="1">
      <alignment horizontal="left" vertical="top"/>
    </xf>
    <xf numFmtId="0" fontId="1" fillId="0" borderId="0" xfId="0" applyFont="1" applyAlignment="1"/>
    <xf numFmtId="0" fontId="5" fillId="0" borderId="0" xfId="0" applyFont="1" applyAlignment="1"/>
    <xf numFmtId="0" fontId="10" fillId="0" borderId="0" xfId="0" quotePrefix="1" applyFont="1" applyAlignment="1"/>
    <xf numFmtId="0" fontId="1" fillId="0" borderId="0" xfId="0" applyFont="1" applyAlignment="1">
      <alignment horizontal="left"/>
    </xf>
    <xf numFmtId="49" fontId="13" fillId="0" borderId="0" xfId="14" applyFont="1">
      <alignment vertical="top"/>
    </xf>
    <xf numFmtId="49" fontId="20" fillId="0" borderId="2" xfId="61" applyBorder="1" applyAlignment="1">
      <alignment vertical="top"/>
    </xf>
    <xf numFmtId="49" fontId="6" fillId="0" borderId="0" xfId="14" applyFont="1">
      <alignment vertical="top"/>
    </xf>
    <xf numFmtId="0" fontId="5" fillId="0" borderId="2" xfId="4" applyBorder="1" applyAlignment="1">
      <alignment horizontal="right" vertical="top"/>
    </xf>
    <xf numFmtId="49" fontId="6" fillId="17" borderId="1" xfId="6" applyAlignment="1">
      <alignment vertical="top" wrapText="1"/>
    </xf>
    <xf numFmtId="1" fontId="6" fillId="17" borderId="1" xfId="6" applyNumberFormat="1" applyAlignment="1">
      <alignment vertical="top" wrapText="1"/>
    </xf>
    <xf numFmtId="165" fontId="5" fillId="9" borderId="0" xfId="9" applyNumberFormat="1">
      <alignment vertical="top"/>
    </xf>
    <xf numFmtId="167" fontId="5" fillId="0" borderId="0" xfId="63" applyNumberFormat="1" applyFill="1">
      <alignment vertical="top"/>
    </xf>
    <xf numFmtId="166" fontId="5" fillId="44" borderId="0" xfId="11" applyNumberFormat="1">
      <alignment vertical="top"/>
    </xf>
    <xf numFmtId="0" fontId="26" fillId="0" borderId="0" xfId="0" applyFont="1" applyAlignment="1"/>
    <xf numFmtId="10" fontId="5" fillId="11" borderId="0" xfId="13" applyNumberFormat="1">
      <alignment vertical="top"/>
    </xf>
    <xf numFmtId="14" fontId="5" fillId="11" borderId="0" xfId="13" applyNumberFormat="1">
      <alignment vertical="top"/>
    </xf>
    <xf numFmtId="165" fontId="6" fillId="17" borderId="1" xfId="6" applyNumberFormat="1">
      <alignment vertical="top"/>
    </xf>
    <xf numFmtId="165" fontId="5" fillId="10" borderId="0" xfId="8" applyNumberFormat="1">
      <alignment vertical="top"/>
    </xf>
    <xf numFmtId="168" fontId="5" fillId="9" borderId="0" xfId="9" applyNumberFormat="1">
      <alignment vertical="top"/>
    </xf>
    <xf numFmtId="166" fontId="5" fillId="11" borderId="0" xfId="63" applyNumberFormat="1" applyFont="1" applyFill="1" applyAlignment="1">
      <alignment vertical="top"/>
    </xf>
    <xf numFmtId="165" fontId="5" fillId="11" borderId="0" xfId="63" applyNumberFormat="1" applyFont="1" applyFill="1" applyAlignment="1">
      <alignment vertical="top"/>
    </xf>
    <xf numFmtId="166" fontId="5" fillId="11" borderId="0" xfId="13" applyNumberFormat="1">
      <alignment vertical="top"/>
    </xf>
    <xf numFmtId="165" fontId="5" fillId="11" borderId="0" xfId="63" applyNumberFormat="1" applyFill="1">
      <alignment vertical="top"/>
    </xf>
    <xf numFmtId="168" fontId="5" fillId="44" borderId="0" xfId="11" applyNumberFormat="1">
      <alignment vertical="top"/>
    </xf>
    <xf numFmtId="168" fontId="5" fillId="8" borderId="0" xfId="10" applyNumberFormat="1">
      <alignment vertical="top"/>
    </xf>
    <xf numFmtId="166" fontId="5" fillId="42" borderId="0" xfId="62" applyNumberFormat="1">
      <alignment vertical="top"/>
    </xf>
    <xf numFmtId="165" fontId="5" fillId="42" borderId="0" xfId="62" applyNumberFormat="1">
      <alignment vertical="top"/>
    </xf>
    <xf numFmtId="166" fontId="5" fillId="11" borderId="0" xfId="63" applyNumberFormat="1" applyFill="1">
      <alignment vertical="top"/>
    </xf>
    <xf numFmtId="10" fontId="5" fillId="9" borderId="0" xfId="64" applyFill="1">
      <alignment vertical="top"/>
    </xf>
    <xf numFmtId="0" fontId="13" fillId="0" borderId="0" xfId="0" applyFont="1" applyAlignment="1"/>
    <xf numFmtId="166" fontId="5" fillId="10" borderId="0" xfId="63" applyNumberFormat="1" applyFont="1" applyFill="1" applyAlignment="1">
      <alignment vertical="top"/>
    </xf>
    <xf numFmtId="169" fontId="5" fillId="0" borderId="0" xfId="4" applyNumberFormat="1">
      <alignment vertical="top"/>
    </xf>
    <xf numFmtId="164" fontId="5" fillId="11" borderId="0" xfId="64" applyNumberFormat="1" applyFill="1">
      <alignment vertical="top"/>
    </xf>
    <xf numFmtId="0" fontId="35" fillId="0" borderId="0" xfId="0" applyFont="1" applyAlignment="1">
      <alignment horizontal="left" vertical="center" indent="8"/>
    </xf>
    <xf numFmtId="0" fontId="36" fillId="0" borderId="0" xfId="0" applyFont="1">
      <alignment vertical="top"/>
    </xf>
    <xf numFmtId="170" fontId="5" fillId="9" borderId="0" xfId="9" applyNumberFormat="1">
      <alignment vertical="top"/>
    </xf>
    <xf numFmtId="165" fontId="5" fillId="11" borderId="0" xfId="13" applyNumberFormat="1">
      <alignment vertical="top"/>
    </xf>
    <xf numFmtId="166" fontId="5" fillId="9" borderId="0" xfId="63" applyNumberFormat="1" applyFont="1" applyFill="1" applyAlignment="1">
      <alignment vertical="top"/>
    </xf>
    <xf numFmtId="49" fontId="10" fillId="0" borderId="2" xfId="14" applyBorder="1">
      <alignment vertical="top"/>
    </xf>
    <xf numFmtId="167" fontId="5" fillId="11" borderId="0" xfId="63" applyNumberFormat="1" applyFont="1" applyFill="1" applyAlignment="1">
      <alignment vertical="top"/>
    </xf>
    <xf numFmtId="0" fontId="0" fillId="0" borderId="2" xfId="0" applyBorder="1">
      <alignment vertical="top"/>
    </xf>
    <xf numFmtId="43" fontId="5" fillId="0" borderId="0" xfId="63" applyFill="1">
      <alignment vertical="top"/>
    </xf>
    <xf numFmtId="43" fontId="5" fillId="44" borderId="0" xfId="63" applyFill="1">
      <alignment vertical="top"/>
    </xf>
    <xf numFmtId="10" fontId="5" fillId="44" borderId="0" xfId="64" applyNumberFormat="1" applyFill="1">
      <alignment vertical="top"/>
    </xf>
    <xf numFmtId="171" fontId="5" fillId="0" borderId="0" xfId="4" applyNumberFormat="1">
      <alignment vertical="top"/>
    </xf>
    <xf numFmtId="172" fontId="5" fillId="0" borderId="0" xfId="4" applyNumberFormat="1">
      <alignment vertical="top"/>
    </xf>
    <xf numFmtId="49" fontId="5" fillId="0" borderId="0" xfId="14" applyFont="1">
      <alignment vertical="top"/>
    </xf>
    <xf numFmtId="0" fontId="5" fillId="0" borderId="0" xfId="4" applyBorder="1">
      <alignment vertical="top"/>
    </xf>
    <xf numFmtId="166" fontId="5" fillId="0" borderId="0" xfId="63" applyNumberFormat="1" applyFill="1">
      <alignment vertical="top"/>
    </xf>
    <xf numFmtId="164" fontId="5" fillId="44" borderId="0" xfId="11" applyNumberFormat="1">
      <alignment vertical="top"/>
    </xf>
    <xf numFmtId="164" fontId="5" fillId="10" borderId="0" xfId="8" applyNumberFormat="1">
      <alignment vertical="top"/>
    </xf>
    <xf numFmtId="0" fontId="5" fillId="0" borderId="2" xfId="4" applyBorder="1" applyAlignment="1">
      <alignment vertical="top" wrapText="1"/>
    </xf>
    <xf numFmtId="0" fontId="5" fillId="0" borderId="0" xfId="4" applyFont="1" applyFill="1" applyBorder="1" applyAlignment="1">
      <alignment horizontal="left" vertical="top" wrapText="1"/>
    </xf>
    <xf numFmtId="0" fontId="7" fillId="0" borderId="0" xfId="4" applyFont="1" applyFill="1" applyBorder="1" applyAlignment="1">
      <alignment horizontal="left" vertical="top" wrapText="1"/>
    </xf>
  </cellXfs>
  <cellStyles count="66">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5" xr:uid="{00000000-0005-0000-0000-00001F000000}"/>
    <cellStyle name="Cel Input" xfId="11" xr:uid="{00000000-0005-0000-0000-000020000000}"/>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4" builtinId="5"/>
    <cellStyle name="Standaard" xfId="0" builtinId="0" customBuiltin="1"/>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FFCC"/>
      <color rgb="FFFF66FF"/>
      <color rgb="FFE1FFE1"/>
      <color rgb="FF99FF99"/>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wacc-elektriciteit-en-drinkwater-caribisch-nederland-2020-2022" TargetMode="External"/><Relationship Id="rId7" Type="http://schemas.openxmlformats.org/officeDocument/2006/relationships/printerSettings" Target="../printerSettings/printerSettings3.bin"/><Relationship Id="rId2" Type="http://schemas.openxmlformats.org/officeDocument/2006/relationships/hyperlink" Target="https://www.cbs.nl/nl-nl/maatwerk/2021/45/cpi-caribisch-nederland-exclusief-covid-19-toeslagen" TargetMode="External"/><Relationship Id="rId1" Type="http://schemas.openxmlformats.org/officeDocument/2006/relationships/hyperlink" Target="https://opendata.cbs.nl/statline/" TargetMode="External"/><Relationship Id="rId6" Type="http://schemas.openxmlformats.org/officeDocument/2006/relationships/hyperlink" Target="https://www.acm.nl/nl/publicaties/beslissing-bezwaar-contourglobal-bonaire-tarieven-2018-en-2019" TargetMode="External"/><Relationship Id="rId5" Type="http://schemas.openxmlformats.org/officeDocument/2006/relationships/hyperlink" Target="https://www.acm.nl/nl/publicaties/wacc-elektriciteit-en-drinkwater-caribisch-nederland-2020-2022" TargetMode="External"/><Relationship Id="rId4" Type="http://schemas.openxmlformats.org/officeDocument/2006/relationships/hyperlink" Target="https://wetten.overheid.nl/BWBR0030649/2011-11-1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E42"/>
  <sheetViews>
    <sheetView showGridLines="0" tabSelected="1" zoomScale="85" zoomScaleNormal="85" workbookViewId="0">
      <pane ySplit="3" topLeftCell="A4" activePane="bottomLeft" state="frozen"/>
      <selection activeCell="O39" sqref="O39"/>
      <selection pane="bottomLeft" activeCell="A4" sqref="A4"/>
    </sheetView>
  </sheetViews>
  <sheetFormatPr defaultRowHeight="12.75" x14ac:dyDescent="0.2"/>
  <cols>
    <col min="1" max="1" width="4.7109375" style="2" customWidth="1"/>
    <col min="2" max="2" width="44.5703125" style="2" customWidth="1"/>
    <col min="3" max="3" width="91.85546875" style="2" customWidth="1"/>
    <col min="4" max="16384" width="9.140625" style="2"/>
  </cols>
  <sheetData>
    <row r="2" spans="2:5" s="7" customFormat="1" ht="18" x14ac:dyDescent="0.2">
      <c r="B2" s="7" t="s">
        <v>38</v>
      </c>
    </row>
    <row r="6" spans="2:5" x14ac:dyDescent="0.2">
      <c r="B6" s="3"/>
    </row>
    <row r="13" spans="2:5" s="8" customFormat="1" x14ac:dyDescent="0.2">
      <c r="B13" s="8" t="s">
        <v>2</v>
      </c>
    </row>
    <row r="14" spans="2:5" s="9" customFormat="1" x14ac:dyDescent="0.2"/>
    <row r="15" spans="2:5" x14ac:dyDescent="0.2">
      <c r="B15" s="28" t="s">
        <v>3</v>
      </c>
      <c r="C15" s="10" t="s">
        <v>392</v>
      </c>
      <c r="E15" s="21"/>
    </row>
    <row r="16" spans="2:5" x14ac:dyDescent="0.2">
      <c r="B16" s="28" t="s">
        <v>4</v>
      </c>
      <c r="C16" s="10" t="s">
        <v>441</v>
      </c>
    </row>
    <row r="17" spans="2:3" x14ac:dyDescent="0.2">
      <c r="B17" s="28" t="s">
        <v>39</v>
      </c>
      <c r="C17" s="10" t="s">
        <v>442</v>
      </c>
    </row>
    <row r="18" spans="2:3" x14ac:dyDescent="0.2">
      <c r="B18" s="28" t="s">
        <v>40</v>
      </c>
      <c r="C18" s="10" t="s">
        <v>466</v>
      </c>
    </row>
    <row r="19" spans="2:3" x14ac:dyDescent="0.2">
      <c r="B19" s="28" t="s">
        <v>50</v>
      </c>
      <c r="C19" s="28" t="s">
        <v>393</v>
      </c>
    </row>
    <row r="20" spans="2:3" x14ac:dyDescent="0.2">
      <c r="B20" s="28" t="s">
        <v>5</v>
      </c>
      <c r="C20" s="10"/>
    </row>
    <row r="22" spans="2:3" x14ac:dyDescent="0.2">
      <c r="B22" s="23" t="s">
        <v>54</v>
      </c>
    </row>
    <row r="23" spans="2:3" x14ac:dyDescent="0.2">
      <c r="B23" s="23"/>
    </row>
    <row r="25" spans="2:3" s="8" customFormat="1" x14ac:dyDescent="0.2">
      <c r="B25" s="8" t="s">
        <v>6</v>
      </c>
    </row>
    <row r="27" spans="2:3" x14ac:dyDescent="0.2">
      <c r="B27" s="28" t="s">
        <v>7</v>
      </c>
      <c r="C27" s="10" t="s">
        <v>467</v>
      </c>
    </row>
    <row r="28" spans="2:3" x14ac:dyDescent="0.2">
      <c r="B28" s="28" t="s">
        <v>52</v>
      </c>
      <c r="C28" s="10" t="s">
        <v>467</v>
      </c>
    </row>
    <row r="29" spans="2:3" x14ac:dyDescent="0.2">
      <c r="B29" s="35" t="s">
        <v>53</v>
      </c>
      <c r="C29" s="10" t="s">
        <v>468</v>
      </c>
    </row>
    <row r="30" spans="2:3" ht="25.5" x14ac:dyDescent="0.2">
      <c r="B30" s="28" t="s">
        <v>8</v>
      </c>
      <c r="C30" s="10" t="s">
        <v>467</v>
      </c>
    </row>
    <row r="31" spans="2:3" ht="25.5" x14ac:dyDescent="0.2">
      <c r="B31" s="28" t="s">
        <v>273</v>
      </c>
      <c r="C31" s="101" t="s">
        <v>469</v>
      </c>
    </row>
    <row r="32" spans="2:3" x14ac:dyDescent="0.2">
      <c r="B32" s="28" t="s">
        <v>5</v>
      </c>
      <c r="C32" s="10"/>
    </row>
    <row r="34" spans="2:4" x14ac:dyDescent="0.2">
      <c r="B34" s="102" t="s">
        <v>42</v>
      </c>
      <c r="C34" s="103"/>
      <c r="D34" s="5"/>
    </row>
    <row r="35" spans="2:4" x14ac:dyDescent="0.2">
      <c r="B35" s="20"/>
      <c r="C35" s="20"/>
      <c r="D35" s="5"/>
    </row>
    <row r="36" spans="2:4" x14ac:dyDescent="0.2">
      <c r="B36" s="15"/>
    </row>
    <row r="41" spans="2:4" x14ac:dyDescent="0.2">
      <c r="C41" s="31"/>
    </row>
    <row r="42" spans="2:4" x14ac:dyDescent="0.2">
      <c r="B42" s="4" t="s">
        <v>55</v>
      </c>
    </row>
  </sheetData>
  <mergeCells count="1">
    <mergeCell ref="B34:C34"/>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2:B3"/>
  <sheetViews>
    <sheetView showGridLines="0" zoomScale="85" zoomScaleNormal="85" workbookViewId="0"/>
  </sheetViews>
  <sheetFormatPr defaultRowHeight="12.75" x14ac:dyDescent="0.2"/>
  <cols>
    <col min="1" max="16384" width="9.140625" style="16"/>
  </cols>
  <sheetData>
    <row r="2" spans="2:2" x14ac:dyDescent="0.2">
      <c r="B2" s="37" t="s">
        <v>56</v>
      </c>
    </row>
    <row r="3" spans="2:2" x14ac:dyDescent="0.2">
      <c r="B3" s="37" t="s">
        <v>57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CC"/>
  </sheetPr>
  <dimension ref="B2:L218"/>
  <sheetViews>
    <sheetView showGridLines="0" zoomScale="85" zoomScaleNormal="85" workbookViewId="0">
      <pane xSplit="6" ySplit="13" topLeftCell="G14" activePane="bottomRight" state="frozen"/>
      <selection activeCell="R6" sqref="R6"/>
      <selection pane="topRight" activeCell="R6" sqref="R6"/>
      <selection pane="bottomLeft" activeCell="R6" sqref="R6"/>
      <selection pane="bottomRight" activeCell="G14" sqref="G14"/>
    </sheetView>
  </sheetViews>
  <sheetFormatPr defaultRowHeight="12.75" x14ac:dyDescent="0.2"/>
  <cols>
    <col min="1" max="1" width="4.7109375" style="2" customWidth="1"/>
    <col min="2" max="2" width="65.28515625" style="2" customWidth="1"/>
    <col min="3" max="3" width="4.7109375" style="2" customWidth="1"/>
    <col min="4"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23" width="13.7109375" style="2" customWidth="1"/>
    <col min="24" max="16384" width="9.140625" style="2"/>
  </cols>
  <sheetData>
    <row r="2" spans="2:10" s="14" customFormat="1" ht="18" x14ac:dyDescent="0.2">
      <c r="B2" s="14" t="s">
        <v>182</v>
      </c>
    </row>
    <row r="4" spans="2:10" x14ac:dyDescent="0.2">
      <c r="B4" s="22" t="s">
        <v>181</v>
      </c>
      <c r="C4" s="1"/>
      <c r="D4" s="1"/>
    </row>
    <row r="5" spans="2:10" x14ac:dyDescent="0.2">
      <c r="B5" s="2" t="s">
        <v>183</v>
      </c>
      <c r="H5" s="15"/>
    </row>
    <row r="6" spans="2:10" x14ac:dyDescent="0.2">
      <c r="B6" s="15"/>
      <c r="H6" s="15"/>
    </row>
    <row r="7" spans="2:10" x14ac:dyDescent="0.2">
      <c r="B7" s="23" t="s">
        <v>32</v>
      </c>
      <c r="H7" s="15"/>
    </row>
    <row r="8" spans="2:10" x14ac:dyDescent="0.2">
      <c r="B8" s="4" t="s">
        <v>478</v>
      </c>
    </row>
    <row r="9" spans="2:10" x14ac:dyDescent="0.2">
      <c r="B9" s="4" t="s">
        <v>433</v>
      </c>
    </row>
    <row r="12" spans="2:10" s="8" customFormat="1" x14ac:dyDescent="0.2">
      <c r="B12" s="8" t="s">
        <v>10</v>
      </c>
      <c r="F12" s="8" t="s">
        <v>33</v>
      </c>
      <c r="H12" s="8" t="s">
        <v>34</v>
      </c>
      <c r="J12" s="8" t="s">
        <v>36</v>
      </c>
    </row>
    <row r="15" spans="2:10" s="8" customFormat="1" x14ac:dyDescent="0.2">
      <c r="B15" s="8" t="s">
        <v>184</v>
      </c>
    </row>
    <row r="17" spans="2:8" x14ac:dyDescent="0.2">
      <c r="B17" s="36" t="s">
        <v>74</v>
      </c>
      <c r="F17" s="2" t="s">
        <v>66</v>
      </c>
      <c r="H17" s="64">
        <f>Parameters!H36</f>
        <v>6.2E-2</v>
      </c>
    </row>
    <row r="18" spans="2:8" x14ac:dyDescent="0.2">
      <c r="B18" s="2" t="s">
        <v>75</v>
      </c>
      <c r="F18" s="2" t="s">
        <v>66</v>
      </c>
      <c r="H18" s="64">
        <f>Parameters!H37</f>
        <v>6.08E-2</v>
      </c>
    </row>
    <row r="21" spans="2:8" x14ac:dyDescent="0.2">
      <c r="B21" s="1" t="s">
        <v>90</v>
      </c>
    </row>
    <row r="23" spans="2:8" x14ac:dyDescent="0.2">
      <c r="B23" s="2" t="s">
        <v>91</v>
      </c>
      <c r="F23" s="2" t="s">
        <v>92</v>
      </c>
      <c r="H23" s="29">
        <f>'Est. and realized costs 2020'!H40</f>
        <v>61734000</v>
      </c>
    </row>
    <row r="24" spans="2:8" x14ac:dyDescent="0.2">
      <c r="B24" s="2" t="s">
        <v>94</v>
      </c>
      <c r="F24" s="2" t="s">
        <v>92</v>
      </c>
      <c r="H24" s="29">
        <f>'Est. and realized costs 2020'!H41</f>
        <v>860000</v>
      </c>
    </row>
    <row r="25" spans="2:8" x14ac:dyDescent="0.2">
      <c r="B25" s="2" t="s">
        <v>95</v>
      </c>
      <c r="F25" s="2" t="s">
        <v>92</v>
      </c>
      <c r="H25" s="29">
        <f>'Est. and realized costs 2020'!H42</f>
        <v>18696000</v>
      </c>
    </row>
    <row r="26" spans="2:8" x14ac:dyDescent="0.2">
      <c r="B26" s="2" t="s">
        <v>97</v>
      </c>
      <c r="F26" s="2" t="s">
        <v>98</v>
      </c>
      <c r="H26" s="29">
        <f>'Est. and realized costs 2020'!H43</f>
        <v>15</v>
      </c>
    </row>
    <row r="29" spans="2:8" x14ac:dyDescent="0.2">
      <c r="B29" s="1" t="s">
        <v>99</v>
      </c>
    </row>
    <row r="31" spans="2:8" x14ac:dyDescent="0.2">
      <c r="B31" s="4" t="s">
        <v>100</v>
      </c>
    </row>
    <row r="32" spans="2:8" x14ac:dyDescent="0.2">
      <c r="B32" s="46" t="s">
        <v>185</v>
      </c>
    </row>
    <row r="33" spans="2:8" x14ac:dyDescent="0.2">
      <c r="B33" s="2" t="s">
        <v>102</v>
      </c>
      <c r="F33" s="2" t="s">
        <v>92</v>
      </c>
      <c r="H33" s="29">
        <f>'Est. and realized costs 2020'!H50</f>
        <v>773908</v>
      </c>
    </row>
    <row r="34" spans="2:8" x14ac:dyDescent="0.2">
      <c r="B34" s="2" t="s">
        <v>104</v>
      </c>
      <c r="F34" s="2" t="s">
        <v>105</v>
      </c>
      <c r="H34" s="29">
        <f>'Est. and realized costs 2020'!H51</f>
        <v>9.25</v>
      </c>
    </row>
    <row r="35" spans="2:8" x14ac:dyDescent="0.2">
      <c r="B35" s="2" t="s">
        <v>106</v>
      </c>
      <c r="F35" s="2" t="s">
        <v>107</v>
      </c>
      <c r="H35" s="65">
        <f>'Est. and realized costs 2020'!H52</f>
        <v>42491</v>
      </c>
    </row>
    <row r="37" spans="2:8" x14ac:dyDescent="0.2">
      <c r="B37" s="46" t="s">
        <v>108</v>
      </c>
    </row>
    <row r="38" spans="2:8" x14ac:dyDescent="0.2">
      <c r="B38" s="2" t="s">
        <v>102</v>
      </c>
      <c r="F38" s="2" t="s">
        <v>92</v>
      </c>
      <c r="H38" s="29">
        <f>'Est. and realized costs 2020'!H55</f>
        <v>59734</v>
      </c>
    </row>
    <row r="39" spans="2:8" x14ac:dyDescent="0.2">
      <c r="B39" s="2" t="s">
        <v>104</v>
      </c>
      <c r="F39" s="2" t="s">
        <v>105</v>
      </c>
      <c r="H39" s="29">
        <f>'Est. and realized costs 2020'!H56</f>
        <v>5</v>
      </c>
    </row>
    <row r="40" spans="2:8" x14ac:dyDescent="0.2">
      <c r="B40" s="2" t="s">
        <v>106</v>
      </c>
      <c r="F40" s="2" t="s">
        <v>107</v>
      </c>
      <c r="H40" s="65">
        <f>'Est. and realized costs 2020'!H57</f>
        <v>42538</v>
      </c>
    </row>
    <row r="42" spans="2:8" x14ac:dyDescent="0.2">
      <c r="B42" s="46" t="s">
        <v>109</v>
      </c>
    </row>
    <row r="43" spans="2:8" x14ac:dyDescent="0.2">
      <c r="B43" s="2" t="s">
        <v>102</v>
      </c>
      <c r="F43" s="2" t="s">
        <v>92</v>
      </c>
      <c r="H43" s="29">
        <f>'Est. and realized costs 2020'!H60</f>
        <v>6900</v>
      </c>
    </row>
    <row r="44" spans="2:8" x14ac:dyDescent="0.2">
      <c r="B44" s="2" t="s">
        <v>104</v>
      </c>
      <c r="F44" s="2" t="s">
        <v>105</v>
      </c>
      <c r="H44" s="29">
        <f>'Est. and realized costs 2020'!H61</f>
        <v>4</v>
      </c>
    </row>
    <row r="45" spans="2:8" x14ac:dyDescent="0.2">
      <c r="B45" s="2" t="s">
        <v>106</v>
      </c>
      <c r="F45" s="2" t="s">
        <v>107</v>
      </c>
      <c r="H45" s="65">
        <f>'Est. and realized costs 2020'!H62</f>
        <v>42536</v>
      </c>
    </row>
    <row r="48" spans="2:8" x14ac:dyDescent="0.2">
      <c r="B48" s="4" t="s">
        <v>110</v>
      </c>
    </row>
    <row r="49" spans="2:8" x14ac:dyDescent="0.2">
      <c r="B49" s="46" t="s">
        <v>108</v>
      </c>
    </row>
    <row r="50" spans="2:8" x14ac:dyDescent="0.2">
      <c r="B50" s="2" t="s">
        <v>102</v>
      </c>
      <c r="F50" s="2" t="s">
        <v>92</v>
      </c>
      <c r="H50" s="29">
        <f>'Est. and realized costs 2020'!H67</f>
        <v>6000</v>
      </c>
    </row>
    <row r="51" spans="2:8" x14ac:dyDescent="0.2">
      <c r="B51" s="2" t="s">
        <v>104</v>
      </c>
      <c r="F51" s="2" t="s">
        <v>105</v>
      </c>
      <c r="H51" s="29">
        <f>'Est. and realized costs 2020'!H68</f>
        <v>5</v>
      </c>
    </row>
    <row r="52" spans="2:8" x14ac:dyDescent="0.2">
      <c r="B52" s="2" t="s">
        <v>106</v>
      </c>
      <c r="F52" s="2" t="s">
        <v>107</v>
      </c>
      <c r="H52" s="65">
        <f>'Est. and realized costs 2020'!H69</f>
        <v>42751</v>
      </c>
    </row>
    <row r="54" spans="2:8" x14ac:dyDescent="0.2">
      <c r="B54" s="46" t="s">
        <v>108</v>
      </c>
    </row>
    <row r="55" spans="2:8" x14ac:dyDescent="0.2">
      <c r="B55" s="2" t="s">
        <v>102</v>
      </c>
      <c r="F55" s="2" t="s">
        <v>92</v>
      </c>
      <c r="H55" s="29">
        <f>'Est. and realized costs 2020'!H72</f>
        <v>4000</v>
      </c>
    </row>
    <row r="56" spans="2:8" x14ac:dyDescent="0.2">
      <c r="B56" s="2" t="s">
        <v>104</v>
      </c>
      <c r="F56" s="2" t="s">
        <v>105</v>
      </c>
      <c r="H56" s="29">
        <f>'Est. and realized costs 2020'!H73</f>
        <v>5</v>
      </c>
    </row>
    <row r="57" spans="2:8" x14ac:dyDescent="0.2">
      <c r="B57" s="2" t="s">
        <v>106</v>
      </c>
      <c r="F57" s="2" t="s">
        <v>107</v>
      </c>
      <c r="H57" s="65">
        <f>'Est. and realized costs 2020'!H74</f>
        <v>43050</v>
      </c>
    </row>
    <row r="60" spans="2:8" x14ac:dyDescent="0.2">
      <c r="B60" s="4" t="s">
        <v>112</v>
      </c>
    </row>
    <row r="61" spans="2:8" x14ac:dyDescent="0.2">
      <c r="B61" s="46" t="s">
        <v>113</v>
      </c>
    </row>
    <row r="62" spans="2:8" x14ac:dyDescent="0.2">
      <c r="B62" s="2" t="s">
        <v>102</v>
      </c>
      <c r="F62" s="2" t="s">
        <v>92</v>
      </c>
      <c r="H62" s="29">
        <f>'Est. and realized costs 2020'!H79</f>
        <v>7636</v>
      </c>
    </row>
    <row r="63" spans="2:8" x14ac:dyDescent="0.2">
      <c r="B63" s="2" t="s">
        <v>104</v>
      </c>
      <c r="F63" s="2" t="s">
        <v>105</v>
      </c>
      <c r="H63" s="29">
        <f>'Est. and realized costs 2020'!H80</f>
        <v>4</v>
      </c>
    </row>
    <row r="64" spans="2:8" x14ac:dyDescent="0.2">
      <c r="B64" s="2" t="s">
        <v>106</v>
      </c>
      <c r="F64" s="2" t="s">
        <v>107</v>
      </c>
      <c r="H64" s="65">
        <f>'Est. and realized costs 2020'!H81</f>
        <v>43451</v>
      </c>
    </row>
    <row r="67" spans="2:8" x14ac:dyDescent="0.2">
      <c r="B67" s="4" t="s">
        <v>114</v>
      </c>
    </row>
    <row r="68" spans="2:8" x14ac:dyDescent="0.2">
      <c r="B68" s="46" t="s">
        <v>109</v>
      </c>
    </row>
    <row r="69" spans="2:8" x14ac:dyDescent="0.2">
      <c r="B69" s="2" t="s">
        <v>102</v>
      </c>
      <c r="F69" s="2" t="s">
        <v>92</v>
      </c>
      <c r="H69" s="29">
        <f>'Est. and realized costs 2020'!H86</f>
        <v>12195</v>
      </c>
    </row>
    <row r="70" spans="2:8" x14ac:dyDescent="0.2">
      <c r="B70" s="2" t="s">
        <v>104</v>
      </c>
      <c r="F70" s="2" t="s">
        <v>105</v>
      </c>
      <c r="H70" s="29">
        <f>'Est. and realized costs 2020'!H87</f>
        <v>4</v>
      </c>
    </row>
    <row r="71" spans="2:8" x14ac:dyDescent="0.2">
      <c r="B71" s="2" t="s">
        <v>106</v>
      </c>
      <c r="F71" s="2" t="s">
        <v>107</v>
      </c>
      <c r="H71" s="65">
        <f>'Est. and realized costs 2020'!H88</f>
        <v>43647</v>
      </c>
    </row>
    <row r="74" spans="2:8" x14ac:dyDescent="0.2">
      <c r="B74" s="4" t="s">
        <v>138</v>
      </c>
    </row>
    <row r="75" spans="2:8" x14ac:dyDescent="0.2">
      <c r="B75" s="46" t="s">
        <v>109</v>
      </c>
    </row>
    <row r="76" spans="2:8" x14ac:dyDescent="0.2">
      <c r="B76" s="2" t="s">
        <v>102</v>
      </c>
      <c r="F76" s="2" t="s">
        <v>92</v>
      </c>
      <c r="H76" s="29">
        <f>'Est. and realized costs 2020'!H93</f>
        <v>4379</v>
      </c>
    </row>
    <row r="77" spans="2:8" x14ac:dyDescent="0.2">
      <c r="B77" s="2" t="s">
        <v>104</v>
      </c>
      <c r="F77" s="2" t="s">
        <v>105</v>
      </c>
      <c r="H77" s="29">
        <f>'Est. and realized costs 2020'!H94</f>
        <v>4</v>
      </c>
    </row>
    <row r="78" spans="2:8" x14ac:dyDescent="0.2">
      <c r="B78" s="2" t="s">
        <v>106</v>
      </c>
      <c r="F78" s="2" t="s">
        <v>107</v>
      </c>
      <c r="H78" s="65">
        <f>'Est. and realized costs 2020'!H95</f>
        <v>43921</v>
      </c>
    </row>
    <row r="81" spans="2:8" x14ac:dyDescent="0.2">
      <c r="B81" s="1" t="s">
        <v>207</v>
      </c>
    </row>
    <row r="83" spans="2:8" x14ac:dyDescent="0.2">
      <c r="B83" s="2" t="s">
        <v>115</v>
      </c>
      <c r="F83" s="2" t="s">
        <v>92</v>
      </c>
      <c r="H83" s="26" t="str">
        <f>'Est. and realized costs 2020'!H100</f>
        <v>confidential</v>
      </c>
    </row>
    <row r="84" spans="2:8" x14ac:dyDescent="0.2">
      <c r="B84" s="2" t="s">
        <v>104</v>
      </c>
      <c r="F84" s="2" t="s">
        <v>105</v>
      </c>
      <c r="H84" s="26" t="str">
        <f>'Est. and realized costs 2020'!H101</f>
        <v>confidential</v>
      </c>
    </row>
    <row r="85" spans="2:8" x14ac:dyDescent="0.2">
      <c r="B85" s="2" t="s">
        <v>106</v>
      </c>
      <c r="F85" s="2" t="s">
        <v>107</v>
      </c>
      <c r="H85" s="26" t="str">
        <f>'Est. and realized costs 2020'!H102</f>
        <v>confidential</v>
      </c>
    </row>
    <row r="87" spans="2:8" x14ac:dyDescent="0.2">
      <c r="B87" s="2" t="s">
        <v>381</v>
      </c>
      <c r="F87" s="2" t="s">
        <v>92</v>
      </c>
      <c r="H87" s="26" t="str">
        <f>'Est. and realized costs 2020'!H104</f>
        <v>confidential</v>
      </c>
    </row>
    <row r="88" spans="2:8" x14ac:dyDescent="0.2">
      <c r="B88" s="2" t="s">
        <v>104</v>
      </c>
      <c r="F88" s="2" t="s">
        <v>105</v>
      </c>
      <c r="H88" s="26" t="str">
        <f>'Est. and realized costs 2020'!H105</f>
        <v>confidential</v>
      </c>
    </row>
    <row r="89" spans="2:8" x14ac:dyDescent="0.2">
      <c r="B89" s="2" t="s">
        <v>106</v>
      </c>
      <c r="F89" s="2" t="s">
        <v>107</v>
      </c>
      <c r="H89" s="26" t="str">
        <f>'Est. and realized costs 2020'!H106</f>
        <v>confidential</v>
      </c>
    </row>
    <row r="92" spans="2:8" s="8" customFormat="1" x14ac:dyDescent="0.2">
      <c r="B92" s="8" t="s">
        <v>186</v>
      </c>
    </row>
    <row r="94" spans="2:8" x14ac:dyDescent="0.2">
      <c r="B94" s="1" t="s">
        <v>90</v>
      </c>
    </row>
    <row r="96" spans="2:8" x14ac:dyDescent="0.2">
      <c r="B96" s="2" t="s">
        <v>187</v>
      </c>
      <c r="F96" s="2" t="s">
        <v>92</v>
      </c>
      <c r="H96" s="30">
        <f>H23-H24</f>
        <v>60874000</v>
      </c>
    </row>
    <row r="97" spans="2:10" x14ac:dyDescent="0.2">
      <c r="B97" s="2" t="s">
        <v>188</v>
      </c>
      <c r="F97" s="2" t="s">
        <v>92</v>
      </c>
      <c r="H97" s="30">
        <f>H96-H25</f>
        <v>42178000</v>
      </c>
    </row>
    <row r="98" spans="2:10" x14ac:dyDescent="0.2">
      <c r="B98" s="2" t="s">
        <v>189</v>
      </c>
      <c r="F98" s="2" t="s">
        <v>92</v>
      </c>
      <c r="H98" s="30">
        <f>H97/H26</f>
        <v>2811866.6666666665</v>
      </c>
    </row>
    <row r="100" spans="2:10" x14ac:dyDescent="0.2">
      <c r="B100" s="2" t="s">
        <v>190</v>
      </c>
      <c r="F100" s="2" t="s">
        <v>92</v>
      </c>
      <c r="H100" s="26">
        <f>H96-(DATE(2016,1,1)-DATE(2010,8,20))/365.25*H98</f>
        <v>45784996.121378049</v>
      </c>
      <c r="J100" s="45" t="s">
        <v>191</v>
      </c>
    </row>
    <row r="101" spans="2:10" x14ac:dyDescent="0.2">
      <c r="B101" s="2" t="s">
        <v>197</v>
      </c>
      <c r="F101" s="2" t="s">
        <v>92</v>
      </c>
      <c r="H101" s="60">
        <f>H100-(2019-2015)*H98</f>
        <v>34537529.454711385</v>
      </c>
    </row>
    <row r="102" spans="2:10" x14ac:dyDescent="0.2">
      <c r="B102" s="2" t="s">
        <v>198</v>
      </c>
      <c r="F102" s="2" t="s">
        <v>92</v>
      </c>
      <c r="H102" s="60">
        <f>H100-(2020-2015)*H98</f>
        <v>31725662.788044717</v>
      </c>
    </row>
    <row r="103" spans="2:10" x14ac:dyDescent="0.2">
      <c r="B103" s="2" t="s">
        <v>201</v>
      </c>
      <c r="F103" s="2" t="s">
        <v>92</v>
      </c>
      <c r="H103" s="60">
        <f>AVERAGE(H101,H102)</f>
        <v>33131596.121378049</v>
      </c>
    </row>
    <row r="104" spans="2:10" x14ac:dyDescent="0.2">
      <c r="B104" s="2" t="s">
        <v>199</v>
      </c>
      <c r="F104" s="2" t="s">
        <v>92</v>
      </c>
      <c r="H104" s="60">
        <f>H100-(2021-2015)*H98</f>
        <v>28913796.121378049</v>
      </c>
      <c r="J104" s="43"/>
    </row>
    <row r="105" spans="2:10" x14ac:dyDescent="0.2">
      <c r="B105" s="2" t="s">
        <v>200</v>
      </c>
      <c r="F105" s="2" t="s">
        <v>92</v>
      </c>
      <c r="H105" s="60">
        <f>H100-(2022-2015)*H98</f>
        <v>26101929.454711385</v>
      </c>
    </row>
    <row r="106" spans="2:10" x14ac:dyDescent="0.2">
      <c r="B106" s="2" t="s">
        <v>202</v>
      </c>
      <c r="F106" s="2" t="s">
        <v>92</v>
      </c>
      <c r="H106" s="60">
        <f>AVERAGE(H104,H105)</f>
        <v>27507862.788044717</v>
      </c>
    </row>
    <row r="109" spans="2:10" x14ac:dyDescent="0.2">
      <c r="B109" s="1" t="s">
        <v>192</v>
      </c>
    </row>
    <row r="111" spans="2:10" x14ac:dyDescent="0.2">
      <c r="B111" s="4" t="s">
        <v>100</v>
      </c>
    </row>
    <row r="112" spans="2:10" x14ac:dyDescent="0.2">
      <c r="B112" s="46" t="s">
        <v>101</v>
      </c>
    </row>
    <row r="113" spans="2:10" x14ac:dyDescent="0.2">
      <c r="B113" s="2" t="s">
        <v>193</v>
      </c>
      <c r="F113" s="2" t="s">
        <v>92</v>
      </c>
      <c r="H113" s="60">
        <f>H33/H34</f>
        <v>83665.729729729734</v>
      </c>
    </row>
    <row r="114" spans="2:10" x14ac:dyDescent="0.2">
      <c r="B114" s="2" t="s">
        <v>203</v>
      </c>
      <c r="F114" s="2" t="s">
        <v>92</v>
      </c>
      <c r="H114" s="60">
        <f>H33-(DATE(2021,1,1)-H35)/365.25*H113</f>
        <v>383124.33150193316</v>
      </c>
    </row>
    <row r="116" spans="2:10" x14ac:dyDescent="0.2">
      <c r="B116" s="46" t="s">
        <v>108</v>
      </c>
    </row>
    <row r="117" spans="2:10" x14ac:dyDescent="0.2">
      <c r="B117" s="2" t="s">
        <v>193</v>
      </c>
      <c r="F117" s="2" t="s">
        <v>92</v>
      </c>
      <c r="H117" s="60">
        <f>H38/H39</f>
        <v>11946.8</v>
      </c>
    </row>
    <row r="118" spans="2:10" x14ac:dyDescent="0.2">
      <c r="B118" s="2" t="s">
        <v>203</v>
      </c>
      <c r="F118" s="2" t="s">
        <v>92</v>
      </c>
      <c r="H118" s="60">
        <f>H38-(DATE(2021,1,1)-H40)/365.25*H117</f>
        <v>5470.5059548254721</v>
      </c>
    </row>
    <row r="120" spans="2:10" x14ac:dyDescent="0.2">
      <c r="B120" s="46" t="s">
        <v>109</v>
      </c>
    </row>
    <row r="121" spans="2:10" x14ac:dyDescent="0.2">
      <c r="B121" s="2" t="s">
        <v>193</v>
      </c>
      <c r="F121" s="2" t="s">
        <v>92</v>
      </c>
      <c r="H121" s="60">
        <f>H43/H44</f>
        <v>1725</v>
      </c>
    </row>
    <row r="122" spans="2:10" x14ac:dyDescent="0.2">
      <c r="B122" s="2" t="s">
        <v>233</v>
      </c>
      <c r="F122" s="2" t="s">
        <v>92</v>
      </c>
      <c r="H122" s="60">
        <f>H43-(DATE(2020,1,1)-H45)/365.25*H121</f>
        <v>783.98357289527667</v>
      </c>
    </row>
    <row r="123" spans="2:10" x14ac:dyDescent="0.2">
      <c r="B123" s="2" t="s">
        <v>237</v>
      </c>
      <c r="F123" s="2" t="s">
        <v>92</v>
      </c>
      <c r="H123" s="29">
        <f>H122</f>
        <v>783.98357289527667</v>
      </c>
    </row>
    <row r="124" spans="2:10" x14ac:dyDescent="0.2">
      <c r="B124" s="2" t="s">
        <v>203</v>
      </c>
      <c r="F124" s="2" t="s">
        <v>92</v>
      </c>
      <c r="H124" s="60">
        <f>H122-H123</f>
        <v>0</v>
      </c>
    </row>
    <row r="125" spans="2:10" x14ac:dyDescent="0.2">
      <c r="J125" s="44"/>
    </row>
    <row r="126" spans="2:10" x14ac:dyDescent="0.2">
      <c r="J126" s="44"/>
    </row>
    <row r="127" spans="2:10" x14ac:dyDescent="0.2">
      <c r="B127" s="4" t="s">
        <v>110</v>
      </c>
      <c r="J127" s="44"/>
    </row>
    <row r="128" spans="2:10" x14ac:dyDescent="0.2">
      <c r="B128" s="46" t="s">
        <v>108</v>
      </c>
      <c r="J128" s="44"/>
    </row>
    <row r="129" spans="2:10" x14ac:dyDescent="0.2">
      <c r="B129" s="2" t="s">
        <v>193</v>
      </c>
      <c r="F129" s="2" t="s">
        <v>92</v>
      </c>
      <c r="H129" s="60">
        <f>H50/H51</f>
        <v>1200</v>
      </c>
      <c r="J129" s="44"/>
    </row>
    <row r="130" spans="2:10" x14ac:dyDescent="0.2">
      <c r="B130" s="2" t="s">
        <v>204</v>
      </c>
      <c r="F130" s="2" t="s">
        <v>92</v>
      </c>
      <c r="H130" s="60">
        <f>H50-(DATE(2021,1,1)-H52)/365.25*H129</f>
        <v>1249.2813141683773</v>
      </c>
      <c r="J130" s="44"/>
    </row>
    <row r="131" spans="2:10" x14ac:dyDescent="0.2">
      <c r="J131" s="44"/>
    </row>
    <row r="132" spans="2:10" x14ac:dyDescent="0.2">
      <c r="B132" s="46" t="s">
        <v>108</v>
      </c>
      <c r="J132" s="44"/>
    </row>
    <row r="133" spans="2:10" x14ac:dyDescent="0.2">
      <c r="B133" s="2" t="s">
        <v>193</v>
      </c>
      <c r="F133" s="2" t="s">
        <v>92</v>
      </c>
      <c r="H133" s="60">
        <f>H55/H56</f>
        <v>800</v>
      </c>
      <c r="J133" s="44"/>
    </row>
    <row r="134" spans="2:10" x14ac:dyDescent="0.2">
      <c r="B134" s="2" t="s">
        <v>204</v>
      </c>
      <c r="F134" s="2" t="s">
        <v>92</v>
      </c>
      <c r="H134" s="60">
        <f>H55-(DATE(2021,1,1)-H57)/365.25*H133</f>
        <v>1487.748117727584</v>
      </c>
      <c r="J134" s="44"/>
    </row>
    <row r="135" spans="2:10" x14ac:dyDescent="0.2">
      <c r="J135" s="44"/>
    </row>
    <row r="136" spans="2:10" x14ac:dyDescent="0.2">
      <c r="J136" s="44"/>
    </row>
    <row r="137" spans="2:10" x14ac:dyDescent="0.2">
      <c r="B137" s="4" t="s">
        <v>112</v>
      </c>
      <c r="J137" s="44"/>
    </row>
    <row r="138" spans="2:10" x14ac:dyDescent="0.2">
      <c r="B138" s="46" t="s">
        <v>113</v>
      </c>
      <c r="J138" s="44"/>
    </row>
    <row r="139" spans="2:10" x14ac:dyDescent="0.2">
      <c r="B139" s="2" t="s">
        <v>193</v>
      </c>
      <c r="F139" s="2" t="s">
        <v>92</v>
      </c>
      <c r="H139" s="60">
        <f>H62/H63</f>
        <v>1909</v>
      </c>
      <c r="J139" s="44"/>
    </row>
    <row r="140" spans="2:10" x14ac:dyDescent="0.2">
      <c r="B140" s="2" t="s">
        <v>205</v>
      </c>
      <c r="F140" s="2" t="s">
        <v>92</v>
      </c>
      <c r="H140" s="60">
        <f>H62-(DATE(2021,1,1)-H64)/365.25*H139</f>
        <v>3736.9883641341548</v>
      </c>
      <c r="J140" s="44"/>
    </row>
    <row r="141" spans="2:10" x14ac:dyDescent="0.2">
      <c r="J141" s="44"/>
    </row>
    <row r="142" spans="2:10" x14ac:dyDescent="0.2">
      <c r="J142" s="44"/>
    </row>
    <row r="143" spans="2:10" x14ac:dyDescent="0.2">
      <c r="B143" s="4" t="s">
        <v>114</v>
      </c>
      <c r="J143" s="44"/>
    </row>
    <row r="144" spans="2:10" x14ac:dyDescent="0.2">
      <c r="B144" s="46" t="s">
        <v>109</v>
      </c>
      <c r="J144" s="44"/>
    </row>
    <row r="145" spans="2:10" x14ac:dyDescent="0.2">
      <c r="B145" s="2" t="s">
        <v>193</v>
      </c>
      <c r="F145" s="2" t="s">
        <v>92</v>
      </c>
      <c r="H145" s="60">
        <f>H69/H70</f>
        <v>3048.75</v>
      </c>
      <c r="J145" s="44"/>
    </row>
    <row r="146" spans="2:10" x14ac:dyDescent="0.2">
      <c r="B146" s="2" t="s">
        <v>206</v>
      </c>
      <c r="F146" s="2" t="s">
        <v>92</v>
      </c>
      <c r="H146" s="60">
        <f>H69-(DATE(2021,1,1)-H71)/365.25*H145</f>
        <v>7604.1375770020531</v>
      </c>
      <c r="J146" s="44"/>
    </row>
    <row r="147" spans="2:10" x14ac:dyDescent="0.2">
      <c r="J147" s="44"/>
    </row>
    <row r="148" spans="2:10" x14ac:dyDescent="0.2">
      <c r="J148" s="44"/>
    </row>
    <row r="149" spans="2:10" x14ac:dyDescent="0.2">
      <c r="B149" s="4" t="s">
        <v>138</v>
      </c>
      <c r="J149" s="44"/>
    </row>
    <row r="150" spans="2:10" x14ac:dyDescent="0.2">
      <c r="B150" s="46" t="s">
        <v>109</v>
      </c>
      <c r="J150" s="44"/>
    </row>
    <row r="151" spans="2:10" x14ac:dyDescent="0.2">
      <c r="B151" s="2" t="s">
        <v>193</v>
      </c>
      <c r="F151" s="2" t="s">
        <v>92</v>
      </c>
      <c r="H151" s="60">
        <f>H76/H77</f>
        <v>1094.75</v>
      </c>
      <c r="J151" s="44"/>
    </row>
    <row r="152" spans="2:10" x14ac:dyDescent="0.2">
      <c r="B152" s="2" t="s">
        <v>234</v>
      </c>
      <c r="F152" s="2" t="s">
        <v>92</v>
      </c>
      <c r="H152" s="60">
        <f>H76-(DATE(2021,1,1)-H78)/365.25*H151</f>
        <v>3551.7556468172484</v>
      </c>
      <c r="J152" s="44"/>
    </row>
    <row r="153" spans="2:10" x14ac:dyDescent="0.2">
      <c r="B153" s="2" t="s">
        <v>237</v>
      </c>
      <c r="F153" s="2" t="s">
        <v>92</v>
      </c>
      <c r="H153" s="60">
        <f>H76-H152</f>
        <v>827.24435318275164</v>
      </c>
      <c r="J153" s="44"/>
    </row>
    <row r="154" spans="2:10" x14ac:dyDescent="0.2">
      <c r="J154" s="44"/>
    </row>
    <row r="155" spans="2:10" x14ac:dyDescent="0.2">
      <c r="J155" s="44"/>
    </row>
    <row r="156" spans="2:10" x14ac:dyDescent="0.2">
      <c r="B156" s="4" t="s">
        <v>194</v>
      </c>
      <c r="J156" s="44"/>
    </row>
    <row r="157" spans="2:10" x14ac:dyDescent="0.2">
      <c r="B157" s="2" t="s">
        <v>257</v>
      </c>
      <c r="F157" s="2" t="s">
        <v>92</v>
      </c>
      <c r="H157" s="30">
        <f>H114+H118+H124+H130+H134+H140+H146+H152</f>
        <v>406224.74847660807</v>
      </c>
      <c r="J157" s="44"/>
    </row>
    <row r="158" spans="2:10" x14ac:dyDescent="0.2">
      <c r="B158" s="2" t="s">
        <v>258</v>
      </c>
      <c r="F158" s="2" t="s">
        <v>92</v>
      </c>
      <c r="H158" s="30">
        <f>H113+H117+H123+H129+H133+H139+H145+H153</f>
        <v>104181.50765580776</v>
      </c>
      <c r="J158" s="44"/>
    </row>
    <row r="159" spans="2:10" x14ac:dyDescent="0.2">
      <c r="J159" s="44"/>
    </row>
    <row r="160" spans="2:10" x14ac:dyDescent="0.2">
      <c r="J160" s="44"/>
    </row>
    <row r="161" spans="2:10" x14ac:dyDescent="0.2">
      <c r="B161" s="1" t="s">
        <v>406</v>
      </c>
      <c r="J161" s="44"/>
    </row>
    <row r="162" spans="2:10" x14ac:dyDescent="0.2">
      <c r="J162" s="44"/>
    </row>
    <row r="163" spans="2:10" x14ac:dyDescent="0.2">
      <c r="B163" s="46" t="s">
        <v>241</v>
      </c>
      <c r="J163" s="44"/>
    </row>
    <row r="164" spans="2:10" x14ac:dyDescent="0.2">
      <c r="B164" s="2" t="s">
        <v>193</v>
      </c>
      <c r="F164" s="2" t="s">
        <v>92</v>
      </c>
      <c r="H164" s="26" t="e">
        <f>H83/H84</f>
        <v>#VALUE!</v>
      </c>
      <c r="J164" s="44"/>
    </row>
    <row r="165" spans="2:10" x14ac:dyDescent="0.2">
      <c r="B165" s="2" t="s">
        <v>235</v>
      </c>
      <c r="F165" s="2" t="s">
        <v>92</v>
      </c>
      <c r="H165" s="26" t="e">
        <f>H83-(DATE(2020,1,1)-H85)/365.25*H164</f>
        <v>#VALUE!</v>
      </c>
      <c r="J165" s="44"/>
    </row>
    <row r="166" spans="2:10" x14ac:dyDescent="0.2">
      <c r="B166" s="2" t="s">
        <v>236</v>
      </c>
      <c r="F166" s="2" t="s">
        <v>92</v>
      </c>
      <c r="H166" s="26" t="e">
        <f>H83-(DATE(2021,1,1)-H85)/365.25*H164</f>
        <v>#VALUE!</v>
      </c>
      <c r="J166" s="44"/>
    </row>
    <row r="167" spans="2:10" x14ac:dyDescent="0.2">
      <c r="B167" s="2" t="s">
        <v>243</v>
      </c>
      <c r="F167" s="2" t="s">
        <v>92</v>
      </c>
      <c r="H167" s="26" t="e">
        <f>AVERAGE(H165:H166)</f>
        <v>#VALUE!</v>
      </c>
      <c r="J167" s="44"/>
    </row>
    <row r="168" spans="2:10" x14ac:dyDescent="0.2">
      <c r="B168" s="2" t="s">
        <v>237</v>
      </c>
      <c r="F168" s="2" t="s">
        <v>92</v>
      </c>
      <c r="H168" s="26" t="e">
        <f>H164</f>
        <v>#VALUE!</v>
      </c>
      <c r="J168" s="44"/>
    </row>
    <row r="169" spans="2:10" x14ac:dyDescent="0.2">
      <c r="J169" s="44"/>
    </row>
    <row r="170" spans="2:10" x14ac:dyDescent="0.2">
      <c r="B170" s="2" t="s">
        <v>238</v>
      </c>
      <c r="F170" s="2" t="s">
        <v>92</v>
      </c>
      <c r="H170" s="26" t="e">
        <f>H83-(DATE(2022,1,1)-H85)/365.25*H164</f>
        <v>#VALUE!</v>
      </c>
      <c r="J170" s="44"/>
    </row>
    <row r="171" spans="2:10" x14ac:dyDescent="0.2">
      <c r="B171" s="2" t="s">
        <v>239</v>
      </c>
      <c r="F171" s="2" t="s">
        <v>92</v>
      </c>
      <c r="H171" s="26" t="e">
        <f>H83-(DATE(2023,1,1)-H85)/365.25*H164</f>
        <v>#VALUE!</v>
      </c>
      <c r="J171" s="44"/>
    </row>
    <row r="172" spans="2:10" x14ac:dyDescent="0.2">
      <c r="B172" s="2" t="s">
        <v>240</v>
      </c>
      <c r="F172" s="2" t="s">
        <v>92</v>
      </c>
      <c r="H172" s="26" t="e">
        <f>AVERAGE(H170:H171)</f>
        <v>#VALUE!</v>
      </c>
      <c r="J172" s="44"/>
    </row>
    <row r="173" spans="2:10" x14ac:dyDescent="0.2">
      <c r="J173" s="44"/>
    </row>
    <row r="174" spans="2:10" x14ac:dyDescent="0.2">
      <c r="B174" s="46" t="s">
        <v>242</v>
      </c>
      <c r="J174" s="44"/>
    </row>
    <row r="175" spans="2:10" x14ac:dyDescent="0.2">
      <c r="B175" s="2" t="s">
        <v>193</v>
      </c>
      <c r="F175" s="2" t="s">
        <v>92</v>
      </c>
      <c r="H175" s="26" t="e">
        <f>H87/H88</f>
        <v>#VALUE!</v>
      </c>
      <c r="J175" s="44"/>
    </row>
    <row r="176" spans="2:10" x14ac:dyDescent="0.2">
      <c r="B176" s="2" t="s">
        <v>235</v>
      </c>
      <c r="F176" s="2" t="s">
        <v>92</v>
      </c>
      <c r="H176" s="26" t="e">
        <f>H87-(DATE(2020,1,1)-H89)/365.25*H175</f>
        <v>#VALUE!</v>
      </c>
      <c r="J176" s="44"/>
    </row>
    <row r="177" spans="2:12" x14ac:dyDescent="0.2">
      <c r="B177" s="2" t="s">
        <v>236</v>
      </c>
      <c r="F177" s="2" t="s">
        <v>92</v>
      </c>
      <c r="H177" s="26" t="e">
        <f>H87-(DATE(2021,1,1)-H89)/365.25*H175</f>
        <v>#VALUE!</v>
      </c>
      <c r="J177" s="44"/>
    </row>
    <row r="178" spans="2:12" x14ac:dyDescent="0.2">
      <c r="B178" s="2" t="s">
        <v>243</v>
      </c>
      <c r="F178" s="2" t="s">
        <v>92</v>
      </c>
      <c r="H178" s="26" t="e">
        <f>AVERAGE(H176:H177)</f>
        <v>#VALUE!</v>
      </c>
      <c r="J178" s="44"/>
    </row>
    <row r="179" spans="2:12" x14ac:dyDescent="0.2">
      <c r="B179" s="2" t="s">
        <v>237</v>
      </c>
      <c r="F179" s="2" t="s">
        <v>92</v>
      </c>
      <c r="H179" s="26" t="e">
        <f>H175</f>
        <v>#VALUE!</v>
      </c>
      <c r="J179" s="44"/>
      <c r="L179" s="43"/>
    </row>
    <row r="180" spans="2:12" x14ac:dyDescent="0.2">
      <c r="J180" s="44"/>
    </row>
    <row r="181" spans="2:12" x14ac:dyDescent="0.2">
      <c r="B181" s="2" t="s">
        <v>238</v>
      </c>
      <c r="F181" s="2" t="s">
        <v>92</v>
      </c>
      <c r="H181" s="26" t="e">
        <f>H87-(DATE(2022,1,1)-H89)/365.25*H175</f>
        <v>#VALUE!</v>
      </c>
      <c r="J181" s="44"/>
    </row>
    <row r="182" spans="2:12" x14ac:dyDescent="0.2">
      <c r="B182" s="2" t="s">
        <v>239</v>
      </c>
      <c r="F182" s="2" t="s">
        <v>92</v>
      </c>
      <c r="H182" s="26" t="e">
        <f>H87-(DATE(2023,1,1)-H89)/365.25*H175</f>
        <v>#VALUE!</v>
      </c>
      <c r="J182" s="44"/>
    </row>
    <row r="183" spans="2:12" x14ac:dyDescent="0.2">
      <c r="B183" s="2" t="s">
        <v>240</v>
      </c>
      <c r="F183" s="2" t="s">
        <v>92</v>
      </c>
      <c r="H183" s="26" t="e">
        <f>AVERAGE(H181:H182)</f>
        <v>#VALUE!</v>
      </c>
      <c r="J183" s="44"/>
    </row>
    <row r="186" spans="2:12" s="8" customFormat="1" x14ac:dyDescent="0.2">
      <c r="B186" s="8" t="s">
        <v>244</v>
      </c>
      <c r="H186" s="66"/>
    </row>
    <row r="187" spans="2:12" ht="12" customHeight="1" x14ac:dyDescent="0.2"/>
    <row r="188" spans="2:12" ht="12" customHeight="1" x14ac:dyDescent="0.2">
      <c r="B188" s="1" t="s">
        <v>195</v>
      </c>
    </row>
    <row r="189" spans="2:12" ht="12" customHeight="1" x14ac:dyDescent="0.2">
      <c r="B189" s="2" t="s">
        <v>245</v>
      </c>
      <c r="F189" s="2" t="s">
        <v>92</v>
      </c>
      <c r="H189" s="26">
        <f>H103+H157+20721969.8836413</f>
        <v>54259790.753495961</v>
      </c>
    </row>
    <row r="190" spans="2:12" ht="12" customHeight="1" x14ac:dyDescent="0.2">
      <c r="B190" s="2" t="s">
        <v>246</v>
      </c>
      <c r="F190" s="2" t="s">
        <v>92</v>
      </c>
      <c r="H190" s="26">
        <f>H98+H158+1466000</f>
        <v>4382048.1743224747</v>
      </c>
    </row>
    <row r="191" spans="2:12" ht="12" customHeight="1" x14ac:dyDescent="0.2">
      <c r="B191" s="2" t="s">
        <v>247</v>
      </c>
      <c r="F191" s="2" t="s">
        <v>82</v>
      </c>
      <c r="H191" s="67">
        <f>H189*H17+H190</f>
        <v>7746155.2010392249</v>
      </c>
      <c r="J191" s="2" t="s">
        <v>248</v>
      </c>
    </row>
    <row r="192" spans="2:12" ht="12" customHeight="1" x14ac:dyDescent="0.2"/>
    <row r="193" spans="2:12" s="50" customFormat="1" x14ac:dyDescent="0.2">
      <c r="L193" s="53"/>
    </row>
    <row r="194" spans="2:12" s="8" customFormat="1" x14ac:dyDescent="0.2">
      <c r="B194" s="8" t="s">
        <v>249</v>
      </c>
      <c r="H194" s="66"/>
    </row>
    <row r="195" spans="2:12" ht="12" customHeight="1" x14ac:dyDescent="0.2"/>
    <row r="196" spans="2:12" ht="12" customHeight="1" x14ac:dyDescent="0.2">
      <c r="B196" s="1" t="s">
        <v>90</v>
      </c>
    </row>
    <row r="197" spans="2:12" ht="12" customHeight="1" x14ac:dyDescent="0.2">
      <c r="B197" s="2" t="s">
        <v>253</v>
      </c>
      <c r="F197" s="2" t="s">
        <v>92</v>
      </c>
      <c r="H197" s="29">
        <f>H106</f>
        <v>27507862.788044717</v>
      </c>
    </row>
    <row r="198" spans="2:12" ht="12" customHeight="1" x14ac:dyDescent="0.2">
      <c r="B198" s="2" t="s">
        <v>254</v>
      </c>
      <c r="F198" s="2" t="s">
        <v>92</v>
      </c>
      <c r="H198" s="29">
        <f>H98</f>
        <v>2811866.6666666665</v>
      </c>
    </row>
    <row r="199" spans="2:12" ht="12" customHeight="1" x14ac:dyDescent="0.2">
      <c r="B199" s="2" t="s">
        <v>255</v>
      </c>
      <c r="F199" s="2" t="s">
        <v>250</v>
      </c>
      <c r="H199" s="24">
        <f>H197*$H$18+H198</f>
        <v>4484344.7241797857</v>
      </c>
    </row>
    <row r="200" spans="2:12" ht="12" customHeight="1" x14ac:dyDescent="0.2">
      <c r="B200" s="1"/>
    </row>
    <row r="201" spans="2:12" ht="12" customHeight="1" x14ac:dyDescent="0.2">
      <c r="B201" s="1" t="s">
        <v>192</v>
      </c>
    </row>
    <row r="202" spans="2:12" ht="12" customHeight="1" x14ac:dyDescent="0.2">
      <c r="B202" s="2" t="s">
        <v>256</v>
      </c>
      <c r="F202" s="2" t="s">
        <v>92</v>
      </c>
      <c r="H202" s="29">
        <f>H157</f>
        <v>406224.74847660807</v>
      </c>
      <c r="J202" s="2" t="s">
        <v>196</v>
      </c>
    </row>
    <row r="203" spans="2:12" ht="12" customHeight="1" x14ac:dyDescent="0.2">
      <c r="B203" s="2" t="s">
        <v>254</v>
      </c>
      <c r="F203" s="2" t="s">
        <v>92</v>
      </c>
      <c r="H203" s="29">
        <f>H158</f>
        <v>104181.50765580776</v>
      </c>
    </row>
    <row r="204" spans="2:12" ht="12" customHeight="1" x14ac:dyDescent="0.2">
      <c r="B204" s="2" t="s">
        <v>255</v>
      </c>
      <c r="F204" s="2" t="s">
        <v>250</v>
      </c>
      <c r="H204" s="24">
        <f>H202*$H$18+H203</f>
        <v>128879.97236318553</v>
      </c>
    </row>
    <row r="205" spans="2:12" ht="12" customHeight="1" x14ac:dyDescent="0.2">
      <c r="B205" s="1"/>
    </row>
    <row r="206" spans="2:12" ht="12" customHeight="1" x14ac:dyDescent="0.2">
      <c r="B206" s="1" t="s">
        <v>406</v>
      </c>
    </row>
    <row r="207" spans="2:12" ht="12" customHeight="1" x14ac:dyDescent="0.2">
      <c r="B207" s="2" t="s">
        <v>253</v>
      </c>
      <c r="F207" s="2" t="s">
        <v>92</v>
      </c>
      <c r="H207" s="26">
        <v>17789969.88364134</v>
      </c>
    </row>
    <row r="208" spans="2:12" ht="12" customHeight="1" x14ac:dyDescent="0.2">
      <c r="B208" s="2" t="s">
        <v>254</v>
      </c>
      <c r="F208" s="2" t="s">
        <v>92</v>
      </c>
      <c r="H208" s="26">
        <v>1466000</v>
      </c>
    </row>
    <row r="209" spans="2:8" ht="12" customHeight="1" x14ac:dyDescent="0.2">
      <c r="B209" s="2" t="s">
        <v>255</v>
      </c>
      <c r="F209" s="2" t="s">
        <v>250</v>
      </c>
      <c r="H209" s="24">
        <f>H207*$H$18+H208</f>
        <v>2547630.1689253934</v>
      </c>
    </row>
    <row r="210" spans="2:8" ht="12" customHeight="1" x14ac:dyDescent="0.2">
      <c r="B210" s="1"/>
    </row>
    <row r="211" spans="2:8" x14ac:dyDescent="0.2">
      <c r="B211" s="2" t="s">
        <v>251</v>
      </c>
      <c r="F211" s="2" t="s">
        <v>92</v>
      </c>
      <c r="H211" s="30">
        <f>SUM(H197,H202,H207)</f>
        <v>45704057.420162663</v>
      </c>
    </row>
    <row r="212" spans="2:8" x14ac:dyDescent="0.2">
      <c r="B212" s="2" t="s">
        <v>252</v>
      </c>
      <c r="F212" s="2" t="s">
        <v>92</v>
      </c>
      <c r="H212" s="30">
        <f>SUM(H198,H203,H208)</f>
        <v>4382048.1743224747</v>
      </c>
    </row>
    <row r="213" spans="2:8" x14ac:dyDescent="0.2">
      <c r="B213" s="2" t="s">
        <v>353</v>
      </c>
      <c r="F213" s="2" t="s">
        <v>250</v>
      </c>
      <c r="H213" s="30">
        <f>SUM(H199,H204,H209)</f>
        <v>7160854.8654683642</v>
      </c>
    </row>
    <row r="218" spans="2:8" x14ac:dyDescent="0.2">
      <c r="B218" s="4" t="s">
        <v>55</v>
      </c>
    </row>
  </sheetData>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4993-A259-46DA-ADAC-16F14D03935D}">
  <sheetPr>
    <tabColor rgb="FFFFFFCC"/>
  </sheetPr>
  <dimension ref="A2:JE61"/>
  <sheetViews>
    <sheetView showGridLines="0" zoomScale="85" zoomScaleNormal="85" workbookViewId="0">
      <pane xSplit="6" ySplit="11" topLeftCell="G12" activePane="bottomRight" state="frozen"/>
      <selection pane="topRight" activeCell="G1" sqref="G1"/>
      <selection pane="bottomLeft" activeCell="A14" sqref="A14"/>
      <selection pane="bottomRight" activeCell="G12" sqref="G12"/>
    </sheetView>
  </sheetViews>
  <sheetFormatPr defaultRowHeight="12.75" x14ac:dyDescent="0.2"/>
  <cols>
    <col min="1" max="1" width="4.7109375" style="2" customWidth="1"/>
    <col min="2" max="2" width="47" style="2" customWidth="1"/>
    <col min="3" max="3" width="4.7109375" style="2" customWidth="1"/>
    <col min="4" max="5" width="4.5703125" style="2" customWidth="1"/>
    <col min="6" max="6" width="13.7109375" style="2" customWidth="1"/>
    <col min="7" max="7" width="2.7109375" style="2" customWidth="1"/>
    <col min="8" max="8" width="13.7109375" style="2" customWidth="1"/>
    <col min="9" max="11" width="2.7109375" style="2" customWidth="1"/>
    <col min="12" max="12" width="13.7109375" style="2" customWidth="1"/>
    <col min="13" max="13" width="2.42578125" style="2" customWidth="1"/>
    <col min="14" max="25" width="14.28515625" style="2" customWidth="1"/>
    <col min="26" max="26" width="3.28515625" style="2" customWidth="1"/>
    <col min="27" max="38" width="13.7109375" style="2" customWidth="1"/>
    <col min="39" max="16384" width="9.140625" style="2"/>
  </cols>
  <sheetData>
    <row r="2" spans="1:265" s="14" customFormat="1" ht="18" x14ac:dyDescent="0.2">
      <c r="B2" s="14" t="s">
        <v>274</v>
      </c>
    </row>
    <row r="4" spans="1:265" x14ac:dyDescent="0.2">
      <c r="B4" s="22" t="s">
        <v>181</v>
      </c>
      <c r="C4" s="1"/>
      <c r="D4" s="1"/>
    </row>
    <row r="5" spans="1:265" x14ac:dyDescent="0.2">
      <c r="B5" s="2" t="s">
        <v>310</v>
      </c>
      <c r="H5" s="15"/>
    </row>
    <row r="6" spans="1:265" x14ac:dyDescent="0.2">
      <c r="B6" s="2" t="s">
        <v>309</v>
      </c>
      <c r="H6" s="15"/>
    </row>
    <row r="7" spans="1:265" x14ac:dyDescent="0.2">
      <c r="B7" s="2" t="s">
        <v>454</v>
      </c>
      <c r="H7" s="15"/>
    </row>
    <row r="8" spans="1:265" x14ac:dyDescent="0.2">
      <c r="B8" s="4"/>
    </row>
    <row r="10" spans="1:265" customFormat="1" ht="25.5" x14ac:dyDescent="0.2">
      <c r="A10" s="8"/>
      <c r="B10" s="8" t="s">
        <v>10</v>
      </c>
      <c r="C10" s="8"/>
      <c r="D10" s="8"/>
      <c r="E10" s="8"/>
      <c r="F10" s="8" t="s">
        <v>33</v>
      </c>
      <c r="G10" s="8"/>
      <c r="H10" s="8" t="s">
        <v>34</v>
      </c>
      <c r="I10" s="8"/>
      <c r="J10" s="8"/>
      <c r="K10" s="8"/>
      <c r="L10" s="58" t="s">
        <v>139</v>
      </c>
      <c r="M10" s="59"/>
      <c r="N10" s="59" t="s">
        <v>140</v>
      </c>
      <c r="O10" s="59" t="s">
        <v>141</v>
      </c>
      <c r="P10" s="59" t="s">
        <v>142</v>
      </c>
      <c r="Q10" s="59" t="s">
        <v>143</v>
      </c>
      <c r="R10" s="59" t="s">
        <v>144</v>
      </c>
      <c r="S10" s="59" t="s">
        <v>145</v>
      </c>
      <c r="T10" s="59" t="s">
        <v>146</v>
      </c>
      <c r="U10" s="59" t="s">
        <v>147</v>
      </c>
      <c r="V10" s="59" t="s">
        <v>148</v>
      </c>
      <c r="W10" s="59" t="s">
        <v>149</v>
      </c>
      <c r="X10" s="59" t="s">
        <v>150</v>
      </c>
      <c r="Y10" s="59" t="s">
        <v>151</v>
      </c>
      <c r="Z10" s="8"/>
      <c r="AA10" s="8" t="s">
        <v>36</v>
      </c>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row>
    <row r="13" spans="1:265" customFormat="1" x14ac:dyDescent="0.2">
      <c r="A13" s="8"/>
      <c r="B13" s="8" t="s">
        <v>275</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row>
    <row r="14" spans="1:265" customForma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row>
    <row r="15" spans="1:265" customFormat="1" x14ac:dyDescent="0.2">
      <c r="A15" s="2"/>
      <c r="B15" s="1" t="s">
        <v>152</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row>
    <row r="16" spans="1:265" customFormat="1" x14ac:dyDescent="0.2">
      <c r="A16" s="2"/>
      <c r="B16" s="2" t="s">
        <v>153</v>
      </c>
      <c r="C16" s="2"/>
      <c r="D16" s="2"/>
      <c r="E16" s="2"/>
      <c r="F16" s="2" t="s">
        <v>154</v>
      </c>
      <c r="G16" s="2"/>
      <c r="H16" s="2"/>
      <c r="I16" s="2"/>
      <c r="J16" s="2"/>
      <c r="K16" s="2"/>
      <c r="L16" s="2"/>
      <c r="M16" s="2"/>
      <c r="N16" s="69" t="str">
        <f>'Production and fuel costs 2020'!N19</f>
        <v>confidential</v>
      </c>
      <c r="O16" s="69" t="str">
        <f>'Production and fuel costs 2020'!O19</f>
        <v>confidential</v>
      </c>
      <c r="P16" s="69" t="str">
        <f>'Production and fuel costs 2020'!P19</f>
        <v>confidential</v>
      </c>
      <c r="Q16" s="69" t="str">
        <f>'Production and fuel costs 2020'!Q19</f>
        <v>confidential</v>
      </c>
      <c r="R16" s="75"/>
      <c r="S16" s="75"/>
      <c r="T16" s="75"/>
      <c r="U16" s="75"/>
      <c r="V16" s="75"/>
      <c r="W16" s="75"/>
      <c r="X16" s="75"/>
      <c r="Y16" s="75"/>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row>
    <row r="17" spans="1:265" customFormat="1" x14ac:dyDescent="0.2">
      <c r="A17" s="2"/>
      <c r="B17" s="2" t="s">
        <v>155</v>
      </c>
      <c r="C17" s="2"/>
      <c r="D17" s="2"/>
      <c r="E17" s="2"/>
      <c r="F17" s="2" t="s">
        <v>158</v>
      </c>
      <c r="G17" s="2"/>
      <c r="H17" s="2"/>
      <c r="I17" s="2"/>
      <c r="J17" s="2"/>
      <c r="K17" s="2"/>
      <c r="L17" s="2"/>
      <c r="M17" s="2"/>
      <c r="N17" s="70" t="str">
        <f>'Production and fuel costs 2020'!N20</f>
        <v>confidential</v>
      </c>
      <c r="O17" s="70" t="str">
        <f>'Production and fuel costs 2020'!O20</f>
        <v>confidential</v>
      </c>
      <c r="P17" s="70" t="str">
        <f>'Production and fuel costs 2020'!P20</f>
        <v>confidential</v>
      </c>
      <c r="Q17" s="70" t="str">
        <f>'Production and fuel costs 2020'!Q20</f>
        <v>confidential</v>
      </c>
      <c r="R17" s="76"/>
      <c r="S17" s="76"/>
      <c r="T17" s="76"/>
      <c r="U17" s="76"/>
      <c r="V17" s="76"/>
      <c r="W17" s="76"/>
      <c r="X17" s="76"/>
      <c r="Y17" s="76"/>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row>
    <row r="18" spans="1:265" customFormat="1" x14ac:dyDescent="0.2">
      <c r="A18" s="2"/>
      <c r="B18" s="2" t="s">
        <v>289</v>
      </c>
      <c r="C18" s="2"/>
      <c r="D18" s="2"/>
      <c r="E18" s="2"/>
      <c r="F18" s="2" t="s">
        <v>290</v>
      </c>
      <c r="G18" s="2"/>
      <c r="H18" s="89">
        <f>'Production and fuel costs 2020'!H21</f>
        <v>158.98729499999999</v>
      </c>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row>
    <row r="19" spans="1:265" customForma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row>
    <row r="20" spans="1:265" customFormat="1" x14ac:dyDescent="0.2">
      <c r="A20" s="2"/>
      <c r="B20" s="1" t="s">
        <v>156</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row>
    <row r="21" spans="1:265" customFormat="1" x14ac:dyDescent="0.2">
      <c r="A21" s="2"/>
      <c r="B21" s="2" t="s">
        <v>153</v>
      </c>
      <c r="C21" s="2"/>
      <c r="D21" s="2"/>
      <c r="E21" s="2"/>
      <c r="F21" s="2" t="s">
        <v>157</v>
      </c>
      <c r="G21" s="2"/>
      <c r="H21" s="2"/>
      <c r="I21" s="2"/>
      <c r="J21" s="2"/>
      <c r="K21" s="2"/>
      <c r="L21" s="2"/>
      <c r="M21" s="2"/>
      <c r="N21" s="69" t="str">
        <f>'Production and fuel costs 2020'!N24</f>
        <v>confidential</v>
      </c>
      <c r="O21" s="69" t="str">
        <f>'Production and fuel costs 2020'!O24</f>
        <v>confidential</v>
      </c>
      <c r="P21" s="69" t="str">
        <f>'Production and fuel costs 2020'!P24</f>
        <v>confidential</v>
      </c>
      <c r="Q21" s="69" t="str">
        <f>'Production and fuel costs 2020'!Q24</f>
        <v>confidential</v>
      </c>
      <c r="R21" s="69" t="str">
        <f>'Production and fuel costs 2020'!R24</f>
        <v>confidential</v>
      </c>
      <c r="S21" s="69" t="str">
        <f>'Production and fuel costs 2020'!S24</f>
        <v>confidential</v>
      </c>
      <c r="T21" s="69" t="str">
        <f>'Production and fuel costs 2020'!T24</f>
        <v>confidential</v>
      </c>
      <c r="U21" s="69" t="str">
        <f>'Production and fuel costs 2020'!U24</f>
        <v>confidential</v>
      </c>
      <c r="V21" s="69" t="str">
        <f>'Production and fuel costs 2020'!V24</f>
        <v>confidential</v>
      </c>
      <c r="W21" s="69" t="str">
        <f>'Production and fuel costs 2020'!W24</f>
        <v>confidential</v>
      </c>
      <c r="X21" s="69" t="str">
        <f>'Production and fuel costs 2020'!X24</f>
        <v>confidential</v>
      </c>
      <c r="Y21" s="69" t="str">
        <f>'Production and fuel costs 2020'!Y24</f>
        <v>confidential</v>
      </c>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row>
    <row r="22" spans="1:265" customFormat="1" x14ac:dyDescent="0.2">
      <c r="A22" s="2"/>
      <c r="B22" s="2" t="s">
        <v>155</v>
      </c>
      <c r="C22" s="2"/>
      <c r="D22" s="2"/>
      <c r="E22" s="2"/>
      <c r="F22" s="2" t="s">
        <v>158</v>
      </c>
      <c r="G22" s="2"/>
      <c r="H22" s="2"/>
      <c r="I22" s="2"/>
      <c r="J22" s="2"/>
      <c r="K22" s="2"/>
      <c r="L22" s="2"/>
      <c r="M22" s="2"/>
      <c r="N22" s="70" t="str">
        <f>'Production and fuel costs 2020'!N25</f>
        <v>confidential</v>
      </c>
      <c r="O22" s="70" t="str">
        <f>'Production and fuel costs 2020'!O25</f>
        <v>confidential</v>
      </c>
      <c r="P22" s="70" t="str">
        <f>'Production and fuel costs 2020'!P25</f>
        <v>confidential</v>
      </c>
      <c r="Q22" s="70" t="str">
        <f>'Production and fuel costs 2020'!Q25</f>
        <v>confidential</v>
      </c>
      <c r="R22" s="70" t="str">
        <f>'Production and fuel costs 2020'!R25</f>
        <v>confidential</v>
      </c>
      <c r="S22" s="70" t="str">
        <f>'Production and fuel costs 2020'!S25</f>
        <v>confidential</v>
      </c>
      <c r="T22" s="70" t="str">
        <f>'Production and fuel costs 2020'!T25</f>
        <v>confidential</v>
      </c>
      <c r="U22" s="70" t="str">
        <f>'Production and fuel costs 2020'!U25</f>
        <v>confidential</v>
      </c>
      <c r="V22" s="70" t="str">
        <f>'Production and fuel costs 2020'!V25</f>
        <v>confidential</v>
      </c>
      <c r="W22" s="70" t="str">
        <f>'Production and fuel costs 2020'!W25</f>
        <v>confidential</v>
      </c>
      <c r="X22" s="70" t="str">
        <f>'Production and fuel costs 2020'!X25</f>
        <v>confidential</v>
      </c>
      <c r="Y22" s="70" t="str">
        <f>'Production and fuel costs 2020'!Y25</f>
        <v>confidential</v>
      </c>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row>
    <row r="23" spans="1:265" customForma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row>
    <row r="24" spans="1:265" customFormat="1" x14ac:dyDescent="0.2">
      <c r="A24" s="2"/>
      <c r="B24" s="22" t="s">
        <v>288</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row>
    <row r="25" spans="1:265" customFormat="1" x14ac:dyDescent="0.2">
      <c r="A25" s="2"/>
      <c r="B25" s="2" t="s">
        <v>265</v>
      </c>
      <c r="C25" s="2"/>
      <c r="D25" s="2"/>
      <c r="E25" s="2"/>
      <c r="F25" s="2" t="s">
        <v>84</v>
      </c>
      <c r="G25" s="2"/>
      <c r="H25" s="2"/>
      <c r="I25" s="2"/>
      <c r="J25" s="2"/>
      <c r="K25" s="2"/>
      <c r="L25" s="2"/>
      <c r="M25" s="2"/>
      <c r="N25" s="70">
        <f>'Production and fuel costs 2020'!N28</f>
        <v>7497993.9999999916</v>
      </c>
      <c r="O25" s="70">
        <f>'Production and fuel costs 2020'!O28</f>
        <v>7172679.0000000177</v>
      </c>
      <c r="P25" s="70">
        <f>'Production and fuel costs 2020'!P28</f>
        <v>7787092.9999999935</v>
      </c>
      <c r="Q25" s="70">
        <f>'Production and fuel costs 2020'!Q28</f>
        <v>5636100.9999999916</v>
      </c>
      <c r="R25" s="70">
        <f>'Production and fuel costs 2020'!R28</f>
        <v>5049897.0000000065</v>
      </c>
      <c r="S25" s="70">
        <f>'Production and fuel costs 2020'!S28</f>
        <v>7247349.9999999963</v>
      </c>
      <c r="T25" s="70">
        <f>'Production and fuel costs 2020'!T28</f>
        <v>8158898.9999999981</v>
      </c>
      <c r="U25" s="70">
        <f>'Production and fuel costs 2020'!U28</f>
        <v>9533397.0000000019</v>
      </c>
      <c r="V25" s="70">
        <f>'Production and fuel costs 2020'!V28</f>
        <v>10124811.000000004</v>
      </c>
      <c r="W25" s="70">
        <f>'Production and fuel costs 2020'!W28</f>
        <v>9829012.9999999963</v>
      </c>
      <c r="X25" s="70">
        <f>'Production and fuel costs 2020'!X28</f>
        <v>8769583.0000000056</v>
      </c>
      <c r="Y25" s="70">
        <f>'Production and fuel costs 2020'!Y28</f>
        <v>8936875.9999999963</v>
      </c>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row>
    <row r="26" spans="1:265" customFormat="1" x14ac:dyDescent="0.2">
      <c r="A26" s="2"/>
      <c r="B26" s="2" t="s">
        <v>266</v>
      </c>
      <c r="C26" s="2"/>
      <c r="D26" s="2"/>
      <c r="E26" s="2"/>
      <c r="F26" s="2" t="s">
        <v>84</v>
      </c>
      <c r="G26" s="2"/>
      <c r="H26" s="2"/>
      <c r="I26" s="2"/>
      <c r="J26" s="2"/>
      <c r="K26" s="2"/>
      <c r="L26" s="2"/>
      <c r="M26" s="2"/>
      <c r="N26" s="70">
        <f>'Production and fuel costs 2020'!N29</f>
        <v>2338768.0000000037</v>
      </c>
      <c r="O26" s="70">
        <f>'Production and fuel costs 2020'!O29</f>
        <v>2481107.999999993</v>
      </c>
      <c r="P26" s="70">
        <f>'Production and fuel costs 2020'!P29</f>
        <v>1882054.0000000037</v>
      </c>
      <c r="Q26" s="70">
        <f>'Production and fuel costs 2020'!Q29</f>
        <v>3083341.0000000005</v>
      </c>
      <c r="R26" s="70">
        <f>'Production and fuel costs 2020'!R29</f>
        <v>4560680.9999999981</v>
      </c>
      <c r="S26" s="70">
        <f>'Production and fuel costs 2020'!S29</f>
        <v>2597963.0000000033</v>
      </c>
      <c r="T26" s="70">
        <f>'Production and fuel costs 2020'!T29</f>
        <v>2243110.0000000005</v>
      </c>
      <c r="U26" s="70">
        <f>'Production and fuel costs 2020'!U29</f>
        <v>1621996.9999999958</v>
      </c>
      <c r="V26" s="70">
        <f>'Production and fuel costs 2020'!V29</f>
        <v>893733.00000000745</v>
      </c>
      <c r="W26" s="70">
        <f>'Production and fuel costs 2020'!W29</f>
        <v>893535.99999999278</v>
      </c>
      <c r="X26" s="70">
        <f>'Production and fuel costs 2020'!X29</f>
        <v>1039863.9999999942</v>
      </c>
      <c r="Y26" s="70">
        <f>'Production and fuel costs 2020'!Y29</f>
        <v>1298236.0000000116</v>
      </c>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row>
    <row r="27" spans="1:265" customForma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row>
    <row r="28" spans="1:265" customFormat="1" x14ac:dyDescent="0.2">
      <c r="A28" s="2"/>
      <c r="B28" s="2" t="s">
        <v>160</v>
      </c>
      <c r="C28" s="2"/>
      <c r="D28" s="2"/>
      <c r="E28" s="2"/>
      <c r="F28" s="2" t="s">
        <v>84</v>
      </c>
      <c r="G28" s="2"/>
      <c r="H28" s="2"/>
      <c r="I28" s="2"/>
      <c r="J28" s="2"/>
      <c r="K28" s="2"/>
      <c r="L28" s="2"/>
      <c r="M28" s="2"/>
      <c r="N28" s="60">
        <f>N25+N26</f>
        <v>9836761.9999999963</v>
      </c>
      <c r="O28" s="60">
        <f t="shared" ref="O28:Y28" si="0">O25+O26</f>
        <v>9653787.0000000112</v>
      </c>
      <c r="P28" s="60">
        <f t="shared" si="0"/>
        <v>9669146.9999999963</v>
      </c>
      <c r="Q28" s="60">
        <f t="shared" si="0"/>
        <v>8719441.9999999925</v>
      </c>
      <c r="R28" s="60">
        <f t="shared" si="0"/>
        <v>9610578.0000000037</v>
      </c>
      <c r="S28" s="60">
        <f t="shared" si="0"/>
        <v>9845313</v>
      </c>
      <c r="T28" s="60">
        <f t="shared" si="0"/>
        <v>10402008.999999998</v>
      </c>
      <c r="U28" s="60">
        <f t="shared" si="0"/>
        <v>11155393.999999998</v>
      </c>
      <c r="V28" s="60">
        <f t="shared" si="0"/>
        <v>11018544.000000011</v>
      </c>
      <c r="W28" s="60">
        <f t="shared" si="0"/>
        <v>10722548.999999989</v>
      </c>
      <c r="X28" s="60">
        <f t="shared" si="0"/>
        <v>9809447</v>
      </c>
      <c r="Y28" s="60">
        <f t="shared" si="0"/>
        <v>10235112.000000007</v>
      </c>
      <c r="Z28" s="2"/>
      <c r="AA28" s="21"/>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row>
    <row r="29" spans="1:265" customForma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row>
    <row r="30" spans="1:265" customFormat="1" x14ac:dyDescent="0.2">
      <c r="A30" s="2"/>
      <c r="B30" s="2" t="s">
        <v>306</v>
      </c>
      <c r="C30" s="2"/>
      <c r="D30" s="2"/>
      <c r="E30" s="2"/>
      <c r="F30" s="2" t="s">
        <v>175</v>
      </c>
      <c r="G30" s="2"/>
      <c r="H30" s="74">
        <v>0.27324166362231295</v>
      </c>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row>
    <row r="31" spans="1:265" customForma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row>
    <row r="32" spans="1:265" customForma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row>
    <row r="33" spans="1:265" customFormat="1" x14ac:dyDescent="0.2">
      <c r="A33" s="8"/>
      <c r="B33" s="8" t="s">
        <v>276</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row>
    <row r="34" spans="1:265" customForma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row>
    <row r="35" spans="1:265" customFormat="1" x14ac:dyDescent="0.2">
      <c r="A35" s="2"/>
      <c r="B35" s="1" t="s">
        <v>161</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row>
    <row r="36" spans="1:265" customFormat="1" x14ac:dyDescent="0.2">
      <c r="A36" s="2"/>
      <c r="B36" s="2" t="s">
        <v>455</v>
      </c>
      <c r="C36" s="2"/>
      <c r="D36" s="2"/>
      <c r="E36" s="2"/>
      <c r="F36" s="2" t="s">
        <v>162</v>
      </c>
      <c r="G36" s="2"/>
      <c r="H36" s="2"/>
      <c r="I36" s="2"/>
      <c r="J36" s="2"/>
      <c r="K36" s="2"/>
      <c r="L36" s="2"/>
      <c r="M36" s="2"/>
      <c r="N36" s="77" t="str">
        <f>'Production and fuel costs 2020'!N37</f>
        <v>confidential</v>
      </c>
      <c r="O36" s="77" t="str">
        <f>'Production and fuel costs 2020'!O37</f>
        <v>confidential</v>
      </c>
      <c r="P36" s="77" t="str">
        <f>'Production and fuel costs 2020'!P37</f>
        <v>confidential</v>
      </c>
      <c r="Q36" s="77" t="str">
        <f>'Production and fuel costs 2020'!Q37</f>
        <v>confidential</v>
      </c>
      <c r="R36" s="77" t="str">
        <f>'Production and fuel costs 2020'!R37</f>
        <v>confidential</v>
      </c>
      <c r="S36" s="77" t="str">
        <f>'Production and fuel costs 2020'!S37</f>
        <v>confidential</v>
      </c>
      <c r="T36" s="77" t="str">
        <f>'Production and fuel costs 2020'!T37</f>
        <v>confidential</v>
      </c>
      <c r="U36" s="77" t="str">
        <f>'Production and fuel costs 2020'!U37</f>
        <v>confidential</v>
      </c>
      <c r="V36" s="77" t="str">
        <f>'Production and fuel costs 2020'!V37</f>
        <v>confidential</v>
      </c>
      <c r="W36" s="77" t="str">
        <f>'Production and fuel costs 2020'!W37</f>
        <v>confidential</v>
      </c>
      <c r="X36" s="77" t="str">
        <f>'Production and fuel costs 2020'!X37</f>
        <v>confidential</v>
      </c>
      <c r="Y36" s="77" t="str">
        <f>'Production and fuel costs 2020'!Y37</f>
        <v>confidential</v>
      </c>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row>
    <row r="37" spans="1:265" customFormat="1" x14ac:dyDescent="0.2">
      <c r="A37" s="2"/>
      <c r="B37" s="2" t="s">
        <v>163</v>
      </c>
      <c r="C37" s="2"/>
      <c r="D37" s="2"/>
      <c r="E37" s="2"/>
      <c r="F37" s="2" t="s">
        <v>84</v>
      </c>
      <c r="G37" s="2"/>
      <c r="H37" s="2"/>
      <c r="I37" s="2"/>
      <c r="J37" s="2"/>
      <c r="K37" s="2"/>
      <c r="L37" s="2"/>
      <c r="M37" s="2"/>
      <c r="N37" s="72" t="str">
        <f>'Production and fuel costs 2020'!N38</f>
        <v>confidential</v>
      </c>
      <c r="O37" s="72" t="str">
        <f>'Production and fuel costs 2020'!O38</f>
        <v>confidential</v>
      </c>
      <c r="P37" s="72" t="str">
        <f>'Production and fuel costs 2020'!P38</f>
        <v>confidential</v>
      </c>
      <c r="Q37" s="72" t="str">
        <f>'Production and fuel costs 2020'!Q38</f>
        <v>confidential</v>
      </c>
      <c r="R37" s="72" t="str">
        <f>'Production and fuel costs 2020'!R38</f>
        <v>confidential</v>
      </c>
      <c r="S37" s="72" t="str">
        <f>'Production and fuel costs 2020'!S38</f>
        <v>confidential</v>
      </c>
      <c r="T37" s="72" t="str">
        <f>'Production and fuel costs 2020'!T38</f>
        <v>confidential</v>
      </c>
      <c r="U37" s="72" t="str">
        <f>'Production and fuel costs 2020'!U38</f>
        <v>confidential</v>
      </c>
      <c r="V37" s="72" t="str">
        <f>'Production and fuel costs 2020'!V38</f>
        <v>confidential</v>
      </c>
      <c r="W37" s="72" t="str">
        <f>'Production and fuel costs 2020'!W38</f>
        <v>confidential</v>
      </c>
      <c r="X37" s="72" t="str">
        <f>'Production and fuel costs 2020'!X38</f>
        <v>confidential</v>
      </c>
      <c r="Y37" s="72" t="str">
        <f>'Production and fuel costs 2020'!Y38</f>
        <v>confidential</v>
      </c>
      <c r="Z37" s="2"/>
      <c r="AA37" s="2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row>
    <row r="38" spans="1:265" customForma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row>
    <row r="39" spans="1:265" customFormat="1" x14ac:dyDescent="0.2">
      <c r="A39" s="2"/>
      <c r="B39" s="1" t="s">
        <v>277</v>
      </c>
      <c r="C39" s="2"/>
      <c r="D39" s="2"/>
      <c r="E39" s="2"/>
      <c r="F39" s="2"/>
      <c r="G39" s="2"/>
      <c r="H39" s="2"/>
      <c r="I39" s="2"/>
      <c r="J39" s="2"/>
      <c r="K39" s="2"/>
      <c r="L39" s="2"/>
      <c r="M39" s="2"/>
      <c r="N39" s="2"/>
      <c r="O39" s="2"/>
      <c r="P39" s="2"/>
      <c r="Q39" s="2"/>
      <c r="R39" s="2"/>
      <c r="S39" s="2"/>
      <c r="T39" s="2"/>
      <c r="U39" s="2"/>
      <c r="V39" s="2"/>
      <c r="W39" s="2"/>
      <c r="X39" s="2"/>
      <c r="Y39" s="2"/>
      <c r="Z39" s="2"/>
      <c r="AA39" s="21"/>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row>
    <row r="40" spans="1:265" customFormat="1" x14ac:dyDescent="0.2">
      <c r="A40" s="2"/>
      <c r="B40" s="2" t="s">
        <v>456</v>
      </c>
      <c r="C40" s="2"/>
      <c r="D40" s="2"/>
      <c r="E40" s="2"/>
      <c r="F40" s="2" t="s">
        <v>162</v>
      </c>
      <c r="G40" s="2"/>
      <c r="H40" s="2"/>
      <c r="I40" s="2"/>
      <c r="J40" s="2"/>
      <c r="K40" s="2"/>
      <c r="L40" s="2"/>
      <c r="M40" s="2"/>
      <c r="N40" s="71">
        <f>'Production and fuel costs 2020'!$H$41</f>
        <v>0.125</v>
      </c>
      <c r="O40" s="71">
        <f>'Production and fuel costs 2020'!$H$41</f>
        <v>0.125</v>
      </c>
      <c r="P40" s="71">
        <f>'Production and fuel costs 2020'!$H$41</f>
        <v>0.125</v>
      </c>
      <c r="Q40" s="71">
        <f>'Production and fuel costs 2020'!$H$41</f>
        <v>0.125</v>
      </c>
      <c r="R40" s="71">
        <f>'Production and fuel costs 2020'!$H$41</f>
        <v>0.125</v>
      </c>
      <c r="S40" s="71">
        <f>'Production and fuel costs 2020'!$H$41</f>
        <v>0.125</v>
      </c>
      <c r="T40" s="71">
        <f>'Production and fuel costs 2020'!$H$41</f>
        <v>0.125</v>
      </c>
      <c r="U40" s="71">
        <f>'Production and fuel costs 2020'!$H$41</f>
        <v>0.125</v>
      </c>
      <c r="V40" s="71">
        <f>'Production and fuel costs 2020'!$H$41</f>
        <v>0.125</v>
      </c>
      <c r="W40" s="71">
        <f>'Production and fuel costs 2020'!$H$41</f>
        <v>0.125</v>
      </c>
      <c r="X40" s="71">
        <f>'Production and fuel costs 2020'!$H$41</f>
        <v>0.125</v>
      </c>
      <c r="Y40" s="71">
        <f>'Production and fuel costs 2020'!$H$41</f>
        <v>0.125</v>
      </c>
      <c r="Z40" s="2"/>
      <c r="AA40" s="21"/>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row>
    <row r="41" spans="1:265" customForma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1"/>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row>
    <row r="42" spans="1:265" customForma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row>
    <row r="43" spans="1:265" customFormat="1" x14ac:dyDescent="0.2">
      <c r="A43" s="8"/>
      <c r="B43" s="8" t="s">
        <v>354</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row>
    <row r="44" spans="1:265" customForma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row>
    <row r="45" spans="1:265" customFormat="1" x14ac:dyDescent="0.2">
      <c r="A45" s="2"/>
      <c r="B45" s="1" t="s">
        <v>278</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row>
    <row r="46" spans="1:265" customFormat="1" x14ac:dyDescent="0.2">
      <c r="A46" s="2"/>
      <c r="B46" s="2" t="s">
        <v>279</v>
      </c>
      <c r="C46" s="2"/>
      <c r="D46" s="2"/>
      <c r="E46" s="2"/>
      <c r="F46" s="2" t="s">
        <v>162</v>
      </c>
      <c r="G46" s="2"/>
      <c r="H46" s="2"/>
      <c r="I46" s="2"/>
      <c r="J46" s="2"/>
      <c r="K46" s="2"/>
      <c r="L46" s="2"/>
      <c r="M46" s="26"/>
      <c r="N46" s="68" t="e">
        <f t="shared" ref="N46:Y46" si="1">N36-N40</f>
        <v>#VALUE!</v>
      </c>
      <c r="O46" s="68" t="e">
        <f t="shared" si="1"/>
        <v>#VALUE!</v>
      </c>
      <c r="P46" s="68" t="e">
        <f t="shared" si="1"/>
        <v>#VALUE!</v>
      </c>
      <c r="Q46" s="68" t="e">
        <f t="shared" si="1"/>
        <v>#VALUE!</v>
      </c>
      <c r="R46" s="68" t="e">
        <f t="shared" si="1"/>
        <v>#VALUE!</v>
      </c>
      <c r="S46" s="68" t="e">
        <f t="shared" si="1"/>
        <v>#VALUE!</v>
      </c>
      <c r="T46" s="68" t="e">
        <f t="shared" si="1"/>
        <v>#VALUE!</v>
      </c>
      <c r="U46" s="68" t="e">
        <f t="shared" si="1"/>
        <v>#VALUE!</v>
      </c>
      <c r="V46" s="68" t="e">
        <f t="shared" si="1"/>
        <v>#VALUE!</v>
      </c>
      <c r="W46" s="68" t="e">
        <f t="shared" si="1"/>
        <v>#VALUE!</v>
      </c>
      <c r="X46" s="68" t="e">
        <f t="shared" si="1"/>
        <v>#VALUE!</v>
      </c>
      <c r="Y46" s="68" t="e">
        <f t="shared" si="1"/>
        <v>#VALUE!</v>
      </c>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row>
    <row r="47" spans="1:265" customFormat="1" x14ac:dyDescent="0.2">
      <c r="A47" s="2"/>
      <c r="B47" s="2" t="s">
        <v>280</v>
      </c>
      <c r="C47" s="2"/>
      <c r="D47" s="2"/>
      <c r="E47" s="2"/>
      <c r="F47" s="2" t="s">
        <v>92</v>
      </c>
      <c r="G47" s="2"/>
      <c r="H47" s="2"/>
      <c r="I47" s="2"/>
      <c r="J47" s="2"/>
      <c r="K47" s="2"/>
      <c r="L47" s="2"/>
      <c r="M47" s="26"/>
      <c r="N47" s="30" t="e">
        <f t="shared" ref="N47:Y47" si="2">N46*N37</f>
        <v>#VALUE!</v>
      </c>
      <c r="O47" s="30" t="e">
        <f t="shared" si="2"/>
        <v>#VALUE!</v>
      </c>
      <c r="P47" s="30" t="e">
        <f t="shared" si="2"/>
        <v>#VALUE!</v>
      </c>
      <c r="Q47" s="30" t="e">
        <f t="shared" si="2"/>
        <v>#VALUE!</v>
      </c>
      <c r="R47" s="30" t="e">
        <f t="shared" si="2"/>
        <v>#VALUE!</v>
      </c>
      <c r="S47" s="30" t="e">
        <f t="shared" si="2"/>
        <v>#VALUE!</v>
      </c>
      <c r="T47" s="30" t="e">
        <f t="shared" si="2"/>
        <v>#VALUE!</v>
      </c>
      <c r="U47" s="30" t="e">
        <f t="shared" si="2"/>
        <v>#VALUE!</v>
      </c>
      <c r="V47" s="30" t="e">
        <f t="shared" si="2"/>
        <v>#VALUE!</v>
      </c>
      <c r="W47" s="30" t="e">
        <f t="shared" si="2"/>
        <v>#VALUE!</v>
      </c>
      <c r="X47" s="30" t="e">
        <f t="shared" si="2"/>
        <v>#VALUE!</v>
      </c>
      <c r="Y47" s="30" t="e">
        <f t="shared" si="2"/>
        <v>#VALUE!</v>
      </c>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row>
    <row r="48" spans="1:265" customForma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row>
    <row r="49" spans="1:265" customFormat="1" x14ac:dyDescent="0.2">
      <c r="A49" s="2"/>
      <c r="B49" s="1" t="s">
        <v>281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row>
    <row r="50" spans="1:265" customFormat="1" x14ac:dyDescent="0.2">
      <c r="A50" s="2"/>
      <c r="B50" s="2" t="s">
        <v>282</v>
      </c>
      <c r="C50" s="2"/>
      <c r="D50" s="2"/>
      <c r="E50" s="2"/>
      <c r="F50" s="2" t="s">
        <v>92</v>
      </c>
      <c r="G50" s="2"/>
      <c r="H50" s="2"/>
      <c r="I50" s="2"/>
      <c r="J50" s="2"/>
      <c r="K50" s="2"/>
      <c r="L50" s="2"/>
      <c r="M50" s="26"/>
      <c r="N50" s="60" t="e">
        <f>N16*N17/$H$18</f>
        <v>#VALUE!</v>
      </c>
      <c r="O50" s="60" t="e">
        <f t="shared" ref="O50:Y50" si="3">O16*O17/$H$18</f>
        <v>#VALUE!</v>
      </c>
      <c r="P50" s="60" t="e">
        <f t="shared" si="3"/>
        <v>#VALUE!</v>
      </c>
      <c r="Q50" s="60" t="e">
        <f t="shared" si="3"/>
        <v>#VALUE!</v>
      </c>
      <c r="R50" s="60">
        <f t="shared" si="3"/>
        <v>0</v>
      </c>
      <c r="S50" s="60">
        <f t="shared" si="3"/>
        <v>0</v>
      </c>
      <c r="T50" s="60">
        <f t="shared" si="3"/>
        <v>0</v>
      </c>
      <c r="U50" s="60">
        <f t="shared" si="3"/>
        <v>0</v>
      </c>
      <c r="V50" s="60">
        <f t="shared" si="3"/>
        <v>0</v>
      </c>
      <c r="W50" s="60">
        <f t="shared" si="3"/>
        <v>0</v>
      </c>
      <c r="X50" s="60">
        <f t="shared" si="3"/>
        <v>0</v>
      </c>
      <c r="Y50" s="60">
        <f t="shared" si="3"/>
        <v>0</v>
      </c>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row>
    <row r="51" spans="1:265" customFormat="1" x14ac:dyDescent="0.2">
      <c r="A51" s="2"/>
      <c r="B51" s="2" t="s">
        <v>283</v>
      </c>
      <c r="C51" s="2"/>
      <c r="D51" s="2"/>
      <c r="E51" s="2"/>
      <c r="F51" s="2" t="s">
        <v>92</v>
      </c>
      <c r="G51" s="2"/>
      <c r="H51" s="2"/>
      <c r="I51" s="2"/>
      <c r="J51" s="2"/>
      <c r="K51" s="2"/>
      <c r="L51" s="2"/>
      <c r="M51" s="26"/>
      <c r="N51" s="60" t="e">
        <f>N21*N22</f>
        <v>#VALUE!</v>
      </c>
      <c r="O51" s="60" t="e">
        <f t="shared" ref="O51:Y51" si="4">O21*O22</f>
        <v>#VALUE!</v>
      </c>
      <c r="P51" s="60" t="e">
        <f t="shared" si="4"/>
        <v>#VALUE!</v>
      </c>
      <c r="Q51" s="60" t="e">
        <f t="shared" si="4"/>
        <v>#VALUE!</v>
      </c>
      <c r="R51" s="60" t="e">
        <f t="shared" si="4"/>
        <v>#VALUE!</v>
      </c>
      <c r="S51" s="60" t="e">
        <f t="shared" si="4"/>
        <v>#VALUE!</v>
      </c>
      <c r="T51" s="60" t="e">
        <f t="shared" si="4"/>
        <v>#VALUE!</v>
      </c>
      <c r="U51" s="60" t="e">
        <f t="shared" si="4"/>
        <v>#VALUE!</v>
      </c>
      <c r="V51" s="60" t="e">
        <f t="shared" si="4"/>
        <v>#VALUE!</v>
      </c>
      <c r="W51" s="60" t="e">
        <f t="shared" si="4"/>
        <v>#VALUE!</v>
      </c>
      <c r="X51" s="60" t="e">
        <f t="shared" si="4"/>
        <v>#VALUE!</v>
      </c>
      <c r="Y51" s="60" t="e">
        <f t="shared" si="4"/>
        <v>#VALUE!</v>
      </c>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row>
    <row r="52" spans="1:265" customFormat="1" x14ac:dyDescent="0.2">
      <c r="A52" s="2"/>
      <c r="B52" s="2" t="s">
        <v>284</v>
      </c>
      <c r="C52" s="2"/>
      <c r="D52" s="2"/>
      <c r="E52" s="2"/>
      <c r="F52" s="2" t="s">
        <v>92</v>
      </c>
      <c r="G52" s="2"/>
      <c r="H52" s="2"/>
      <c r="I52" s="2"/>
      <c r="J52" s="2"/>
      <c r="K52" s="2"/>
      <c r="L52" s="2"/>
      <c r="M52" s="26"/>
      <c r="N52" s="60" t="e">
        <f t="shared" ref="N52:Y52" si="5">N50+N51</f>
        <v>#VALUE!</v>
      </c>
      <c r="O52" s="60" t="e">
        <f t="shared" si="5"/>
        <v>#VALUE!</v>
      </c>
      <c r="P52" s="60" t="e">
        <f t="shared" si="5"/>
        <v>#VALUE!</v>
      </c>
      <c r="Q52" s="60" t="e">
        <f t="shared" si="5"/>
        <v>#VALUE!</v>
      </c>
      <c r="R52" s="60" t="e">
        <f t="shared" si="5"/>
        <v>#VALUE!</v>
      </c>
      <c r="S52" s="60" t="e">
        <f t="shared" si="5"/>
        <v>#VALUE!</v>
      </c>
      <c r="T52" s="60" t="e">
        <f t="shared" si="5"/>
        <v>#VALUE!</v>
      </c>
      <c r="U52" s="60" t="e">
        <f t="shared" si="5"/>
        <v>#VALUE!</v>
      </c>
      <c r="V52" s="60" t="e">
        <f t="shared" si="5"/>
        <v>#VALUE!</v>
      </c>
      <c r="W52" s="60" t="e">
        <f t="shared" si="5"/>
        <v>#VALUE!</v>
      </c>
      <c r="X52" s="60" t="e">
        <f t="shared" si="5"/>
        <v>#VALUE!</v>
      </c>
      <c r="Y52" s="60" t="e">
        <f t="shared" si="5"/>
        <v>#VALUE!</v>
      </c>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row>
    <row r="53" spans="1:265" customFormat="1" x14ac:dyDescent="0.2">
      <c r="A53" s="2"/>
      <c r="B53" s="2"/>
      <c r="C53" s="2"/>
      <c r="D53" s="2"/>
      <c r="E53" s="2"/>
      <c r="F53" s="2"/>
      <c r="G53" s="2"/>
      <c r="H53" s="2"/>
      <c r="I53" s="2"/>
      <c r="J53" s="2"/>
      <c r="K53" s="2"/>
      <c r="L53" s="2"/>
      <c r="M53" s="2"/>
      <c r="N53" s="45"/>
      <c r="O53" s="45"/>
      <c r="P53" s="45"/>
      <c r="Q53" s="45"/>
      <c r="R53" s="45"/>
      <c r="S53" s="45"/>
      <c r="T53" s="45"/>
      <c r="U53" s="45"/>
      <c r="V53" s="45"/>
      <c r="W53" s="45"/>
      <c r="X53" s="45"/>
      <c r="Y53" s="45"/>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row>
    <row r="54" spans="1:265" customFormat="1" x14ac:dyDescent="0.2">
      <c r="A54" s="2"/>
      <c r="B54" s="2" t="s">
        <v>285</v>
      </c>
      <c r="C54" s="2"/>
      <c r="D54" s="2"/>
      <c r="E54" s="2"/>
      <c r="F54" s="2" t="s">
        <v>92</v>
      </c>
      <c r="G54" s="2"/>
      <c r="H54" s="2"/>
      <c r="I54" s="2"/>
      <c r="J54" s="2"/>
      <c r="K54" s="2"/>
      <c r="L54" s="2"/>
      <c r="M54" s="26"/>
      <c r="N54" s="26">
        <v>148988.37326299981</v>
      </c>
      <c r="O54" s="26">
        <v>240476.65705900011</v>
      </c>
      <c r="P54" s="26">
        <v>48473.373995000264</v>
      </c>
      <c r="Q54" s="26">
        <v>-32279.974194020033</v>
      </c>
      <c r="R54" s="26">
        <v>-177673.31887270592</v>
      </c>
      <c r="S54" s="26">
        <v>61980.846488729934</v>
      </c>
      <c r="T54" s="26">
        <v>258381.46040000021</v>
      </c>
      <c r="U54" s="26">
        <v>237038.65939999977</v>
      </c>
      <c r="V54" s="26">
        <v>384593.39244827651</v>
      </c>
      <c r="W54" s="26">
        <v>280663.95824775333</v>
      </c>
      <c r="X54" s="26">
        <v>198347.0927862057</v>
      </c>
      <c r="Y54" s="26">
        <v>311804.89770088927</v>
      </c>
      <c r="Z54" s="2"/>
      <c r="AA54" s="2" t="s">
        <v>453</v>
      </c>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row>
    <row r="55" spans="1:265" customFormat="1" x14ac:dyDescent="0.2">
      <c r="A55" s="2"/>
      <c r="B55" s="2"/>
      <c r="C55" s="2"/>
      <c r="D55" s="2"/>
      <c r="E55" s="2"/>
      <c r="F55" s="2"/>
      <c r="G55" s="2"/>
      <c r="H55" s="2"/>
      <c r="I55" s="2"/>
      <c r="J55" s="2"/>
      <c r="K55" s="2"/>
      <c r="L55" s="2"/>
      <c r="M55" s="2"/>
      <c r="N55" s="45"/>
      <c r="O55" s="45"/>
      <c r="P55" s="45"/>
      <c r="Q55" s="45"/>
      <c r="R55" s="45"/>
      <c r="S55" s="45"/>
      <c r="T55" s="45"/>
      <c r="U55" s="45"/>
      <c r="V55" s="45"/>
      <c r="W55" s="45"/>
      <c r="X55" s="45"/>
      <c r="Y55" s="45"/>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row>
    <row r="56" spans="1:265" customFormat="1" x14ac:dyDescent="0.2">
      <c r="A56" s="2"/>
      <c r="B56" s="2" t="s">
        <v>355</v>
      </c>
      <c r="C56" s="2"/>
      <c r="D56" s="2"/>
      <c r="E56" s="2"/>
      <c r="F56" s="2" t="s">
        <v>82</v>
      </c>
      <c r="G56" s="2"/>
      <c r="H56" s="67">
        <f>SUM(N54:Y54)</f>
        <v>1960795.418722129</v>
      </c>
      <c r="I56" s="2"/>
      <c r="J56" s="2"/>
      <c r="K56" s="2"/>
      <c r="L56" s="2"/>
      <c r="M56" s="2"/>
      <c r="N56" s="45"/>
      <c r="O56" s="45"/>
      <c r="P56" s="45"/>
      <c r="Q56" s="45"/>
      <c r="R56" s="45"/>
      <c r="S56" s="45"/>
      <c r="T56" s="45"/>
      <c r="U56" s="45"/>
      <c r="V56" s="45"/>
      <c r="W56" s="45"/>
      <c r="X56" s="45"/>
      <c r="Z56" s="2"/>
      <c r="AA56" s="2" t="s">
        <v>463</v>
      </c>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row>
    <row r="57" spans="1:265" customFormat="1" x14ac:dyDescent="0.2">
      <c r="A57" s="2"/>
      <c r="B57" s="2"/>
      <c r="C57" s="2"/>
      <c r="D57" s="2"/>
      <c r="E57" s="2"/>
      <c r="F57" s="2"/>
      <c r="G57" s="2"/>
      <c r="H57" s="2"/>
      <c r="I57" s="2"/>
      <c r="J57" s="2"/>
      <c r="K57" s="2"/>
      <c r="L57" s="2"/>
      <c r="M57" s="2"/>
      <c r="N57" s="2"/>
      <c r="O57" s="2"/>
      <c r="P57" s="2"/>
      <c r="Q57" s="2"/>
      <c r="R57" s="81"/>
      <c r="S57" s="81"/>
      <c r="T57" s="81"/>
      <c r="U57" s="81"/>
      <c r="V57" s="81"/>
      <c r="W57" s="81"/>
      <c r="X57" s="81"/>
      <c r="Y57" s="81"/>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row>
    <row r="61" spans="1:265" x14ac:dyDescent="0.2">
      <c r="B61" s="4" t="s">
        <v>55</v>
      </c>
    </row>
  </sheetData>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D6352-FC58-48A4-8341-4C767FCC3F73}">
  <sheetPr>
    <tabColor rgb="FFFFFFCC"/>
  </sheetPr>
  <dimension ref="B2:J62"/>
  <sheetViews>
    <sheetView showGridLines="0" zoomScale="85" zoomScaleNormal="85" workbookViewId="0">
      <pane xSplit="6" ySplit="11" topLeftCell="G12" activePane="bottomRight" state="frozen"/>
      <selection pane="topRight" activeCell="G1" sqref="G1"/>
      <selection pane="bottomLeft" activeCell="A12" sqref="A12"/>
      <selection pane="bottomRight" activeCell="G12" sqref="G12"/>
    </sheetView>
  </sheetViews>
  <sheetFormatPr defaultRowHeight="12.75" x14ac:dyDescent="0.2"/>
  <cols>
    <col min="1" max="1" width="4.7109375" style="2" customWidth="1"/>
    <col min="2" max="2" width="67.5703125" style="2" customWidth="1"/>
    <col min="3" max="3" width="4.7109375" style="2" customWidth="1"/>
    <col min="4" max="5" width="4.5703125" style="2" customWidth="1"/>
    <col min="6" max="6" width="17.85546875" style="2" customWidth="1"/>
    <col min="7" max="7" width="2.7109375" style="2" customWidth="1"/>
    <col min="8" max="8" width="13.7109375" style="2" customWidth="1"/>
    <col min="9" max="9" width="2.7109375" style="2" customWidth="1"/>
    <col min="10" max="10" width="91.85546875" style="2" customWidth="1"/>
    <col min="11" max="11" width="2.7109375" style="2" customWidth="1"/>
    <col min="12" max="14" width="12.140625" style="2" customWidth="1"/>
    <col min="15" max="26" width="12.42578125" style="2" customWidth="1"/>
    <col min="27" max="39" width="13.7109375" style="2" customWidth="1"/>
    <col min="40" max="16384" width="9.140625" style="2"/>
  </cols>
  <sheetData>
    <row r="2" spans="2:10" s="14" customFormat="1" ht="18" x14ac:dyDescent="0.2">
      <c r="B2" s="14" t="s">
        <v>227</v>
      </c>
    </row>
    <row r="4" spans="2:10" x14ac:dyDescent="0.2">
      <c r="B4" s="22" t="s">
        <v>181</v>
      </c>
      <c r="C4" s="1"/>
      <c r="D4" s="1"/>
    </row>
    <row r="5" spans="2:10" x14ac:dyDescent="0.2">
      <c r="B5" s="2" t="s">
        <v>457</v>
      </c>
      <c r="H5" s="15"/>
    </row>
    <row r="6" spans="2:10" x14ac:dyDescent="0.2">
      <c r="B6" s="2" t="s">
        <v>211</v>
      </c>
      <c r="H6" s="15"/>
    </row>
    <row r="7" spans="2:10" x14ac:dyDescent="0.2">
      <c r="B7" s="2" t="s">
        <v>212</v>
      </c>
      <c r="H7" s="15"/>
    </row>
    <row r="8" spans="2:10" x14ac:dyDescent="0.2">
      <c r="H8" s="15"/>
    </row>
    <row r="10" spans="2:10" s="8" customFormat="1" x14ac:dyDescent="0.2">
      <c r="B10" s="8" t="s">
        <v>10</v>
      </c>
      <c r="F10" s="8" t="s">
        <v>33</v>
      </c>
      <c r="H10" s="8" t="s">
        <v>34</v>
      </c>
      <c r="J10" s="8" t="s">
        <v>213</v>
      </c>
    </row>
    <row r="13" spans="2:10" s="8" customFormat="1" x14ac:dyDescent="0.2">
      <c r="B13" s="8" t="s">
        <v>228</v>
      </c>
    </row>
    <row r="15" spans="2:10" x14ac:dyDescent="0.2">
      <c r="B15" s="22" t="s">
        <v>232</v>
      </c>
    </row>
    <row r="16" spans="2:10" x14ac:dyDescent="0.2">
      <c r="B16" s="41" t="s">
        <v>209</v>
      </c>
      <c r="F16" s="2" t="s">
        <v>82</v>
      </c>
      <c r="H16" s="29">
        <f>'Est. and realized costs 2020'!H19</f>
        <v>15440611.289860517</v>
      </c>
    </row>
    <row r="17" spans="2:10" x14ac:dyDescent="0.2">
      <c r="B17" s="41" t="s">
        <v>229</v>
      </c>
      <c r="F17" s="2" t="s">
        <v>82</v>
      </c>
      <c r="H17" s="29">
        <f>'Est. and realized costs 2020'!H20</f>
        <v>6968225.6726599997</v>
      </c>
    </row>
    <row r="18" spans="2:10" x14ac:dyDescent="0.2">
      <c r="B18" s="36" t="s">
        <v>214</v>
      </c>
      <c r="F18" s="2" t="s">
        <v>66</v>
      </c>
      <c r="H18" s="64">
        <f>'Est. and realized costs 2020'!H21</f>
        <v>0.1103</v>
      </c>
    </row>
    <row r="20" spans="2:10" x14ac:dyDescent="0.2">
      <c r="B20" s="2" t="s">
        <v>458</v>
      </c>
      <c r="F20" s="2" t="s">
        <v>84</v>
      </c>
      <c r="H20" s="29">
        <f>'Est. and realized costs 2020'!H24</f>
        <v>122900000</v>
      </c>
    </row>
    <row r="22" spans="2:10" x14ac:dyDescent="0.2">
      <c r="B22" s="1" t="s">
        <v>230</v>
      </c>
    </row>
    <row r="23" spans="2:10" x14ac:dyDescent="0.2">
      <c r="B23" s="2" t="s">
        <v>89</v>
      </c>
      <c r="F23" s="2" t="s">
        <v>82</v>
      </c>
      <c r="H23" s="29">
        <f>'Est. and realized costs 2020'!H33</f>
        <v>6895185</v>
      </c>
    </row>
    <row r="24" spans="2:10" x14ac:dyDescent="0.2">
      <c r="B24" s="2" t="s">
        <v>231</v>
      </c>
      <c r="F24" s="2" t="s">
        <v>82</v>
      </c>
      <c r="H24" s="29">
        <f>'Calculation RAB'!H191</f>
        <v>7746155.2010392249</v>
      </c>
    </row>
    <row r="26" spans="2:10" x14ac:dyDescent="0.2">
      <c r="B26" s="2" t="s">
        <v>459</v>
      </c>
      <c r="F26" s="2" t="s">
        <v>84</v>
      </c>
      <c r="H26" s="29">
        <f>'Production and fuel costs 2020'!J31</f>
        <v>120678084</v>
      </c>
      <c r="J26" s="15"/>
    </row>
    <row r="28" spans="2:10" x14ac:dyDescent="0.2">
      <c r="B28" s="2" t="s">
        <v>71</v>
      </c>
      <c r="F28" s="2" t="s">
        <v>66</v>
      </c>
      <c r="H28" s="64">
        <f>Parameters!H42</f>
        <v>0.5</v>
      </c>
    </row>
    <row r="31" spans="2:10" s="8" customFormat="1" x14ac:dyDescent="0.2">
      <c r="B31" s="8" t="s">
        <v>259</v>
      </c>
    </row>
    <row r="33" spans="2:10" x14ac:dyDescent="0.2">
      <c r="B33" s="1" t="s">
        <v>260</v>
      </c>
    </row>
    <row r="34" spans="2:10" x14ac:dyDescent="0.2">
      <c r="B34" s="36" t="s">
        <v>215</v>
      </c>
      <c r="F34" s="2" t="s">
        <v>82</v>
      </c>
      <c r="H34" s="30">
        <f>H17*H18</f>
        <v>768595.29169439792</v>
      </c>
      <c r="J34" s="2" t="s">
        <v>216</v>
      </c>
    </row>
    <row r="35" spans="2:10" x14ac:dyDescent="0.2">
      <c r="B35" s="2" t="s">
        <v>262</v>
      </c>
      <c r="F35" s="2" t="s">
        <v>82</v>
      </c>
      <c r="H35" s="60">
        <f>H16-H34</f>
        <v>14672015.99816612</v>
      </c>
      <c r="J35" s="43"/>
    </row>
    <row r="36" spans="2:10" x14ac:dyDescent="0.2">
      <c r="B36" s="2" t="s">
        <v>217</v>
      </c>
      <c r="F36" s="2" t="s">
        <v>261</v>
      </c>
      <c r="H36" s="68">
        <f>H34/H20</f>
        <v>6.2538266207843602E-3</v>
      </c>
      <c r="J36" s="43" t="s">
        <v>218</v>
      </c>
    </row>
    <row r="38" spans="2:10" x14ac:dyDescent="0.2">
      <c r="B38" s="2" t="s">
        <v>263</v>
      </c>
      <c r="F38" s="2" t="s">
        <v>82</v>
      </c>
      <c r="H38" s="30">
        <f>H36*H26</f>
        <v>754699.81426445115</v>
      </c>
    </row>
    <row r="39" spans="2:10" x14ac:dyDescent="0.2">
      <c r="B39" s="2" t="s">
        <v>264</v>
      </c>
      <c r="F39" s="2" t="s">
        <v>82</v>
      </c>
      <c r="H39" s="30">
        <f>H35+H38</f>
        <v>15426715.812430572</v>
      </c>
      <c r="J39" s="2" t="s">
        <v>219</v>
      </c>
    </row>
    <row r="41" spans="2:10" x14ac:dyDescent="0.2">
      <c r="B41" s="1" t="s">
        <v>272</v>
      </c>
    </row>
    <row r="42" spans="2:10" x14ac:dyDescent="0.2">
      <c r="B42" s="2" t="s">
        <v>220</v>
      </c>
      <c r="F42" s="2" t="s">
        <v>82</v>
      </c>
      <c r="H42" s="60">
        <f>SUM(H23:H24)</f>
        <v>14641340.201039225</v>
      </c>
      <c r="J42" s="2" t="s">
        <v>221</v>
      </c>
    </row>
    <row r="45" spans="2:10" s="8" customFormat="1" x14ac:dyDescent="0.2">
      <c r="B45" s="8" t="s">
        <v>222</v>
      </c>
    </row>
    <row r="47" spans="2:10" x14ac:dyDescent="0.2">
      <c r="B47" s="1" t="s">
        <v>267</v>
      </c>
    </row>
    <row r="48" spans="2:10" x14ac:dyDescent="0.2">
      <c r="B48" s="2" t="s">
        <v>268</v>
      </c>
      <c r="F48" s="2" t="s">
        <v>82</v>
      </c>
      <c r="H48" s="60">
        <f>H35*(H26/H20)</f>
        <v>14406759.797201261</v>
      </c>
    </row>
    <row r="49" spans="2:10" x14ac:dyDescent="0.2">
      <c r="B49" s="2" t="s">
        <v>270</v>
      </c>
      <c r="F49" s="2" t="s">
        <v>82</v>
      </c>
      <c r="H49" s="24">
        <f>H35-H48</f>
        <v>265256.20096485876</v>
      </c>
      <c r="J49" s="2" t="s">
        <v>269</v>
      </c>
    </row>
    <row r="50" spans="2:10" x14ac:dyDescent="0.2">
      <c r="J50" s="21"/>
    </row>
    <row r="52" spans="2:10" s="8" customFormat="1" x14ac:dyDescent="0.2">
      <c r="B52" s="8" t="s">
        <v>223</v>
      </c>
    </row>
    <row r="54" spans="2:10" x14ac:dyDescent="0.2">
      <c r="B54" s="1" t="s">
        <v>224</v>
      </c>
    </row>
    <row r="55" spans="2:10" x14ac:dyDescent="0.2">
      <c r="B55" s="2" t="s">
        <v>271</v>
      </c>
      <c r="F55" s="2" t="s">
        <v>82</v>
      </c>
      <c r="H55" s="30">
        <f>H39-H42</f>
        <v>785375.6113913469</v>
      </c>
    </row>
    <row r="56" spans="2:10" x14ac:dyDescent="0.2">
      <c r="B56" s="2" t="s">
        <v>225</v>
      </c>
      <c r="F56" s="2" t="s">
        <v>82</v>
      </c>
      <c r="H56" s="24">
        <f>H55*-1*H28</f>
        <v>-392687.80569567345</v>
      </c>
      <c r="J56" s="2" t="s">
        <v>226</v>
      </c>
    </row>
    <row r="62" spans="2:10" x14ac:dyDescent="0.2">
      <c r="B62" s="4"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7394F-55BE-4720-88EC-B1A7F3999C52}">
  <sheetPr>
    <tabColor rgb="FFFFFFCC"/>
  </sheetPr>
  <dimension ref="B2:AB93"/>
  <sheetViews>
    <sheetView showGridLines="0" zoomScale="85" zoomScaleNormal="85" workbookViewId="0">
      <pane xSplit="6" ySplit="11" topLeftCell="G12" activePane="bottomRight" state="frozen"/>
      <selection activeCell="R6" sqref="R6"/>
      <selection pane="topRight" activeCell="R6" sqref="R6"/>
      <selection pane="bottomLeft" activeCell="R6" sqref="R6"/>
      <selection pane="bottomRight" activeCell="G12" sqref="G12"/>
    </sheetView>
  </sheetViews>
  <sheetFormatPr defaultRowHeight="12.75" x14ac:dyDescent="0.2"/>
  <cols>
    <col min="1" max="1" width="4.7109375" style="2" customWidth="1"/>
    <col min="2" max="2" width="77.5703125" style="2" customWidth="1"/>
    <col min="3" max="3" width="4.7109375" style="2" customWidth="1"/>
    <col min="4" max="5" width="4.5703125" style="2" customWidth="1"/>
    <col min="6" max="6" width="16.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21" width="12.140625" style="2" customWidth="1"/>
    <col min="22" max="24" width="2.7109375" style="2" customWidth="1"/>
    <col min="25" max="39" width="13.7109375" style="2" customWidth="1"/>
    <col min="40" max="16384" width="9.140625" style="2"/>
  </cols>
  <sheetData>
    <row r="2" spans="2:10" s="14" customFormat="1" ht="18" x14ac:dyDescent="0.2">
      <c r="B2" s="14" t="s">
        <v>301</v>
      </c>
    </row>
    <row r="4" spans="2:10" x14ac:dyDescent="0.2">
      <c r="B4" s="22" t="s">
        <v>181</v>
      </c>
      <c r="C4" s="1"/>
      <c r="D4" s="1"/>
    </row>
    <row r="5" spans="2:10" x14ac:dyDescent="0.2">
      <c r="B5" s="2" t="s">
        <v>302</v>
      </c>
      <c r="H5" s="15"/>
    </row>
    <row r="6" spans="2:10" x14ac:dyDescent="0.2">
      <c r="B6" s="2" t="s">
        <v>361</v>
      </c>
      <c r="H6" s="15"/>
    </row>
    <row r="7" spans="2:10" x14ac:dyDescent="0.2">
      <c r="B7" s="2" t="s">
        <v>460</v>
      </c>
      <c r="H7" s="15"/>
    </row>
    <row r="8" spans="2:10" x14ac:dyDescent="0.2">
      <c r="B8" s="23"/>
    </row>
    <row r="10" spans="2:10" s="8" customFormat="1" x14ac:dyDescent="0.2">
      <c r="B10" s="8" t="s">
        <v>10</v>
      </c>
      <c r="F10" s="8" t="s">
        <v>33</v>
      </c>
      <c r="H10" s="8" t="s">
        <v>34</v>
      </c>
      <c r="J10" s="8" t="s">
        <v>213</v>
      </c>
    </row>
    <row r="13" spans="2:10" s="8" customFormat="1" x14ac:dyDescent="0.2">
      <c r="B13" s="8" t="s">
        <v>401</v>
      </c>
    </row>
    <row r="15" spans="2:10" x14ac:dyDescent="0.2">
      <c r="B15" s="2" t="s">
        <v>69</v>
      </c>
      <c r="F15" s="2" t="s">
        <v>66</v>
      </c>
      <c r="H15" s="40">
        <f>Parameters!H25</f>
        <v>-1.7999999999999999E-2</v>
      </c>
    </row>
    <row r="16" spans="2:10" x14ac:dyDescent="0.2">
      <c r="B16" s="2" t="s">
        <v>73</v>
      </c>
      <c r="F16" s="2" t="s">
        <v>66</v>
      </c>
      <c r="H16" s="40">
        <f>Parameters!H26</f>
        <v>4.2999999999999997E-2</v>
      </c>
    </row>
    <row r="18" spans="2:8" x14ac:dyDescent="0.2">
      <c r="B18" s="2" t="s">
        <v>411</v>
      </c>
      <c r="F18" s="2" t="s">
        <v>66</v>
      </c>
      <c r="H18" s="40">
        <f>Parameters!H31</f>
        <v>0.03</v>
      </c>
    </row>
    <row r="20" spans="2:8" x14ac:dyDescent="0.2">
      <c r="B20" s="2" t="s">
        <v>402</v>
      </c>
      <c r="F20" s="2" t="s">
        <v>328</v>
      </c>
      <c r="H20" s="85">
        <f>(1+$H$18)^5</f>
        <v>1.1592740742999998</v>
      </c>
    </row>
    <row r="21" spans="2:8" x14ac:dyDescent="0.2">
      <c r="B21" s="2" t="s">
        <v>404</v>
      </c>
      <c r="F21" s="2" t="s">
        <v>328</v>
      </c>
      <c r="H21" s="85">
        <f>(1+$H$18)^4</f>
        <v>1.1255088099999999</v>
      </c>
    </row>
    <row r="22" spans="2:8" x14ac:dyDescent="0.2">
      <c r="B22" s="2" t="s">
        <v>405</v>
      </c>
      <c r="F22" s="2" t="s">
        <v>328</v>
      </c>
      <c r="H22" s="85">
        <f>(1+$H$18)^3</f>
        <v>1.092727</v>
      </c>
    </row>
    <row r="23" spans="2:8" x14ac:dyDescent="0.2">
      <c r="B23" s="2" t="s">
        <v>403</v>
      </c>
      <c r="F23" s="2" t="s">
        <v>328</v>
      </c>
      <c r="H23" s="85">
        <f>(1+$H$18)^2</f>
        <v>1.0609</v>
      </c>
    </row>
    <row r="26" spans="2:8" s="8" customFormat="1" x14ac:dyDescent="0.2">
      <c r="B26" s="8" t="s">
        <v>303</v>
      </c>
    </row>
    <row r="28" spans="2:8" x14ac:dyDescent="0.2">
      <c r="B28" s="1" t="s">
        <v>304</v>
      </c>
    </row>
    <row r="29" spans="2:8" x14ac:dyDescent="0.2">
      <c r="B29" s="2" t="s">
        <v>305</v>
      </c>
      <c r="F29" s="2" t="s">
        <v>82</v>
      </c>
      <c r="H29" s="29">
        <f>'Est. and realized costs 2020'!H33</f>
        <v>6895185</v>
      </c>
    </row>
    <row r="30" spans="2:8" x14ac:dyDescent="0.2">
      <c r="B30" s="2" t="s">
        <v>294</v>
      </c>
      <c r="F30" s="2" t="s">
        <v>66</v>
      </c>
      <c r="H30" s="82">
        <f>'Est. production and costs 2022'!H26</f>
        <v>0.11</v>
      </c>
    </row>
    <row r="32" spans="2:8" x14ac:dyDescent="0.2">
      <c r="B32" s="1" t="s">
        <v>311</v>
      </c>
    </row>
    <row r="33" spans="2:28" x14ac:dyDescent="0.2">
      <c r="B33" s="2" t="s">
        <v>295</v>
      </c>
      <c r="F33" s="2" t="s">
        <v>250</v>
      </c>
      <c r="H33" s="29">
        <f>'Calculation RAB'!H199</f>
        <v>4484344.7241797857</v>
      </c>
    </row>
    <row r="34" spans="2:28" x14ac:dyDescent="0.2">
      <c r="B34" s="2" t="s">
        <v>296</v>
      </c>
      <c r="F34" s="2" t="s">
        <v>250</v>
      </c>
      <c r="H34" s="29">
        <f>'Calculation RAB'!H204</f>
        <v>128879.97236318553</v>
      </c>
    </row>
    <row r="35" spans="2:28" x14ac:dyDescent="0.2">
      <c r="B35" s="2" t="s">
        <v>312</v>
      </c>
      <c r="F35" s="2" t="s">
        <v>250</v>
      </c>
      <c r="H35" s="29">
        <f>'Calculation RAB'!H209</f>
        <v>2547630.1689253934</v>
      </c>
    </row>
    <row r="37" spans="2:28" x14ac:dyDescent="0.2">
      <c r="B37" s="1"/>
    </row>
    <row r="38" spans="2:28" s="8" customFormat="1" x14ac:dyDescent="0.2">
      <c r="B38" s="8" t="s">
        <v>313</v>
      </c>
    </row>
    <row r="40" spans="2:28" x14ac:dyDescent="0.2">
      <c r="B40" s="1" t="s">
        <v>297</v>
      </c>
    </row>
    <row r="41" spans="2:28" x14ac:dyDescent="0.2">
      <c r="B41" s="2" t="s">
        <v>314</v>
      </c>
      <c r="F41" s="2" t="s">
        <v>84</v>
      </c>
      <c r="H41" s="29">
        <f>'Est. production and costs 2022'!H15</f>
        <v>96100025</v>
      </c>
    </row>
    <row r="42" spans="2:28" s="50" customFormat="1" x14ac:dyDescent="0.2">
      <c r="B42" s="2" t="s">
        <v>315</v>
      </c>
      <c r="F42" s="41" t="s">
        <v>84</v>
      </c>
      <c r="H42" s="29">
        <f>'Est. production and costs 2022'!H17</f>
        <v>36000000</v>
      </c>
      <c r="J42" s="2"/>
    </row>
    <row r="43" spans="2:28" s="50" customFormat="1" x14ac:dyDescent="0.2">
      <c r="B43" s="2" t="s">
        <v>316</v>
      </c>
      <c r="F43" s="41" t="s">
        <v>84</v>
      </c>
      <c r="H43" s="30">
        <f>H41+H42</f>
        <v>132100025</v>
      </c>
      <c r="J43" s="2"/>
    </row>
    <row r="45" spans="2:28" x14ac:dyDescent="0.2">
      <c r="B45" s="2" t="s">
        <v>298</v>
      </c>
      <c r="F45" s="2" t="s">
        <v>66</v>
      </c>
      <c r="H45" s="78">
        <f>H42/H43</f>
        <v>0.272520765987743</v>
      </c>
    </row>
    <row r="47" spans="2:28" s="50" customFormat="1" x14ac:dyDescent="0.2">
      <c r="B47" s="63" t="s">
        <v>173</v>
      </c>
      <c r="J47" s="91"/>
      <c r="M47" s="79"/>
      <c r="AB47" s="53"/>
    </row>
    <row r="48" spans="2:28" s="50" customFormat="1" x14ac:dyDescent="0.2">
      <c r="B48" s="2" t="s">
        <v>174</v>
      </c>
      <c r="C48" s="2"/>
      <c r="D48" s="2"/>
      <c r="E48" s="2"/>
      <c r="F48" s="2" t="s">
        <v>175</v>
      </c>
      <c r="G48" s="2"/>
      <c r="H48" s="69">
        <f>'Fuel costs and income 2020'!H30</f>
        <v>0.27324166362231295</v>
      </c>
      <c r="J48" s="2"/>
      <c r="L48" s="79"/>
      <c r="M48" s="79"/>
      <c r="AB48" s="53"/>
    </row>
    <row r="49" spans="2:10" x14ac:dyDescent="0.2">
      <c r="B49" s="2" t="s">
        <v>179</v>
      </c>
      <c r="F49" s="2" t="s">
        <v>157</v>
      </c>
      <c r="H49" s="69">
        <f>'Est. production and costs 2022'!H20</f>
        <v>0.78</v>
      </c>
    </row>
    <row r="52" spans="2:10" s="8" customFormat="1" x14ac:dyDescent="0.2">
      <c r="B52" s="8" t="s">
        <v>318</v>
      </c>
    </row>
    <row r="54" spans="2:10" x14ac:dyDescent="0.2">
      <c r="B54" s="1" t="s">
        <v>319</v>
      </c>
    </row>
    <row r="55" spans="2:10" x14ac:dyDescent="0.2">
      <c r="B55" s="2" t="s">
        <v>320</v>
      </c>
      <c r="F55" s="2" t="s">
        <v>250</v>
      </c>
      <c r="H55" s="30">
        <f>H29*(1+H15)*(1+H16)</f>
        <v>7062227.7518099993</v>
      </c>
      <c r="J55" s="2" t="s">
        <v>438</v>
      </c>
    </row>
    <row r="56" spans="2:10" x14ac:dyDescent="0.2">
      <c r="B56" s="2" t="s">
        <v>439</v>
      </c>
      <c r="F56" s="2" t="s">
        <v>250</v>
      </c>
      <c r="H56" s="30">
        <f>SUM(H33:H35)</f>
        <v>7160854.8654683642</v>
      </c>
    </row>
    <row r="57" spans="2:10" x14ac:dyDescent="0.2">
      <c r="B57" s="2" t="s">
        <v>321</v>
      </c>
      <c r="F57" s="2" t="s">
        <v>250</v>
      </c>
      <c r="H57" s="24">
        <f>SUM(H55:H56)</f>
        <v>14223082.617278364</v>
      </c>
    </row>
    <row r="58" spans="2:10" x14ac:dyDescent="0.2">
      <c r="B58" s="1"/>
      <c r="H58" s="43"/>
    </row>
    <row r="59" spans="2:10" x14ac:dyDescent="0.2">
      <c r="B59" s="1" t="s">
        <v>323</v>
      </c>
    </row>
    <row r="60" spans="2:10" x14ac:dyDescent="0.2">
      <c r="B60" s="2" t="s">
        <v>461</v>
      </c>
      <c r="F60" s="2" t="s">
        <v>250</v>
      </c>
      <c r="H60" s="29">
        <f>H57</f>
        <v>14223082.617278364</v>
      </c>
    </row>
    <row r="62" spans="2:10" x14ac:dyDescent="0.2">
      <c r="B62" s="4" t="s">
        <v>357</v>
      </c>
    </row>
    <row r="63" spans="2:10" x14ac:dyDescent="0.2">
      <c r="B63" s="2" t="s">
        <v>325</v>
      </c>
      <c r="F63" s="2" t="s">
        <v>82</v>
      </c>
      <c r="H63" s="29">
        <f>'Volume corr. and P.S. 2020'!H49</f>
        <v>265256.20096485876</v>
      </c>
    </row>
    <row r="64" spans="2:10" x14ac:dyDescent="0.2">
      <c r="B64" s="2" t="s">
        <v>327</v>
      </c>
      <c r="F64" s="2" t="s">
        <v>82</v>
      </c>
      <c r="H64" s="29">
        <f>'Volume corr. and P.S. 2020'!H56</f>
        <v>-392687.80569567345</v>
      </c>
    </row>
    <row r="65" spans="2:10" x14ac:dyDescent="0.2">
      <c r="B65" s="2" t="s">
        <v>326</v>
      </c>
      <c r="F65" s="2" t="s">
        <v>82</v>
      </c>
      <c r="H65" s="29">
        <f>'Fuel costs and income 2020'!H56</f>
        <v>1960795.418722129</v>
      </c>
      <c r="J65" s="21"/>
    </row>
    <row r="66" spans="2:10" x14ac:dyDescent="0.2">
      <c r="B66" s="2" t="s">
        <v>359</v>
      </c>
      <c r="F66" s="2" t="s">
        <v>250</v>
      </c>
      <c r="H66" s="30">
        <f>SUM(H63:H65)*H23</f>
        <v>1945015.6702633852</v>
      </c>
      <c r="J66" s="2" t="s">
        <v>408</v>
      </c>
    </row>
    <row r="67" spans="2:10" x14ac:dyDescent="0.2">
      <c r="J67" s="21"/>
    </row>
    <row r="68" spans="2:10" x14ac:dyDescent="0.2">
      <c r="B68" s="4" t="s">
        <v>358</v>
      </c>
      <c r="J68" s="21"/>
    </row>
    <row r="69" spans="2:10" x14ac:dyDescent="0.2">
      <c r="B69" s="2" t="s">
        <v>362</v>
      </c>
      <c r="F69" s="2" t="s">
        <v>366</v>
      </c>
      <c r="H69" s="29">
        <f>'Est. production and costs 2022'!H29</f>
        <v>1229054.8183258772</v>
      </c>
      <c r="J69" s="21"/>
    </row>
    <row r="70" spans="2:10" x14ac:dyDescent="0.2">
      <c r="B70" s="2" t="s">
        <v>363</v>
      </c>
      <c r="F70" s="2" t="s">
        <v>367</v>
      </c>
      <c r="H70" s="29">
        <f>'Est. production and costs 2022'!H30</f>
        <v>1226423.1065715633</v>
      </c>
      <c r="J70" s="21"/>
    </row>
    <row r="71" spans="2:10" x14ac:dyDescent="0.2">
      <c r="B71" s="2" t="s">
        <v>426</v>
      </c>
      <c r="F71" s="2" t="s">
        <v>82</v>
      </c>
      <c r="H71" s="29">
        <f>'Est. production and costs 2022'!H31</f>
        <v>-98319.999999999403</v>
      </c>
      <c r="J71" s="21"/>
    </row>
    <row r="72" spans="2:10" x14ac:dyDescent="0.2">
      <c r="B72" s="2" t="s">
        <v>364</v>
      </c>
      <c r="F72" s="2" t="s">
        <v>81</v>
      </c>
      <c r="H72" s="29">
        <f>'Est. production and costs 2022'!H32</f>
        <v>615974.89115644176</v>
      </c>
      <c r="J72" s="21"/>
    </row>
    <row r="73" spans="2:10" x14ac:dyDescent="0.2">
      <c r="B73" s="2" t="s">
        <v>427</v>
      </c>
      <c r="F73" s="2" t="s">
        <v>81</v>
      </c>
      <c r="H73" s="29">
        <f>'Est. production and costs 2022'!H33</f>
        <v>-321.78211524058133</v>
      </c>
      <c r="J73" s="21"/>
    </row>
    <row r="74" spans="2:10" x14ac:dyDescent="0.2">
      <c r="B74" s="2" t="s">
        <v>372</v>
      </c>
      <c r="F74" s="2" t="s">
        <v>81</v>
      </c>
      <c r="H74" s="29">
        <f>'Est. production and costs 2022'!H34</f>
        <v>1320000</v>
      </c>
      <c r="J74" s="21"/>
    </row>
    <row r="75" spans="2:10" x14ac:dyDescent="0.2">
      <c r="B75" s="2" t="s">
        <v>365</v>
      </c>
      <c r="F75" s="2" t="s">
        <v>81</v>
      </c>
      <c r="H75" s="29">
        <f>'Est. production and costs 2022'!H35</f>
        <v>215527</v>
      </c>
      <c r="J75" s="21"/>
    </row>
    <row r="76" spans="2:10" x14ac:dyDescent="0.2">
      <c r="B76" s="2" t="s">
        <v>360</v>
      </c>
      <c r="F76" s="2" t="s">
        <v>250</v>
      </c>
      <c r="H76" s="30">
        <f>H69*H20+H70*H21+SUM(H72:H75)*H22+H71*H23</f>
        <v>5051506.2970248144</v>
      </c>
      <c r="J76" s="2" t="s">
        <v>408</v>
      </c>
    </row>
    <row r="77" spans="2:10" x14ac:dyDescent="0.2">
      <c r="J77" s="21"/>
    </row>
    <row r="78" spans="2:10" x14ac:dyDescent="0.2">
      <c r="B78" s="2" t="s">
        <v>418</v>
      </c>
      <c r="F78" s="2" t="s">
        <v>250</v>
      </c>
      <c r="H78" s="24">
        <f>H60+H66+H76</f>
        <v>21219604.584566563</v>
      </c>
      <c r="J78" s="15"/>
    </row>
    <row r="79" spans="2:10" x14ac:dyDescent="0.2">
      <c r="B79" s="1"/>
    </row>
    <row r="80" spans="2:10" x14ac:dyDescent="0.2">
      <c r="B80" s="1"/>
      <c r="H80" s="43"/>
    </row>
    <row r="81" spans="2:10" x14ac:dyDescent="0.2">
      <c r="B81" s="4" t="s">
        <v>416</v>
      </c>
    </row>
    <row r="82" spans="2:10" x14ac:dyDescent="0.2">
      <c r="B82" s="2" t="s">
        <v>322</v>
      </c>
      <c r="F82" s="2" t="s">
        <v>250</v>
      </c>
      <c r="H82" s="24">
        <f>H55*H30</f>
        <v>776845.05269909988</v>
      </c>
      <c r="J82" s="2" t="s">
        <v>407</v>
      </c>
    </row>
    <row r="83" spans="2:10" x14ac:dyDescent="0.2">
      <c r="B83" s="2" t="s">
        <v>464</v>
      </c>
      <c r="F83" s="2" t="s">
        <v>250</v>
      </c>
      <c r="H83" s="24">
        <f>H69*H20+H70*H21+SUM(H72:H74)*H22+H71*H23</f>
        <v>4815994.1248958148</v>
      </c>
      <c r="J83" s="2" t="s">
        <v>417</v>
      </c>
    </row>
    <row r="84" spans="2:10" x14ac:dyDescent="0.2">
      <c r="B84" s="1"/>
    </row>
    <row r="85" spans="2:10" x14ac:dyDescent="0.2">
      <c r="B85" s="1"/>
    </row>
    <row r="86" spans="2:10" s="8" customFormat="1" x14ac:dyDescent="0.2">
      <c r="B86" s="8" t="s">
        <v>419</v>
      </c>
    </row>
    <row r="88" spans="2:10" x14ac:dyDescent="0.2">
      <c r="B88" s="1" t="s">
        <v>299</v>
      </c>
    </row>
    <row r="89" spans="2:10" x14ac:dyDescent="0.2">
      <c r="B89" s="2" t="s">
        <v>420</v>
      </c>
      <c r="F89" s="2" t="s">
        <v>342</v>
      </c>
      <c r="H89" s="80">
        <f>(1-H45)*H49*H48</f>
        <v>0.1550465561987121</v>
      </c>
      <c r="J89" s="2" t="s">
        <v>300</v>
      </c>
    </row>
    <row r="93" spans="2:10" x14ac:dyDescent="0.2">
      <c r="B93" s="4" t="s">
        <v>55</v>
      </c>
    </row>
  </sheetData>
  <phoneticPr fontId="3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F43"/>
  <sheetViews>
    <sheetView showGridLines="0" zoomScale="85" zoomScaleNormal="85" workbookViewId="0">
      <pane ySplit="3" topLeftCell="A4" activePane="bottomLeft" state="frozen"/>
      <selection activeCell="O39" sqref="O39"/>
      <selection pane="bottomLeft" activeCell="A4" sqref="A4"/>
    </sheetView>
  </sheetViews>
  <sheetFormatPr defaultRowHeight="12.75" x14ac:dyDescent="0.2"/>
  <cols>
    <col min="1" max="1" width="4.7109375" style="2" customWidth="1"/>
    <col min="2" max="2" width="27.85546875" style="2" customWidth="1"/>
    <col min="3" max="3" width="7.140625" style="2" customWidth="1"/>
    <col min="4" max="4" width="56.85546875" style="2" customWidth="1"/>
    <col min="5" max="5" width="29.85546875" style="2" customWidth="1"/>
    <col min="6" max="6" width="24.7109375" style="2" customWidth="1"/>
    <col min="7" max="7" width="37.28515625" style="2" customWidth="1"/>
    <col min="8" max="16384" width="9.140625" style="2"/>
  </cols>
  <sheetData>
    <row r="2" spans="2:6" s="7" customFormat="1" ht="18" x14ac:dyDescent="0.2">
      <c r="B2" s="7" t="s">
        <v>43</v>
      </c>
    </row>
    <row r="3" spans="2:6" x14ac:dyDescent="0.2">
      <c r="B3" s="32"/>
    </row>
    <row r="4" spans="2:6" x14ac:dyDescent="0.2">
      <c r="B4" s="32"/>
    </row>
    <row r="5" spans="2:6" s="8" customFormat="1" x14ac:dyDescent="0.2">
      <c r="B5" s="8" t="s">
        <v>389</v>
      </c>
    </row>
    <row r="7" spans="2:6" x14ac:dyDescent="0.2">
      <c r="B7" s="2" t="s">
        <v>390</v>
      </c>
    </row>
    <row r="8" spans="2:6" x14ac:dyDescent="0.2">
      <c r="B8" s="2" t="s">
        <v>391</v>
      </c>
    </row>
    <row r="9" spans="2:6" x14ac:dyDescent="0.2">
      <c r="B9" s="2" t="s">
        <v>388</v>
      </c>
    </row>
    <row r="12" spans="2:6" s="8" customFormat="1" x14ac:dyDescent="0.2">
      <c r="B12" s="8" t="s">
        <v>44</v>
      </c>
    </row>
    <row r="13" spans="2:6" x14ac:dyDescent="0.2">
      <c r="C13" s="9"/>
    </row>
    <row r="14" spans="2:6" x14ac:dyDescent="0.2">
      <c r="B14" s="22" t="s">
        <v>9</v>
      </c>
      <c r="C14" s="9"/>
      <c r="D14" s="22" t="s">
        <v>10</v>
      </c>
      <c r="F14" s="11"/>
    </row>
    <row r="15" spans="2:6" x14ac:dyDescent="0.2">
      <c r="C15" s="9"/>
    </row>
    <row r="16" spans="2:6" x14ac:dyDescent="0.2">
      <c r="B16" s="27">
        <v>123</v>
      </c>
      <c r="C16" s="9"/>
      <c r="D16" s="17" t="s">
        <v>11</v>
      </c>
    </row>
    <row r="17" spans="2:6" x14ac:dyDescent="0.2">
      <c r="B17" s="29">
        <f>B16</f>
        <v>123</v>
      </c>
      <c r="C17" s="9"/>
      <c r="D17" s="2" t="s">
        <v>45</v>
      </c>
    </row>
    <row r="18" spans="2:6" x14ac:dyDescent="0.2">
      <c r="B18" s="30">
        <f>B17+B16</f>
        <v>246</v>
      </c>
      <c r="C18" s="9"/>
      <c r="D18" s="2" t="s">
        <v>12</v>
      </c>
    </row>
    <row r="19" spans="2:6" x14ac:dyDescent="0.2">
      <c r="B19" s="24">
        <f>B17+B18</f>
        <v>369</v>
      </c>
      <c r="C19" s="9"/>
      <c r="D19" s="17" t="s">
        <v>46</v>
      </c>
      <c r="E19" s="11"/>
      <c r="F19" s="5"/>
    </row>
    <row r="20" spans="2:6" x14ac:dyDescent="0.2">
      <c r="B20" s="12"/>
      <c r="C20" s="9"/>
      <c r="D20" s="17" t="s">
        <v>13</v>
      </c>
      <c r="E20" s="11"/>
    </row>
    <row r="21" spans="2:6" x14ac:dyDescent="0.2">
      <c r="B21" s="9"/>
      <c r="C21" s="9"/>
    </row>
    <row r="22" spans="2:6" x14ac:dyDescent="0.2">
      <c r="B22" s="23" t="s">
        <v>24</v>
      </c>
      <c r="C22" s="9"/>
    </row>
    <row r="23" spans="2:6" x14ac:dyDescent="0.2">
      <c r="B23" s="26">
        <f>B19+16</f>
        <v>385</v>
      </c>
      <c r="C23" s="9"/>
      <c r="D23" s="2" t="s">
        <v>14</v>
      </c>
    </row>
    <row r="26" spans="2:6" x14ac:dyDescent="0.2">
      <c r="B26" s="22" t="s">
        <v>15</v>
      </c>
    </row>
    <row r="27" spans="2:6" x14ac:dyDescent="0.2">
      <c r="B27" s="1"/>
    </row>
    <row r="28" spans="2:6" x14ac:dyDescent="0.2">
      <c r="B28" s="23" t="s">
        <v>19</v>
      </c>
    </row>
    <row r="29" spans="2:6" x14ac:dyDescent="0.2">
      <c r="B29" s="24" t="s">
        <v>20</v>
      </c>
      <c r="C29" s="9"/>
      <c r="D29" s="17" t="s">
        <v>16</v>
      </c>
    </row>
    <row r="30" spans="2:6" x14ac:dyDescent="0.2">
      <c r="B30" s="27" t="s">
        <v>0</v>
      </c>
      <c r="C30" s="9"/>
      <c r="D30" s="17" t="s">
        <v>17</v>
      </c>
    </row>
    <row r="31" spans="2:6" x14ac:dyDescent="0.2">
      <c r="B31" s="30" t="s">
        <v>21</v>
      </c>
      <c r="C31" s="9"/>
      <c r="D31" s="17" t="s">
        <v>18</v>
      </c>
    </row>
    <row r="32" spans="2:6" x14ac:dyDescent="0.2">
      <c r="C32" s="9"/>
      <c r="D32" s="3"/>
    </row>
    <row r="33" spans="2:4" x14ac:dyDescent="0.2">
      <c r="B33" s="23" t="s">
        <v>22</v>
      </c>
      <c r="C33" s="9"/>
      <c r="D33" s="3"/>
    </row>
    <row r="34" spans="2:4" x14ac:dyDescent="0.2">
      <c r="B34" s="16" t="s">
        <v>1</v>
      </c>
      <c r="C34" s="9"/>
      <c r="D34" s="17" t="s">
        <v>47</v>
      </c>
    </row>
    <row r="35" spans="2:4" x14ac:dyDescent="0.2">
      <c r="B35" s="33" t="s">
        <v>23</v>
      </c>
      <c r="D35" s="17" t="s">
        <v>48</v>
      </c>
    </row>
    <row r="43" spans="2:4" x14ac:dyDescent="0.2">
      <c r="B43" s="4" t="s">
        <v>55</v>
      </c>
    </row>
  </sheetData>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8D9"/>
  </sheetPr>
  <dimension ref="B2:G47"/>
  <sheetViews>
    <sheetView showGridLines="0" zoomScale="85" zoomScaleNormal="85" workbookViewId="0">
      <pane ySplit="3" topLeftCell="A4" activePane="bottomLeft" state="frozen"/>
      <selection activeCell="O39" sqref="O39"/>
      <selection pane="bottomLeft" activeCell="A4" sqref="A4"/>
    </sheetView>
  </sheetViews>
  <sheetFormatPr defaultRowHeight="12.75" x14ac:dyDescent="0.2"/>
  <cols>
    <col min="1" max="1" width="4.7109375" style="2" customWidth="1"/>
    <col min="2" max="2" width="7.5703125" style="2" customWidth="1"/>
    <col min="3" max="3" width="51.42578125" style="2" customWidth="1"/>
    <col min="4" max="4" width="45.28515625" style="2" customWidth="1"/>
    <col min="5" max="5" width="101.85546875" style="2" customWidth="1"/>
    <col min="6" max="6" width="2.7109375" style="2" customWidth="1"/>
    <col min="7" max="7" width="28.7109375" style="2" customWidth="1"/>
    <col min="8" max="8" width="18.42578125" style="2" customWidth="1"/>
    <col min="9" max="10" width="58.42578125" style="2" customWidth="1"/>
    <col min="11" max="16384" width="9.140625" style="2"/>
  </cols>
  <sheetData>
    <row r="2" spans="2:7" s="7" customFormat="1" ht="18" x14ac:dyDescent="0.2">
      <c r="B2" s="7" t="s">
        <v>25</v>
      </c>
    </row>
    <row r="5" spans="2:7" s="8" customFormat="1" x14ac:dyDescent="0.2">
      <c r="B5" s="8" t="s">
        <v>26</v>
      </c>
    </row>
    <row r="7" spans="2:7" x14ac:dyDescent="0.2">
      <c r="B7" s="4" t="s">
        <v>51</v>
      </c>
    </row>
    <row r="8" spans="2:7" x14ac:dyDescent="0.2">
      <c r="B8" s="4" t="s">
        <v>27</v>
      </c>
    </row>
    <row r="10" spans="2:7" x14ac:dyDescent="0.2">
      <c r="B10" s="34" t="s">
        <v>28</v>
      </c>
      <c r="C10" s="34" t="s">
        <v>29</v>
      </c>
      <c r="D10" s="34" t="s">
        <v>58</v>
      </c>
      <c r="E10" s="34" t="s">
        <v>49</v>
      </c>
      <c r="G10" s="21"/>
    </row>
    <row r="11" spans="2:7" x14ac:dyDescent="0.2">
      <c r="B11" s="13"/>
      <c r="C11" s="18" t="s">
        <v>30</v>
      </c>
      <c r="D11" s="18" t="s">
        <v>41</v>
      </c>
      <c r="E11" s="18" t="s">
        <v>31</v>
      </c>
    </row>
    <row r="12" spans="2:7" x14ac:dyDescent="0.2">
      <c r="B12" s="19">
        <v>1</v>
      </c>
      <c r="C12" s="6" t="s">
        <v>121</v>
      </c>
      <c r="D12" s="6"/>
      <c r="E12" s="6" t="s">
        <v>475</v>
      </c>
    </row>
    <row r="13" spans="2:7" x14ac:dyDescent="0.2">
      <c r="B13" s="6">
        <v>2</v>
      </c>
      <c r="C13" s="6" t="s">
        <v>123</v>
      </c>
      <c r="D13" s="6"/>
      <c r="E13" s="55" t="s">
        <v>122</v>
      </c>
    </row>
    <row r="14" spans="2:7" x14ac:dyDescent="0.2">
      <c r="B14" s="19">
        <v>3</v>
      </c>
      <c r="C14" s="6" t="s">
        <v>409</v>
      </c>
      <c r="D14" s="6"/>
      <c r="E14" s="55" t="s">
        <v>410</v>
      </c>
      <c r="G14" s="21"/>
    </row>
    <row r="15" spans="2:7" x14ac:dyDescent="0.2">
      <c r="B15" s="6">
        <v>4</v>
      </c>
      <c r="C15" s="6" t="s">
        <v>399</v>
      </c>
      <c r="D15" s="6"/>
      <c r="E15" s="55" t="s">
        <v>400</v>
      </c>
    </row>
    <row r="16" spans="2:7" x14ac:dyDescent="0.2">
      <c r="B16" s="19">
        <v>5</v>
      </c>
      <c r="C16" s="6" t="s">
        <v>378</v>
      </c>
      <c r="D16" s="6" t="s">
        <v>449</v>
      </c>
      <c r="E16" s="55" t="s">
        <v>377</v>
      </c>
    </row>
    <row r="17" spans="2:7" x14ac:dyDescent="0.2">
      <c r="B17" s="6">
        <v>6</v>
      </c>
      <c r="C17" s="6" t="s">
        <v>446</v>
      </c>
      <c r="D17" s="6" t="s">
        <v>292</v>
      </c>
      <c r="E17" s="55" t="s">
        <v>293</v>
      </c>
    </row>
    <row r="18" spans="2:7" x14ac:dyDescent="0.2">
      <c r="B18" s="19">
        <v>7</v>
      </c>
      <c r="C18" s="6" t="s">
        <v>373</v>
      </c>
      <c r="D18" s="6" t="s">
        <v>387</v>
      </c>
      <c r="E18" s="6" t="s">
        <v>374</v>
      </c>
    </row>
    <row r="19" spans="2:7" x14ac:dyDescent="0.2">
      <c r="B19" s="6">
        <v>8</v>
      </c>
      <c r="C19" s="6" t="s">
        <v>369</v>
      </c>
      <c r="D19" s="6" t="s">
        <v>385</v>
      </c>
      <c r="E19" s="6" t="s">
        <v>474</v>
      </c>
    </row>
    <row r="20" spans="2:7" x14ac:dyDescent="0.2">
      <c r="B20" s="19">
        <v>9</v>
      </c>
      <c r="C20" s="6" t="s">
        <v>370</v>
      </c>
      <c r="D20" s="90" t="s">
        <v>384</v>
      </c>
      <c r="E20" s="6" t="s">
        <v>474</v>
      </c>
    </row>
    <row r="21" spans="2:7" x14ac:dyDescent="0.2">
      <c r="B21" s="6">
        <v>10</v>
      </c>
      <c r="C21" s="6" t="s">
        <v>375</v>
      </c>
      <c r="D21" s="90" t="s">
        <v>384</v>
      </c>
      <c r="E21" s="55" t="s">
        <v>383</v>
      </c>
    </row>
    <row r="22" spans="2:7" x14ac:dyDescent="0.2">
      <c r="B22" s="19">
        <v>11</v>
      </c>
      <c r="C22" s="6" t="s">
        <v>376</v>
      </c>
      <c r="D22" s="6" t="s">
        <v>386</v>
      </c>
      <c r="E22" s="6" t="s">
        <v>382</v>
      </c>
    </row>
    <row r="23" spans="2:7" x14ac:dyDescent="0.2">
      <c r="B23" s="6">
        <v>12</v>
      </c>
      <c r="C23" s="6" t="s">
        <v>428</v>
      </c>
      <c r="D23" s="88"/>
      <c r="E23" s="6" t="s">
        <v>473</v>
      </c>
    </row>
    <row r="24" spans="2:7" x14ac:dyDescent="0.2">
      <c r="B24" s="19">
        <v>13</v>
      </c>
      <c r="C24" s="6" t="s">
        <v>429</v>
      </c>
      <c r="D24" s="88"/>
      <c r="E24" s="6" t="s">
        <v>473</v>
      </c>
    </row>
    <row r="25" spans="2:7" x14ac:dyDescent="0.2">
      <c r="B25" s="6">
        <v>14</v>
      </c>
      <c r="C25" s="6" t="s">
        <v>447</v>
      </c>
      <c r="D25" s="6"/>
      <c r="E25" s="6" t="s">
        <v>470</v>
      </c>
    </row>
    <row r="26" spans="2:7" x14ac:dyDescent="0.2">
      <c r="B26" s="19">
        <v>15</v>
      </c>
      <c r="C26" s="6" t="s">
        <v>450</v>
      </c>
      <c r="D26" s="6"/>
      <c r="E26" s="6" t="s">
        <v>470</v>
      </c>
    </row>
    <row r="27" spans="2:7" x14ac:dyDescent="0.2">
      <c r="B27" s="6">
        <v>16</v>
      </c>
      <c r="C27" s="6" t="s">
        <v>351</v>
      </c>
      <c r="D27" s="6"/>
      <c r="E27" s="6" t="s">
        <v>472</v>
      </c>
      <c r="G27" s="21"/>
    </row>
    <row r="28" spans="2:7" x14ac:dyDescent="0.2">
      <c r="B28" s="19">
        <v>17</v>
      </c>
      <c r="C28" s="6" t="s">
        <v>444</v>
      </c>
      <c r="D28" s="6"/>
      <c r="E28" s="6" t="s">
        <v>471</v>
      </c>
    </row>
    <row r="29" spans="2:7" x14ac:dyDescent="0.2">
      <c r="B29" s="6">
        <v>18</v>
      </c>
      <c r="C29" s="6" t="s">
        <v>448</v>
      </c>
      <c r="D29" s="6"/>
      <c r="E29" s="6" t="s">
        <v>470</v>
      </c>
    </row>
    <row r="30" spans="2:7" x14ac:dyDescent="0.2">
      <c r="B30" s="97"/>
      <c r="C30" s="97"/>
      <c r="D30" s="97"/>
      <c r="E30" s="97"/>
    </row>
    <row r="32" spans="2:7" x14ac:dyDescent="0.2">
      <c r="B32" s="56" t="s">
        <v>125</v>
      </c>
    </row>
    <row r="33" spans="2:5" x14ac:dyDescent="0.2">
      <c r="B33" s="57"/>
      <c r="C33" s="6" t="s">
        <v>93</v>
      </c>
      <c r="D33" s="6"/>
      <c r="E33" s="6" t="s">
        <v>126</v>
      </c>
    </row>
    <row r="34" spans="2:5" x14ac:dyDescent="0.2">
      <c r="B34" s="57"/>
      <c r="C34" s="6" t="s">
        <v>96</v>
      </c>
      <c r="D34" s="6"/>
      <c r="E34" s="6" t="s">
        <v>126</v>
      </c>
    </row>
    <row r="35" spans="2:5" x14ac:dyDescent="0.2">
      <c r="B35" s="57"/>
      <c r="C35" s="6" t="s">
        <v>103</v>
      </c>
      <c r="D35" s="6"/>
      <c r="E35" s="6" t="s">
        <v>127</v>
      </c>
    </row>
    <row r="36" spans="2:5" x14ac:dyDescent="0.2">
      <c r="B36" s="57"/>
      <c r="C36" s="6" t="s">
        <v>111</v>
      </c>
      <c r="D36" s="6"/>
      <c r="E36" s="6" t="s">
        <v>128</v>
      </c>
    </row>
    <row r="37" spans="2:5" x14ac:dyDescent="0.2">
      <c r="B37" s="57"/>
      <c r="C37" s="6" t="s">
        <v>129</v>
      </c>
      <c r="D37" s="6"/>
      <c r="E37" s="6" t="s">
        <v>128</v>
      </c>
    </row>
    <row r="38" spans="2:5" x14ac:dyDescent="0.2">
      <c r="B38" s="57"/>
      <c r="C38" s="6" t="s">
        <v>129</v>
      </c>
      <c r="D38" s="6"/>
      <c r="E38" s="6" t="s">
        <v>128</v>
      </c>
    </row>
    <row r="39" spans="2:5" x14ac:dyDescent="0.2">
      <c r="B39" s="57"/>
      <c r="C39" s="6" t="s">
        <v>129</v>
      </c>
      <c r="D39" s="6"/>
      <c r="E39" s="6" t="s">
        <v>128</v>
      </c>
    </row>
    <row r="40" spans="2:5" x14ac:dyDescent="0.2">
      <c r="B40" s="57"/>
      <c r="C40" s="6" t="s">
        <v>130</v>
      </c>
      <c r="D40" s="6"/>
      <c r="E40" s="6" t="s">
        <v>131</v>
      </c>
    </row>
    <row r="41" spans="2:5" x14ac:dyDescent="0.2">
      <c r="B41" s="57"/>
      <c r="C41" s="6" t="s">
        <v>132</v>
      </c>
      <c r="D41" s="6"/>
      <c r="E41" s="6" t="s">
        <v>133</v>
      </c>
    </row>
    <row r="42" spans="2:5" x14ac:dyDescent="0.2">
      <c r="B42" s="57"/>
      <c r="C42" s="6" t="s">
        <v>136</v>
      </c>
      <c r="D42" s="6"/>
      <c r="E42" s="6" t="s">
        <v>133</v>
      </c>
    </row>
    <row r="46" spans="2:5" x14ac:dyDescent="0.2">
      <c r="D46"/>
    </row>
    <row r="47" spans="2:5" x14ac:dyDescent="0.2">
      <c r="B47" s="4" t="s">
        <v>55</v>
      </c>
    </row>
  </sheetData>
  <hyperlinks>
    <hyperlink ref="E13" r:id="rId1" location="/CBS/nl/dataset/84046NED/table?ts=1571909504894" xr:uid="{AE3FD1E9-C3CC-47AC-9D43-E92FBB32613F}"/>
    <hyperlink ref="E14" r:id="rId2" xr:uid="{439CF3E1-B721-4D8B-834F-F5D8650BFC94}"/>
    <hyperlink ref="E17" r:id="rId3" display="https://www.acm.nl/nl/publicaties/wacc-elektriciteit-en-drinkwater-caribisch-nederland-2020-2022 " xr:uid="{BFE00D24-5E82-4A06-B45A-4F23F4E38345}"/>
    <hyperlink ref="E15" r:id="rId4" xr:uid="{D41BE34F-8398-46B7-A13D-3C10BD5EC7FE}"/>
    <hyperlink ref="E16" r:id="rId5" xr:uid="{1F78BDFC-6EF7-4CD7-87DC-2F5B2CF3CBBE}"/>
    <hyperlink ref="E21" r:id="rId6" xr:uid="{53124B85-D113-455F-B975-ECA5BA1398FA}"/>
  </hyperlinks>
  <pageMargins left="0.75" right="0.75" top="1" bottom="1" header="0.5" footer="0.5"/>
  <pageSetup paperSize="9" orientation="portrait"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sheetPr>
  <dimension ref="B2:J35"/>
  <sheetViews>
    <sheetView showGridLines="0" zoomScale="85" zoomScaleNormal="85" workbookViewId="0">
      <pane xSplit="6" ySplit="10" topLeftCell="G11" activePane="bottomRight" state="frozen"/>
      <selection activeCell="O39" sqref="O39"/>
      <selection pane="topRight" activeCell="O39" sqref="O39"/>
      <selection pane="bottomLeft" activeCell="O39" sqref="O39"/>
      <selection pane="bottomRight" activeCell="G11" sqref="G11"/>
    </sheetView>
  </sheetViews>
  <sheetFormatPr defaultRowHeight="12.75" x14ac:dyDescent="0.2"/>
  <cols>
    <col min="1" max="1" width="4.7109375" style="2" customWidth="1"/>
    <col min="2" max="2" width="59.7109375" style="2" customWidth="1"/>
    <col min="3" max="5" width="4.7109375" style="2" customWidth="1"/>
    <col min="6" max="6" width="21" style="2" customWidth="1"/>
    <col min="7" max="7" width="2.7109375" style="2" customWidth="1"/>
    <col min="8" max="8" width="13.7109375" style="2" customWidth="1"/>
    <col min="9" max="9" width="2.7109375" style="2" customWidth="1"/>
    <col min="10" max="10" width="42.28515625" style="2" customWidth="1"/>
    <col min="11" max="11" width="2.7109375" style="2" customWidth="1"/>
    <col min="12" max="21" width="11.7109375" style="2" customWidth="1"/>
    <col min="22" max="24" width="2.7109375" style="2" customWidth="1"/>
    <col min="25" max="39" width="13.7109375" style="2" customWidth="1"/>
    <col min="40" max="16384" width="9.140625" style="2"/>
  </cols>
  <sheetData>
    <row r="2" spans="2:10" s="14" customFormat="1" ht="18" x14ac:dyDescent="0.2">
      <c r="B2" s="14" t="s">
        <v>330</v>
      </c>
    </row>
    <row r="4" spans="2:10" x14ac:dyDescent="0.2">
      <c r="B4" s="1" t="s">
        <v>329</v>
      </c>
      <c r="C4" s="1"/>
      <c r="D4" s="1"/>
    </row>
    <row r="5" spans="2:10" x14ac:dyDescent="0.2">
      <c r="B5" s="2" t="s">
        <v>331</v>
      </c>
      <c r="H5" s="15"/>
    </row>
    <row r="6" spans="2:10" x14ac:dyDescent="0.2">
      <c r="B6" s="2" t="s">
        <v>332</v>
      </c>
      <c r="H6" s="15"/>
    </row>
    <row r="7" spans="2:10" x14ac:dyDescent="0.2">
      <c r="B7" s="4"/>
    </row>
    <row r="9" spans="2:10" s="8" customFormat="1" x14ac:dyDescent="0.2">
      <c r="B9" s="8" t="s">
        <v>10</v>
      </c>
      <c r="F9" s="8" t="s">
        <v>33</v>
      </c>
      <c r="H9" s="8" t="s">
        <v>34</v>
      </c>
      <c r="J9" s="8" t="s">
        <v>213</v>
      </c>
    </row>
    <row r="12" spans="2:10" s="8" customFormat="1" x14ac:dyDescent="0.2">
      <c r="B12" s="8" t="s">
        <v>339</v>
      </c>
    </row>
    <row r="14" spans="2:10" x14ac:dyDescent="0.2">
      <c r="B14" s="1" t="s">
        <v>333</v>
      </c>
    </row>
    <row r="15" spans="2:10" x14ac:dyDescent="0.2">
      <c r="B15" s="2" t="s">
        <v>341</v>
      </c>
      <c r="F15" s="41" t="s">
        <v>340</v>
      </c>
      <c r="H15" s="86">
        <f>'Income 2022 and prod. price'!H78</f>
        <v>21219604.584566563</v>
      </c>
    </row>
    <row r="16" spans="2:10" x14ac:dyDescent="0.2">
      <c r="B16" s="2" t="s">
        <v>334</v>
      </c>
      <c r="F16" s="2" t="s">
        <v>84</v>
      </c>
      <c r="H16" s="86">
        <f>'Est. production and costs 2022'!H18</f>
        <v>132100025</v>
      </c>
    </row>
    <row r="17" spans="2:10" x14ac:dyDescent="0.2">
      <c r="B17" s="2" t="s">
        <v>345</v>
      </c>
      <c r="F17" s="2" t="s">
        <v>342</v>
      </c>
      <c r="H17" s="87">
        <f>H15/H16</f>
        <v>0.16063285820397508</v>
      </c>
    </row>
    <row r="18" spans="2:10" x14ac:dyDescent="0.2">
      <c r="B18" s="2" t="s">
        <v>347</v>
      </c>
      <c r="F18" s="2" t="s">
        <v>342</v>
      </c>
      <c r="H18" s="80">
        <f>ROUND(H17,4)</f>
        <v>0.16059999999999999</v>
      </c>
      <c r="J18" s="2" t="s">
        <v>335</v>
      </c>
    </row>
    <row r="20" spans="2:10" x14ac:dyDescent="0.2">
      <c r="B20" s="2" t="s">
        <v>346</v>
      </c>
      <c r="F20" s="2" t="s">
        <v>342</v>
      </c>
      <c r="H20" s="80">
        <f>'Income 2022 and prod. price'!H89</f>
        <v>0.1550465561987121</v>
      </c>
      <c r="J20" s="2" t="s">
        <v>336</v>
      </c>
    </row>
    <row r="22" spans="2:10" x14ac:dyDescent="0.2">
      <c r="B22" s="2" t="s">
        <v>343</v>
      </c>
      <c r="F22" s="2" t="s">
        <v>342</v>
      </c>
      <c r="H22" s="87">
        <f>H18+H20</f>
        <v>0.31564655619871207</v>
      </c>
    </row>
    <row r="23" spans="2:10" x14ac:dyDescent="0.2">
      <c r="B23" s="2" t="s">
        <v>344</v>
      </c>
      <c r="F23" s="2" t="s">
        <v>342</v>
      </c>
      <c r="H23" s="80">
        <f>ROUND(H22,4)</f>
        <v>0.31559999999999999</v>
      </c>
      <c r="J23" s="2" t="s">
        <v>337</v>
      </c>
    </row>
    <row r="24" spans="2:10" x14ac:dyDescent="0.2">
      <c r="H24" s="95"/>
    </row>
    <row r="26" spans="2:10" x14ac:dyDescent="0.2">
      <c r="B26" s="1" t="s">
        <v>83</v>
      </c>
    </row>
    <row r="27" spans="2:10" x14ac:dyDescent="0.2">
      <c r="B27" s="2" t="s">
        <v>348</v>
      </c>
      <c r="F27" s="41" t="s">
        <v>340</v>
      </c>
      <c r="H27" s="29">
        <f>'Income 2022 and prod. price'!H60</f>
        <v>14223082.617278364</v>
      </c>
      <c r="J27" s="2" t="s">
        <v>407</v>
      </c>
    </row>
    <row r="28" spans="2:10" x14ac:dyDescent="0.2">
      <c r="B28" s="2" t="s">
        <v>349</v>
      </c>
      <c r="F28" s="41" t="s">
        <v>340</v>
      </c>
      <c r="H28" s="24">
        <f>'Income 2022 and prod. price'!H82</f>
        <v>776845.05269909988</v>
      </c>
      <c r="J28" s="2" t="s">
        <v>407</v>
      </c>
    </row>
    <row r="29" spans="2:10" x14ac:dyDescent="0.2">
      <c r="B29" s="2" t="s">
        <v>338</v>
      </c>
      <c r="F29" s="2" t="s">
        <v>66</v>
      </c>
      <c r="H29" s="100">
        <f>'Est. production and costs 2022'!H26</f>
        <v>0.11</v>
      </c>
      <c r="J29" s="2" t="s">
        <v>407</v>
      </c>
    </row>
    <row r="31" spans="2:10" x14ac:dyDescent="0.2">
      <c r="B31" s="2" t="s">
        <v>465</v>
      </c>
      <c r="F31" s="41" t="s">
        <v>340</v>
      </c>
      <c r="H31" s="24">
        <f>'Income 2022 and prod. price'!H83</f>
        <v>4815994.1248958148</v>
      </c>
      <c r="J31" s="2" t="s">
        <v>417</v>
      </c>
    </row>
    <row r="33" spans="2:8" x14ac:dyDescent="0.2">
      <c r="H33" s="45"/>
    </row>
    <row r="34" spans="2:8" x14ac:dyDescent="0.2">
      <c r="B34" s="5"/>
    </row>
    <row r="35" spans="2:8" x14ac:dyDescent="0.2">
      <c r="B35" s="4" t="s">
        <v>55</v>
      </c>
      <c r="H35" s="9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B2:B8"/>
  <sheetViews>
    <sheetView showGridLines="0" zoomScale="85" zoomScaleNormal="85" workbookViewId="0"/>
  </sheetViews>
  <sheetFormatPr defaultRowHeight="12.75" x14ac:dyDescent="0.2"/>
  <cols>
    <col min="1" max="16384" width="9.140625" style="16"/>
  </cols>
  <sheetData>
    <row r="2" spans="2:2" x14ac:dyDescent="0.2">
      <c r="B2" s="37" t="s">
        <v>56</v>
      </c>
    </row>
    <row r="3" spans="2:2" x14ac:dyDescent="0.2">
      <c r="B3" s="37" t="s">
        <v>57</v>
      </c>
    </row>
    <row r="7" spans="2:2" x14ac:dyDescent="0.2">
      <c r="B7" s="37"/>
    </row>
    <row r="8" spans="2:2" x14ac:dyDescent="0.2">
      <c r="B8" s="37"/>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1FFE1"/>
  </sheetPr>
  <dimension ref="B2:Q48"/>
  <sheetViews>
    <sheetView showGridLines="0" zoomScale="85" zoomScaleNormal="85" workbookViewId="0">
      <pane xSplit="6" ySplit="15" topLeftCell="G16" activePane="bottomRight" state="frozen"/>
      <selection activeCell="R6" sqref="R6"/>
      <selection pane="topRight" activeCell="R6" sqref="R6"/>
      <selection pane="bottomLeft" activeCell="R6" sqref="R6"/>
      <selection pane="bottomRight" activeCell="G16" sqref="G16"/>
    </sheetView>
  </sheetViews>
  <sheetFormatPr defaultRowHeight="12.75" x14ac:dyDescent="0.2"/>
  <cols>
    <col min="1" max="1" width="4.7109375" style="2" customWidth="1"/>
    <col min="2" max="2" width="41.42578125" style="2" customWidth="1"/>
    <col min="3" max="3" width="4.7109375" style="2" customWidth="1"/>
    <col min="4" max="5" width="4.5703125" style="2" customWidth="1"/>
    <col min="6" max="6" width="13.7109375" style="2" customWidth="1"/>
    <col min="7" max="7" width="2.7109375" style="2" customWidth="1"/>
    <col min="8" max="8" width="13.7109375" style="2" customWidth="1"/>
    <col min="9" max="9" width="2.7109375" style="2" customWidth="1"/>
    <col min="10" max="10" width="57.28515625" style="2" customWidth="1"/>
    <col min="11" max="11" width="2.7109375" style="2" customWidth="1"/>
    <col min="12" max="21" width="12.85546875" style="2" customWidth="1"/>
    <col min="22" max="22" width="2.7109375" style="2" customWidth="1"/>
    <col min="23" max="23" width="17.140625" style="2" customWidth="1"/>
    <col min="24" max="24" width="2.7109375" style="2" customWidth="1"/>
    <col min="25" max="25" width="13.7109375" style="2" customWidth="1"/>
    <col min="26" max="26" width="2.7109375" style="2" customWidth="1"/>
    <col min="27" max="41" width="13.7109375" style="2" customWidth="1"/>
    <col min="42" max="16384" width="9.140625" style="2"/>
  </cols>
  <sheetData>
    <row r="2" spans="2:12" s="14" customFormat="1" ht="18" x14ac:dyDescent="0.2">
      <c r="B2" s="14" t="s">
        <v>59</v>
      </c>
    </row>
    <row r="4" spans="2:12" x14ac:dyDescent="0.2">
      <c r="B4" s="22" t="s">
        <v>60</v>
      </c>
      <c r="C4" s="1"/>
      <c r="D4" s="1"/>
    </row>
    <row r="5" spans="2:12" x14ac:dyDescent="0.2">
      <c r="B5" s="2" t="s">
        <v>61</v>
      </c>
      <c r="H5" s="15"/>
    </row>
    <row r="6" spans="2:12" x14ac:dyDescent="0.2">
      <c r="H6" s="15"/>
    </row>
    <row r="7" spans="2:12" x14ac:dyDescent="0.2">
      <c r="B7" s="23" t="s">
        <v>62</v>
      </c>
      <c r="H7" s="15"/>
    </row>
    <row r="8" spans="2:12" x14ac:dyDescent="0.2">
      <c r="B8" s="4" t="s">
        <v>63</v>
      </c>
    </row>
    <row r="9" spans="2:12" x14ac:dyDescent="0.2">
      <c r="B9" s="4" t="s">
        <v>380</v>
      </c>
    </row>
    <row r="11" spans="2:12" x14ac:dyDescent="0.2">
      <c r="B11" s="4" t="s">
        <v>421</v>
      </c>
    </row>
    <row r="14" spans="2:12" s="8" customFormat="1" x14ac:dyDescent="0.2">
      <c r="B14" s="8" t="s">
        <v>10</v>
      </c>
      <c r="F14" s="8" t="s">
        <v>33</v>
      </c>
      <c r="H14" s="8" t="s">
        <v>34</v>
      </c>
      <c r="J14" s="8" t="s">
        <v>37</v>
      </c>
      <c r="L14" s="8" t="s">
        <v>64</v>
      </c>
    </row>
    <row r="17" spans="2:17" s="8" customFormat="1" x14ac:dyDescent="0.2">
      <c r="B17" s="8" t="s">
        <v>65</v>
      </c>
    </row>
    <row r="19" spans="2:17" x14ac:dyDescent="0.2">
      <c r="B19" s="2" t="s">
        <v>413</v>
      </c>
      <c r="H19" s="92">
        <v>105.11</v>
      </c>
      <c r="J19" s="2" t="s">
        <v>414</v>
      </c>
    </row>
    <row r="20" spans="2:17" x14ac:dyDescent="0.2">
      <c r="B20" s="2" t="s">
        <v>415</v>
      </c>
      <c r="H20" s="92">
        <v>103.19</v>
      </c>
      <c r="J20" s="2" t="s">
        <v>412</v>
      </c>
    </row>
    <row r="22" spans="2:17" x14ac:dyDescent="0.2">
      <c r="B22" s="2" t="s">
        <v>356</v>
      </c>
      <c r="F22" s="2" t="s">
        <v>66</v>
      </c>
      <c r="H22" s="93">
        <v>6.0000000000000001E-3</v>
      </c>
      <c r="J22" s="2" t="s">
        <v>414</v>
      </c>
    </row>
    <row r="23" spans="2:17" x14ac:dyDescent="0.2">
      <c r="B23" s="2" t="s">
        <v>67</v>
      </c>
      <c r="F23" s="2" t="s">
        <v>66</v>
      </c>
      <c r="H23" s="93">
        <v>3.5000000000000003E-2</v>
      </c>
      <c r="J23" s="2" t="s">
        <v>414</v>
      </c>
    </row>
    <row r="24" spans="2:17" x14ac:dyDescent="0.2">
      <c r="B24" s="2" t="s">
        <v>68</v>
      </c>
      <c r="F24" s="2" t="s">
        <v>66</v>
      </c>
      <c r="H24" s="93">
        <v>1.2E-2</v>
      </c>
      <c r="J24" s="2" t="s">
        <v>414</v>
      </c>
    </row>
    <row r="25" spans="2:17" x14ac:dyDescent="0.2">
      <c r="B25" s="2" t="s">
        <v>69</v>
      </c>
      <c r="F25" s="2" t="s">
        <v>66</v>
      </c>
      <c r="H25" s="78">
        <f>ROUND(H20/H19-1,3)</f>
        <v>-1.7999999999999999E-2</v>
      </c>
      <c r="L25" s="2" t="s">
        <v>422</v>
      </c>
      <c r="N25" s="21"/>
      <c r="Q25" s="21"/>
    </row>
    <row r="26" spans="2:17" x14ac:dyDescent="0.2">
      <c r="B26" s="2" t="s">
        <v>73</v>
      </c>
      <c r="F26" s="2" t="s">
        <v>66</v>
      </c>
      <c r="H26" s="93">
        <v>4.2999999999999997E-2</v>
      </c>
      <c r="J26" s="2" t="s">
        <v>414</v>
      </c>
      <c r="L26" s="15"/>
      <c r="N26" s="21"/>
    </row>
    <row r="29" spans="2:17" s="8" customFormat="1" x14ac:dyDescent="0.2">
      <c r="B29" s="8" t="s">
        <v>398</v>
      </c>
    </row>
    <row r="31" spans="2:17" x14ac:dyDescent="0.2">
      <c r="B31" s="2" t="s">
        <v>397</v>
      </c>
      <c r="F31" s="2" t="s">
        <v>66</v>
      </c>
      <c r="H31" s="38">
        <v>0.03</v>
      </c>
      <c r="J31" s="2" t="s">
        <v>399</v>
      </c>
    </row>
    <row r="32" spans="2:17" x14ac:dyDescent="0.2">
      <c r="L32" s="21"/>
    </row>
    <row r="34" spans="2:12" s="8" customFormat="1" x14ac:dyDescent="0.2">
      <c r="B34" s="8" t="s">
        <v>70</v>
      </c>
    </row>
    <row r="36" spans="2:12" x14ac:dyDescent="0.2">
      <c r="B36" s="2" t="s">
        <v>74</v>
      </c>
      <c r="F36" s="2" t="s">
        <v>66</v>
      </c>
      <c r="H36" s="39">
        <v>6.2E-2</v>
      </c>
      <c r="J36" s="2" t="s">
        <v>379</v>
      </c>
    </row>
    <row r="37" spans="2:12" x14ac:dyDescent="0.2">
      <c r="B37" s="2" t="s">
        <v>75</v>
      </c>
      <c r="F37" s="2" t="s">
        <v>66</v>
      </c>
      <c r="H37" s="39">
        <v>6.08E-2</v>
      </c>
      <c r="J37" s="2" t="s">
        <v>379</v>
      </c>
      <c r="L37" s="21"/>
    </row>
    <row r="40" spans="2:12" s="8" customFormat="1" x14ac:dyDescent="0.2">
      <c r="B40" s="8" t="s">
        <v>71</v>
      </c>
    </row>
    <row r="42" spans="2:12" x14ac:dyDescent="0.2">
      <c r="B42" s="2" t="s">
        <v>71</v>
      </c>
      <c r="F42" s="2" t="s">
        <v>66</v>
      </c>
      <c r="H42" s="39">
        <v>0.5</v>
      </c>
      <c r="L42" s="2" t="s">
        <v>72</v>
      </c>
    </row>
    <row r="48" spans="2:12" x14ac:dyDescent="0.2">
      <c r="B48" s="4" t="s">
        <v>55</v>
      </c>
    </row>
  </sheetData>
  <phoneticPr fontId="3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8CAC-9529-47C3-8FA5-C7A31AF21936}">
  <sheetPr>
    <tabColor rgb="FFE1FFE1"/>
  </sheetPr>
  <dimension ref="A2:AB111"/>
  <sheetViews>
    <sheetView showGridLines="0" zoomScale="85" zoomScaleNormal="85" workbookViewId="0">
      <pane xSplit="6" ySplit="14" topLeftCell="G15" activePane="bottomRight" state="frozen"/>
      <selection activeCell="R6" sqref="R6"/>
      <selection pane="topRight" activeCell="R6" sqref="R6"/>
      <selection pane="bottomLeft" activeCell="R6" sqref="R6"/>
      <selection pane="bottomRight" activeCell="G15" sqref="G15"/>
    </sheetView>
  </sheetViews>
  <sheetFormatPr defaultRowHeight="12.75" x14ac:dyDescent="0.2"/>
  <cols>
    <col min="1" max="1" width="4.7109375" style="2" customWidth="1"/>
    <col min="2" max="2" width="41.42578125" style="2" customWidth="1"/>
    <col min="3" max="3" width="4.7109375" style="2" customWidth="1"/>
    <col min="4" max="5" width="4.5703125" style="2" customWidth="1"/>
    <col min="6" max="6" width="13.7109375" style="2" customWidth="1"/>
    <col min="7" max="7" width="2.7109375" style="2" customWidth="1"/>
    <col min="8" max="8" width="13.7109375" style="2" customWidth="1"/>
    <col min="9" max="9" width="2.7109375" style="2" customWidth="1"/>
    <col min="10" max="10" width="78.5703125" style="2" customWidth="1"/>
    <col min="11" max="11" width="2.7109375" style="2" customWidth="1"/>
    <col min="12" max="12" width="13.7109375" style="2" customWidth="1"/>
    <col min="13" max="13" width="2.7109375" style="2" customWidth="1"/>
    <col min="14" max="28" width="13.7109375" style="2" customWidth="1"/>
    <col min="29" max="16384" width="9.140625" style="2"/>
  </cols>
  <sheetData>
    <row r="2" spans="2:12" s="14" customFormat="1" ht="18" x14ac:dyDescent="0.2">
      <c r="B2" s="14" t="s">
        <v>78</v>
      </c>
    </row>
    <row r="4" spans="2:12" x14ac:dyDescent="0.2">
      <c r="B4" s="22" t="s">
        <v>60</v>
      </c>
      <c r="C4" s="1"/>
      <c r="D4" s="1"/>
    </row>
    <row r="5" spans="2:12" x14ac:dyDescent="0.2">
      <c r="B5" s="2" t="s">
        <v>79</v>
      </c>
      <c r="H5" s="15"/>
    </row>
    <row r="6" spans="2:12" x14ac:dyDescent="0.2">
      <c r="B6" s="2" t="s">
        <v>80</v>
      </c>
      <c r="H6" s="15"/>
    </row>
    <row r="7" spans="2:12" x14ac:dyDescent="0.2">
      <c r="H7" s="15"/>
    </row>
    <row r="8" spans="2:12" x14ac:dyDescent="0.2">
      <c r="B8" s="23" t="s">
        <v>62</v>
      </c>
      <c r="H8" s="15"/>
    </row>
    <row r="9" spans="2:12" x14ac:dyDescent="0.2">
      <c r="B9" s="23" t="s">
        <v>76</v>
      </c>
    </row>
    <row r="10" spans="2:12" x14ac:dyDescent="0.2">
      <c r="B10" s="23" t="s">
        <v>77</v>
      </c>
    </row>
    <row r="11" spans="2:12" x14ac:dyDescent="0.2">
      <c r="B11" s="4"/>
    </row>
    <row r="13" spans="2:12" s="8" customFormat="1" x14ac:dyDescent="0.2">
      <c r="B13" s="8" t="s">
        <v>10</v>
      </c>
      <c r="F13" s="8" t="s">
        <v>33</v>
      </c>
      <c r="H13" s="8" t="s">
        <v>34</v>
      </c>
      <c r="J13" s="8" t="s">
        <v>37</v>
      </c>
      <c r="L13" s="8" t="s">
        <v>36</v>
      </c>
    </row>
    <row r="16" spans="2:12" s="8" customFormat="1" x14ac:dyDescent="0.2">
      <c r="B16" s="8" t="s">
        <v>117</v>
      </c>
    </row>
    <row r="18" spans="1:12" x14ac:dyDescent="0.2">
      <c r="B18" s="22" t="s">
        <v>440</v>
      </c>
    </row>
    <row r="19" spans="1:12" x14ac:dyDescent="0.2">
      <c r="A19" s="41"/>
      <c r="B19" s="41" t="s">
        <v>209</v>
      </c>
      <c r="F19" s="2" t="s">
        <v>82</v>
      </c>
      <c r="H19" s="27">
        <v>15440611.289860517</v>
      </c>
      <c r="J19" s="2" t="s">
        <v>423</v>
      </c>
    </row>
    <row r="20" spans="1:12" x14ac:dyDescent="0.2">
      <c r="A20" s="41"/>
      <c r="B20" s="41" t="s">
        <v>210</v>
      </c>
      <c r="F20" s="2" t="s">
        <v>82</v>
      </c>
      <c r="H20" s="27">
        <v>6968225.6726599997</v>
      </c>
      <c r="J20" s="2" t="s">
        <v>424</v>
      </c>
      <c r="L20" s="21"/>
    </row>
    <row r="21" spans="1:12" x14ac:dyDescent="0.2">
      <c r="A21" s="41"/>
      <c r="B21" s="41" t="s">
        <v>445</v>
      </c>
      <c r="F21" s="2" t="s">
        <v>66</v>
      </c>
      <c r="H21" s="38">
        <v>0.1103</v>
      </c>
      <c r="J21" s="2" t="s">
        <v>425</v>
      </c>
      <c r="L21" s="21"/>
    </row>
    <row r="22" spans="1:12" x14ac:dyDescent="0.2">
      <c r="F22" s="41"/>
    </row>
    <row r="23" spans="1:12" x14ac:dyDescent="0.2">
      <c r="B23" s="1" t="s">
        <v>83</v>
      </c>
      <c r="H23" s="94"/>
      <c r="L23" s="21"/>
    </row>
    <row r="24" spans="1:12" x14ac:dyDescent="0.2">
      <c r="B24" s="2" t="s">
        <v>118</v>
      </c>
      <c r="F24" s="2" t="s">
        <v>84</v>
      </c>
      <c r="H24" s="27">
        <v>122900000</v>
      </c>
      <c r="J24" s="2" t="s">
        <v>119</v>
      </c>
    </row>
    <row r="27" spans="1:12" s="8" customFormat="1" x14ac:dyDescent="0.2">
      <c r="B27" s="8" t="s">
        <v>120</v>
      </c>
    </row>
    <row r="29" spans="1:12" x14ac:dyDescent="0.2">
      <c r="A29" s="42"/>
      <c r="B29" s="22" t="s">
        <v>85</v>
      </c>
    </row>
    <row r="30" spans="1:12" x14ac:dyDescent="0.2">
      <c r="A30" s="42"/>
      <c r="B30" s="2" t="s">
        <v>86</v>
      </c>
      <c r="F30" s="2" t="s">
        <v>82</v>
      </c>
      <c r="H30" s="26" t="s">
        <v>476</v>
      </c>
      <c r="J30" s="2" t="s">
        <v>124</v>
      </c>
    </row>
    <row r="31" spans="1:12" x14ac:dyDescent="0.2">
      <c r="A31" s="42"/>
      <c r="B31" s="2" t="s">
        <v>87</v>
      </c>
      <c r="F31" s="2" t="s">
        <v>82</v>
      </c>
      <c r="H31" s="26" t="s">
        <v>476</v>
      </c>
      <c r="J31" s="2" t="s">
        <v>124</v>
      </c>
      <c r="L31" s="21"/>
    </row>
    <row r="32" spans="1:12" x14ac:dyDescent="0.2">
      <c r="A32" s="42"/>
      <c r="B32" s="2" t="s">
        <v>88</v>
      </c>
      <c r="F32" s="2" t="s">
        <v>82</v>
      </c>
      <c r="H32" s="26" t="s">
        <v>476</v>
      </c>
      <c r="J32" s="2" t="s">
        <v>208</v>
      </c>
      <c r="L32" s="21"/>
    </row>
    <row r="33" spans="1:13" x14ac:dyDescent="0.2">
      <c r="A33" s="42"/>
      <c r="B33" s="2" t="s">
        <v>89</v>
      </c>
      <c r="F33" s="2" t="s">
        <v>82</v>
      </c>
      <c r="H33" s="26">
        <v>6895185</v>
      </c>
    </row>
    <row r="34" spans="1:13" x14ac:dyDescent="0.2">
      <c r="J34" s="43"/>
    </row>
    <row r="35" spans="1:13" x14ac:dyDescent="0.2">
      <c r="H35" s="43"/>
    </row>
    <row r="36" spans="1:13" s="8" customFormat="1" x14ac:dyDescent="0.2">
      <c r="B36" s="8" t="s">
        <v>137</v>
      </c>
    </row>
    <row r="38" spans="1:13" s="1" customFormat="1" x14ac:dyDescent="0.2">
      <c r="B38" s="1" t="s">
        <v>90</v>
      </c>
      <c r="J38" s="21"/>
    </row>
    <row r="39" spans="1:13" s="1" customFormat="1" x14ac:dyDescent="0.2">
      <c r="J39" s="21"/>
    </row>
    <row r="40" spans="1:13" x14ac:dyDescent="0.2">
      <c r="B40" s="2" t="s">
        <v>91</v>
      </c>
      <c r="F40" s="2" t="s">
        <v>92</v>
      </c>
      <c r="H40" s="27">
        <v>61734000</v>
      </c>
      <c r="J40" s="2" t="s">
        <v>93</v>
      </c>
    </row>
    <row r="41" spans="1:13" x14ac:dyDescent="0.2">
      <c r="B41" s="2" t="s">
        <v>94</v>
      </c>
      <c r="F41" s="2" t="s">
        <v>92</v>
      </c>
      <c r="H41" s="27">
        <v>860000</v>
      </c>
      <c r="J41" s="2" t="s">
        <v>93</v>
      </c>
      <c r="M41" s="25"/>
    </row>
    <row r="42" spans="1:13" x14ac:dyDescent="0.2">
      <c r="B42" s="2" t="s">
        <v>95</v>
      </c>
      <c r="F42" s="2" t="s">
        <v>92</v>
      </c>
      <c r="H42" s="27">
        <v>18696000</v>
      </c>
      <c r="J42" s="2" t="s">
        <v>96</v>
      </c>
      <c r="L42" s="44"/>
    </row>
    <row r="43" spans="1:13" x14ac:dyDescent="0.2">
      <c r="B43" s="2" t="s">
        <v>97</v>
      </c>
      <c r="F43" s="2" t="s">
        <v>98</v>
      </c>
      <c r="H43" s="27">
        <v>15</v>
      </c>
      <c r="J43" s="2" t="s">
        <v>96</v>
      </c>
      <c r="L43" s="44"/>
      <c r="M43" s="25"/>
    </row>
    <row r="44" spans="1:13" x14ac:dyDescent="0.2">
      <c r="M44" s="25"/>
    </row>
    <row r="46" spans="1:13" x14ac:dyDescent="0.2">
      <c r="B46" s="1" t="s">
        <v>99</v>
      </c>
    </row>
    <row r="47" spans="1:13" x14ac:dyDescent="0.2">
      <c r="L47" s="45"/>
    </row>
    <row r="48" spans="1:13" x14ac:dyDescent="0.2">
      <c r="B48" s="4" t="s">
        <v>100</v>
      </c>
      <c r="L48" s="45"/>
    </row>
    <row r="49" spans="2:10" x14ac:dyDescent="0.2">
      <c r="B49" s="46" t="s">
        <v>101</v>
      </c>
    </row>
    <row r="50" spans="2:10" x14ac:dyDescent="0.2">
      <c r="B50" s="2" t="s">
        <v>102</v>
      </c>
      <c r="F50" s="2" t="s">
        <v>92</v>
      </c>
      <c r="H50" s="27">
        <v>773908</v>
      </c>
      <c r="J50" s="2" t="s">
        <v>103</v>
      </c>
    </row>
    <row r="51" spans="2:10" x14ac:dyDescent="0.2">
      <c r="B51" s="2" t="s">
        <v>104</v>
      </c>
      <c r="F51" s="2" t="s">
        <v>105</v>
      </c>
      <c r="H51" s="27">
        <v>9.25</v>
      </c>
      <c r="J51" s="2" t="s">
        <v>103</v>
      </c>
    </row>
    <row r="52" spans="2:10" x14ac:dyDescent="0.2">
      <c r="B52" s="2" t="s">
        <v>106</v>
      </c>
      <c r="F52" s="2" t="s">
        <v>107</v>
      </c>
      <c r="H52" s="47">
        <v>42491</v>
      </c>
      <c r="J52" s="2" t="s">
        <v>103</v>
      </c>
    </row>
    <row r="54" spans="2:10" x14ac:dyDescent="0.2">
      <c r="B54" s="46" t="s">
        <v>108</v>
      </c>
    </row>
    <row r="55" spans="2:10" x14ac:dyDescent="0.2">
      <c r="B55" s="2" t="s">
        <v>102</v>
      </c>
      <c r="F55" s="2" t="s">
        <v>92</v>
      </c>
      <c r="H55" s="27">
        <v>59734</v>
      </c>
      <c r="J55" s="2" t="s">
        <v>103</v>
      </c>
    </row>
    <row r="56" spans="2:10" x14ac:dyDescent="0.2">
      <c r="B56" s="2" t="s">
        <v>104</v>
      </c>
      <c r="F56" s="2" t="s">
        <v>105</v>
      </c>
      <c r="H56" s="27">
        <v>5</v>
      </c>
      <c r="J56" s="2" t="s">
        <v>103</v>
      </c>
    </row>
    <row r="57" spans="2:10" x14ac:dyDescent="0.2">
      <c r="B57" s="2" t="s">
        <v>106</v>
      </c>
      <c r="F57" s="2" t="s">
        <v>107</v>
      </c>
      <c r="H57" s="47">
        <v>42538</v>
      </c>
      <c r="J57" s="2" t="s">
        <v>103</v>
      </c>
    </row>
    <row r="59" spans="2:10" x14ac:dyDescent="0.2">
      <c r="B59" s="46" t="s">
        <v>109</v>
      </c>
    </row>
    <row r="60" spans="2:10" x14ac:dyDescent="0.2">
      <c r="B60" s="2" t="s">
        <v>102</v>
      </c>
      <c r="F60" s="2" t="s">
        <v>92</v>
      </c>
      <c r="H60" s="27">
        <v>6900</v>
      </c>
      <c r="J60" s="2" t="s">
        <v>103</v>
      </c>
    </row>
    <row r="61" spans="2:10" x14ac:dyDescent="0.2">
      <c r="B61" s="2" t="s">
        <v>104</v>
      </c>
      <c r="F61" s="2" t="s">
        <v>105</v>
      </c>
      <c r="H61" s="27">
        <v>4</v>
      </c>
      <c r="J61" s="2" t="s">
        <v>103</v>
      </c>
    </row>
    <row r="62" spans="2:10" x14ac:dyDescent="0.2">
      <c r="B62" s="2" t="s">
        <v>106</v>
      </c>
      <c r="F62" s="2" t="s">
        <v>107</v>
      </c>
      <c r="H62" s="47">
        <v>42536</v>
      </c>
      <c r="J62" s="2" t="s">
        <v>103</v>
      </c>
    </row>
    <row r="65" spans="2:12" x14ac:dyDescent="0.2">
      <c r="B65" s="4" t="s">
        <v>110</v>
      </c>
    </row>
    <row r="66" spans="2:12" x14ac:dyDescent="0.2">
      <c r="B66" s="46" t="s">
        <v>108</v>
      </c>
    </row>
    <row r="67" spans="2:12" x14ac:dyDescent="0.2">
      <c r="B67" s="2" t="s">
        <v>102</v>
      </c>
      <c r="F67" s="2" t="s">
        <v>92</v>
      </c>
      <c r="H67" s="27">
        <v>6000</v>
      </c>
      <c r="J67" s="2" t="s">
        <v>111</v>
      </c>
    </row>
    <row r="68" spans="2:12" x14ac:dyDescent="0.2">
      <c r="B68" s="2" t="s">
        <v>104</v>
      </c>
      <c r="F68" s="2" t="s">
        <v>105</v>
      </c>
      <c r="H68" s="27">
        <v>5</v>
      </c>
      <c r="J68" s="2" t="s">
        <v>111</v>
      </c>
    </row>
    <row r="69" spans="2:12" x14ac:dyDescent="0.2">
      <c r="B69" s="2" t="s">
        <v>106</v>
      </c>
      <c r="F69" s="2" t="s">
        <v>107</v>
      </c>
      <c r="H69" s="47">
        <v>42751</v>
      </c>
      <c r="J69" s="2" t="s">
        <v>111</v>
      </c>
    </row>
    <row r="71" spans="2:12" x14ac:dyDescent="0.2">
      <c r="B71" s="46" t="s">
        <v>108</v>
      </c>
    </row>
    <row r="72" spans="2:12" x14ac:dyDescent="0.2">
      <c r="B72" s="2" t="s">
        <v>102</v>
      </c>
      <c r="F72" s="2" t="s">
        <v>92</v>
      </c>
      <c r="H72" s="48">
        <v>4000</v>
      </c>
      <c r="J72" s="2" t="s">
        <v>111</v>
      </c>
    </row>
    <row r="73" spans="2:12" x14ac:dyDescent="0.2">
      <c r="B73" s="2" t="s">
        <v>104</v>
      </c>
      <c r="F73" s="2" t="s">
        <v>105</v>
      </c>
      <c r="H73" s="48">
        <v>5</v>
      </c>
      <c r="J73" s="2" t="s">
        <v>111</v>
      </c>
      <c r="L73" s="43"/>
    </row>
    <row r="74" spans="2:12" x14ac:dyDescent="0.2">
      <c r="B74" s="2" t="s">
        <v>106</v>
      </c>
      <c r="F74" s="2" t="s">
        <v>107</v>
      </c>
      <c r="H74" s="47">
        <v>43050</v>
      </c>
      <c r="J74" s="2" t="s">
        <v>111</v>
      </c>
      <c r="L74" s="43"/>
    </row>
    <row r="75" spans="2:12" x14ac:dyDescent="0.2">
      <c r="L75" s="43"/>
    </row>
    <row r="77" spans="2:12" x14ac:dyDescent="0.2">
      <c r="B77" s="4" t="s">
        <v>112</v>
      </c>
    </row>
    <row r="78" spans="2:12" x14ac:dyDescent="0.2">
      <c r="B78" s="46" t="s">
        <v>113</v>
      </c>
    </row>
    <row r="79" spans="2:12" x14ac:dyDescent="0.2">
      <c r="B79" s="2" t="s">
        <v>102</v>
      </c>
      <c r="F79" s="2" t="s">
        <v>92</v>
      </c>
      <c r="H79" s="27">
        <v>7636</v>
      </c>
      <c r="J79" s="2" t="s">
        <v>134</v>
      </c>
    </row>
    <row r="80" spans="2:12" x14ac:dyDescent="0.2">
      <c r="B80" s="2" t="s">
        <v>104</v>
      </c>
      <c r="F80" s="2" t="s">
        <v>105</v>
      </c>
      <c r="H80" s="27">
        <v>4</v>
      </c>
      <c r="J80" s="2" t="s">
        <v>134</v>
      </c>
    </row>
    <row r="81" spans="2:12" x14ac:dyDescent="0.2">
      <c r="B81" s="2" t="s">
        <v>106</v>
      </c>
      <c r="F81" s="2" t="s">
        <v>107</v>
      </c>
      <c r="H81" s="47">
        <v>43451</v>
      </c>
      <c r="J81" s="2" t="s">
        <v>134</v>
      </c>
    </row>
    <row r="84" spans="2:12" x14ac:dyDescent="0.2">
      <c r="B84" s="4" t="s">
        <v>114</v>
      </c>
    </row>
    <row r="85" spans="2:12" x14ac:dyDescent="0.2">
      <c r="B85" s="46" t="s">
        <v>109</v>
      </c>
    </row>
    <row r="86" spans="2:12" x14ac:dyDescent="0.2">
      <c r="B86" s="2" t="s">
        <v>102</v>
      </c>
      <c r="F86" s="2" t="s">
        <v>92</v>
      </c>
      <c r="H86" s="27">
        <v>12195</v>
      </c>
      <c r="J86" s="2" t="s">
        <v>135</v>
      </c>
      <c r="L86" s="21"/>
    </row>
    <row r="87" spans="2:12" x14ac:dyDescent="0.2">
      <c r="B87" s="2" t="s">
        <v>104</v>
      </c>
      <c r="F87" s="2" t="s">
        <v>105</v>
      </c>
      <c r="H87" s="27">
        <v>4</v>
      </c>
      <c r="J87" s="2" t="s">
        <v>135</v>
      </c>
    </row>
    <row r="88" spans="2:12" x14ac:dyDescent="0.2">
      <c r="B88" s="2" t="s">
        <v>106</v>
      </c>
      <c r="F88" s="2" t="s">
        <v>107</v>
      </c>
      <c r="H88" s="47">
        <v>43647</v>
      </c>
      <c r="J88" s="2" t="s">
        <v>135</v>
      </c>
    </row>
    <row r="91" spans="2:12" x14ac:dyDescent="0.2">
      <c r="B91" s="4" t="s">
        <v>138</v>
      </c>
    </row>
    <row r="92" spans="2:12" x14ac:dyDescent="0.2">
      <c r="B92" s="46" t="s">
        <v>109</v>
      </c>
    </row>
    <row r="93" spans="2:12" x14ac:dyDescent="0.2">
      <c r="B93" s="2" t="s">
        <v>102</v>
      </c>
      <c r="F93" s="2" t="s">
        <v>92</v>
      </c>
      <c r="H93" s="27">
        <v>4379</v>
      </c>
      <c r="J93" s="2" t="s">
        <v>451</v>
      </c>
    </row>
    <row r="94" spans="2:12" x14ac:dyDescent="0.2">
      <c r="B94" s="2" t="s">
        <v>104</v>
      </c>
      <c r="F94" s="2" t="s">
        <v>105</v>
      </c>
      <c r="H94" s="27">
        <v>4</v>
      </c>
      <c r="J94" s="2" t="s">
        <v>451</v>
      </c>
    </row>
    <row r="95" spans="2:12" x14ac:dyDescent="0.2">
      <c r="B95" s="2" t="s">
        <v>106</v>
      </c>
      <c r="F95" s="2" t="s">
        <v>107</v>
      </c>
      <c r="H95" s="47">
        <v>43921</v>
      </c>
      <c r="J95" s="2" t="s">
        <v>451</v>
      </c>
    </row>
    <row r="98" spans="1:28" x14ac:dyDescent="0.2">
      <c r="B98" s="1" t="s">
        <v>406</v>
      </c>
      <c r="M98" s="15"/>
      <c r="AB98" s="49"/>
    </row>
    <row r="99" spans="1:28" x14ac:dyDescent="0.2">
      <c r="M99" s="15"/>
      <c r="AB99" s="49"/>
    </row>
    <row r="100" spans="1:28" s="50" customFormat="1" x14ac:dyDescent="0.2">
      <c r="A100" s="2"/>
      <c r="B100" s="50" t="s">
        <v>115</v>
      </c>
      <c r="F100" s="50" t="s">
        <v>92</v>
      </c>
      <c r="G100" s="2"/>
      <c r="H100" s="26" t="s">
        <v>476</v>
      </c>
      <c r="J100" s="51" t="s">
        <v>477</v>
      </c>
      <c r="L100" s="21"/>
      <c r="M100" s="15"/>
      <c r="Q100" s="52"/>
      <c r="AB100" s="53"/>
    </row>
    <row r="101" spans="1:28" s="50" customFormat="1" x14ac:dyDescent="0.2">
      <c r="A101" s="2"/>
      <c r="B101" s="50" t="s">
        <v>104</v>
      </c>
      <c r="F101" s="50" t="s">
        <v>105</v>
      </c>
      <c r="H101" s="26" t="s">
        <v>476</v>
      </c>
      <c r="J101" s="51" t="s">
        <v>477</v>
      </c>
      <c r="M101" s="15"/>
      <c r="Q101" s="2"/>
      <c r="AB101" s="53"/>
    </row>
    <row r="102" spans="1:28" s="50" customFormat="1" x14ac:dyDescent="0.2">
      <c r="A102" s="2"/>
      <c r="B102" s="50" t="s">
        <v>106</v>
      </c>
      <c r="F102" s="50" t="s">
        <v>107</v>
      </c>
      <c r="H102" s="26" t="s">
        <v>476</v>
      </c>
      <c r="J102" s="2" t="s">
        <v>116</v>
      </c>
      <c r="M102" s="15"/>
      <c r="Q102" s="2"/>
      <c r="AB102" s="53"/>
    </row>
    <row r="103" spans="1:28" s="50" customFormat="1" x14ac:dyDescent="0.2">
      <c r="G103" s="2"/>
      <c r="J103" s="51"/>
      <c r="M103" s="15"/>
      <c r="AB103" s="53"/>
    </row>
    <row r="104" spans="1:28" s="50" customFormat="1" x14ac:dyDescent="0.2">
      <c r="B104" s="50" t="s">
        <v>381</v>
      </c>
      <c r="F104" s="50" t="s">
        <v>92</v>
      </c>
      <c r="H104" s="26" t="s">
        <v>476</v>
      </c>
      <c r="J104" s="51" t="s">
        <v>477</v>
      </c>
      <c r="M104" s="15"/>
      <c r="Q104" s="2"/>
      <c r="AB104" s="53"/>
    </row>
    <row r="105" spans="1:28" s="50" customFormat="1" x14ac:dyDescent="0.2">
      <c r="B105" s="50" t="s">
        <v>104</v>
      </c>
      <c r="F105" s="50" t="s">
        <v>105</v>
      </c>
      <c r="H105" s="26" t="s">
        <v>476</v>
      </c>
      <c r="J105" s="51" t="s">
        <v>477</v>
      </c>
      <c r="L105" s="54"/>
      <c r="M105" s="15"/>
      <c r="AB105" s="53"/>
    </row>
    <row r="106" spans="1:28" s="50" customFormat="1" x14ac:dyDescent="0.2">
      <c r="B106" s="50" t="s">
        <v>106</v>
      </c>
      <c r="F106" s="50" t="s">
        <v>107</v>
      </c>
      <c r="H106" s="26" t="s">
        <v>476</v>
      </c>
      <c r="J106" s="2" t="s">
        <v>116</v>
      </c>
      <c r="M106" s="15"/>
      <c r="Q106" s="2"/>
      <c r="AB106" s="53"/>
    </row>
    <row r="111" spans="1:28" x14ac:dyDescent="0.2">
      <c r="B111" s="4" t="s">
        <v>55</v>
      </c>
    </row>
  </sheetData>
  <phoneticPr fontId="32" type="noConversion"/>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4179F-40FC-4EC2-ACD2-2A11830228D8}">
  <sheetPr>
    <tabColor rgb="FFE1FFE1"/>
  </sheetPr>
  <dimension ref="A2:KF48"/>
  <sheetViews>
    <sheetView showGridLines="0" zoomScale="85" zoomScaleNormal="85" workbookViewId="0">
      <pane xSplit="6" ySplit="14" topLeftCell="G15" activePane="bottomRight" state="frozen"/>
      <selection activeCell="R6" sqref="R6"/>
      <selection pane="topRight" activeCell="R6" sqref="R6"/>
      <selection pane="bottomLeft" activeCell="R6" sqref="R6"/>
      <selection pane="bottomRight" activeCell="G15" sqref="G15"/>
    </sheetView>
  </sheetViews>
  <sheetFormatPr defaultRowHeight="12.75" x14ac:dyDescent="0.2"/>
  <cols>
    <col min="1" max="1" width="4.7109375" style="2" customWidth="1"/>
    <col min="2" max="2" width="41.42578125" style="2" customWidth="1"/>
    <col min="3" max="3" width="4.7109375" style="2" customWidth="1"/>
    <col min="4" max="5" width="4.5703125" style="2" customWidth="1"/>
    <col min="6" max="6" width="13.7109375" style="2" customWidth="1"/>
    <col min="7" max="7" width="2.7109375" style="2" customWidth="1"/>
    <col min="8" max="8" width="15.5703125" style="2" customWidth="1"/>
    <col min="9" max="9" width="2.7109375" style="2" customWidth="1"/>
    <col min="10" max="10" width="15.7109375" style="2" customWidth="1"/>
    <col min="11" max="11" width="2.7109375" style="2" customWidth="1"/>
    <col min="12" max="12" width="10.140625" style="2" customWidth="1"/>
    <col min="13" max="13" width="2.7109375" style="2" customWidth="1"/>
    <col min="14" max="25" width="11.85546875" style="2" customWidth="1"/>
    <col min="26" max="26" width="2.5703125" style="2" customWidth="1"/>
    <col min="27" max="27" width="35" style="2" customWidth="1"/>
    <col min="28" max="28" width="2.5703125" style="2" customWidth="1"/>
    <col min="29" max="29" width="35" style="2" customWidth="1"/>
    <col min="30" max="40" width="13.7109375" style="2" customWidth="1"/>
    <col min="41" max="16384" width="9.140625" style="2"/>
  </cols>
  <sheetData>
    <row r="2" spans="1:267" s="14" customFormat="1" ht="18" x14ac:dyDescent="0.2">
      <c r="B2" s="14" t="s">
        <v>168</v>
      </c>
    </row>
    <row r="4" spans="1:267" x14ac:dyDescent="0.2">
      <c r="B4" s="22" t="s">
        <v>60</v>
      </c>
      <c r="C4" s="1"/>
      <c r="D4" s="1"/>
    </row>
    <row r="5" spans="1:267" x14ac:dyDescent="0.2">
      <c r="B5" s="2" t="s">
        <v>169</v>
      </c>
      <c r="H5" s="15"/>
    </row>
    <row r="6" spans="1:267" x14ac:dyDescent="0.2">
      <c r="H6" s="15"/>
    </row>
    <row r="7" spans="1:267" x14ac:dyDescent="0.2">
      <c r="B7" s="23" t="s">
        <v>62</v>
      </c>
      <c r="H7" s="15"/>
    </row>
    <row r="8" spans="1:267" x14ac:dyDescent="0.2">
      <c r="B8" s="4" t="s">
        <v>350</v>
      </c>
      <c r="N8" s="21"/>
    </row>
    <row r="9" spans="1:267" x14ac:dyDescent="0.2">
      <c r="B9" s="4" t="s">
        <v>352</v>
      </c>
    </row>
    <row r="10" spans="1:267" x14ac:dyDescent="0.2">
      <c r="B10" s="4" t="s">
        <v>462</v>
      </c>
      <c r="N10" s="21"/>
    </row>
    <row r="11" spans="1:267" x14ac:dyDescent="0.2">
      <c r="B11" s="4"/>
    </row>
    <row r="13" spans="1:267" customFormat="1" ht="25.5" x14ac:dyDescent="0.2">
      <c r="A13" s="8"/>
      <c r="B13" s="8" t="s">
        <v>10</v>
      </c>
      <c r="C13" s="8"/>
      <c r="D13" s="8"/>
      <c r="E13" s="8"/>
      <c r="F13" s="8" t="s">
        <v>33</v>
      </c>
      <c r="G13" s="8"/>
      <c r="H13" s="8" t="s">
        <v>34</v>
      </c>
      <c r="I13" s="8"/>
      <c r="J13" s="8" t="s">
        <v>35</v>
      </c>
      <c r="K13" s="8"/>
      <c r="L13" s="58" t="s">
        <v>139</v>
      </c>
      <c r="M13" s="8"/>
      <c r="N13" s="59" t="s">
        <v>140</v>
      </c>
      <c r="O13" s="59" t="s">
        <v>141</v>
      </c>
      <c r="P13" s="59" t="s">
        <v>142</v>
      </c>
      <c r="Q13" s="59" t="s">
        <v>143</v>
      </c>
      <c r="R13" s="59" t="s">
        <v>144</v>
      </c>
      <c r="S13" s="59" t="s">
        <v>145</v>
      </c>
      <c r="T13" s="59" t="s">
        <v>146</v>
      </c>
      <c r="U13" s="59" t="s">
        <v>147</v>
      </c>
      <c r="V13" s="59" t="s">
        <v>148</v>
      </c>
      <c r="W13" s="59" t="s">
        <v>149</v>
      </c>
      <c r="X13" s="59" t="s">
        <v>150</v>
      </c>
      <c r="Y13" s="59" t="s">
        <v>151</v>
      </c>
      <c r="Z13" s="8"/>
      <c r="AA13" s="8" t="s">
        <v>37</v>
      </c>
      <c r="AB13" s="8"/>
      <c r="AC13" s="8" t="s">
        <v>36</v>
      </c>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row>
    <row r="16" spans="1:267" customFormat="1" x14ac:dyDescent="0.2">
      <c r="A16" s="8"/>
      <c r="B16" s="8" t="s">
        <v>165</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row>
    <row r="17" spans="1:267" customForma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row>
    <row r="18" spans="1:267" customFormat="1" x14ac:dyDescent="0.2">
      <c r="A18" s="2"/>
      <c r="B18" s="1" t="s">
        <v>152</v>
      </c>
      <c r="C18" s="2"/>
      <c r="D18" s="2"/>
      <c r="E18" s="2"/>
      <c r="F18" s="2"/>
      <c r="G18" s="2"/>
      <c r="H18" s="2"/>
      <c r="I18" s="2"/>
      <c r="J18" s="2"/>
      <c r="K18" s="2"/>
      <c r="L18" s="2"/>
      <c r="M18" s="2"/>
      <c r="N18" s="2"/>
      <c r="O18" s="2"/>
      <c r="P18" s="2"/>
      <c r="Q18" s="2"/>
      <c r="R18" s="2"/>
      <c r="S18" s="2"/>
      <c r="T18" s="2"/>
      <c r="U18" s="2"/>
      <c r="V18" s="2"/>
      <c r="W18" s="2"/>
      <c r="X18" s="2"/>
      <c r="Y18" s="2"/>
      <c r="Z18" s="2"/>
      <c r="AA18" s="2"/>
      <c r="AB18" s="2"/>
      <c r="AC18" s="21"/>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row>
    <row r="19" spans="1:267" customFormat="1" x14ac:dyDescent="0.2">
      <c r="A19" s="2"/>
      <c r="B19" s="2" t="s">
        <v>153</v>
      </c>
      <c r="C19" s="2"/>
      <c r="D19" s="2"/>
      <c r="E19" s="2"/>
      <c r="F19" s="2" t="s">
        <v>154</v>
      </c>
      <c r="G19" s="2"/>
      <c r="H19" s="2"/>
      <c r="I19" s="2"/>
      <c r="J19" s="2"/>
      <c r="K19" s="2"/>
      <c r="L19" s="2"/>
      <c r="M19" s="2"/>
      <c r="N19" s="26" t="s">
        <v>476</v>
      </c>
      <c r="O19" s="26" t="s">
        <v>476</v>
      </c>
      <c r="P19" s="26" t="s">
        <v>476</v>
      </c>
      <c r="Q19" s="26" t="s">
        <v>476</v>
      </c>
      <c r="R19" s="2"/>
      <c r="S19" s="2"/>
      <c r="T19" s="2"/>
      <c r="U19" s="2"/>
      <c r="V19" s="2"/>
      <c r="W19" s="2"/>
      <c r="X19" s="2"/>
      <c r="Y19" s="2"/>
      <c r="Z19" s="2"/>
      <c r="AA19" s="2" t="s">
        <v>351</v>
      </c>
      <c r="AB19" s="2"/>
      <c r="AC19" s="21"/>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row>
    <row r="20" spans="1:267" customFormat="1" x14ac:dyDescent="0.2">
      <c r="A20" s="2"/>
      <c r="B20" s="2" t="s">
        <v>155</v>
      </c>
      <c r="C20" s="2"/>
      <c r="D20" s="2"/>
      <c r="E20" s="2"/>
      <c r="F20" s="2" t="s">
        <v>158</v>
      </c>
      <c r="G20" s="2"/>
      <c r="H20" s="2"/>
      <c r="I20" s="2"/>
      <c r="J20" s="2"/>
      <c r="K20" s="2"/>
      <c r="L20" s="2"/>
      <c r="M20" s="2"/>
      <c r="N20" s="26" t="s">
        <v>476</v>
      </c>
      <c r="O20" s="26" t="s">
        <v>476</v>
      </c>
      <c r="P20" s="26" t="s">
        <v>476</v>
      </c>
      <c r="Q20" s="26" t="s">
        <v>476</v>
      </c>
      <c r="R20" s="2"/>
      <c r="S20" s="2"/>
      <c r="T20" s="2"/>
      <c r="U20" s="2"/>
      <c r="V20" s="2"/>
      <c r="W20" s="2"/>
      <c r="X20" s="2"/>
      <c r="Y20" s="2"/>
      <c r="Z20" s="2"/>
      <c r="AA20" s="2" t="s">
        <v>286</v>
      </c>
      <c r="AB20" s="2"/>
      <c r="AC20" s="21"/>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row>
    <row r="21" spans="1:267" customFormat="1" x14ac:dyDescent="0.2">
      <c r="A21" s="2"/>
      <c r="B21" s="2" t="s">
        <v>289</v>
      </c>
      <c r="C21" s="2"/>
      <c r="D21" s="2"/>
      <c r="E21" s="2"/>
      <c r="F21" s="2" t="s">
        <v>290</v>
      </c>
      <c r="G21" s="2"/>
      <c r="H21" s="73">
        <v>158.98729499999999</v>
      </c>
      <c r="I21" s="2"/>
      <c r="J21" s="2"/>
      <c r="K21" s="2"/>
      <c r="L21" s="2"/>
      <c r="M21" s="2"/>
      <c r="N21" s="44"/>
      <c r="O21" s="44"/>
      <c r="P21" s="44"/>
      <c r="Q21" s="44"/>
      <c r="R21" s="2"/>
      <c r="S21" s="2"/>
      <c r="T21" s="2"/>
      <c r="U21" s="2"/>
      <c r="V21" s="2"/>
      <c r="W21" s="2"/>
      <c r="X21" s="2"/>
      <c r="Y21" s="2"/>
      <c r="Z21" s="2"/>
      <c r="AA21" s="2" t="s">
        <v>286</v>
      </c>
      <c r="AB21" s="2"/>
      <c r="AC21" s="21"/>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row>
    <row r="22" spans="1:267" customForma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row>
    <row r="23" spans="1:267" customFormat="1" x14ac:dyDescent="0.2">
      <c r="A23" s="2"/>
      <c r="B23" s="1" t="s">
        <v>156</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row>
    <row r="24" spans="1:267" customFormat="1" x14ac:dyDescent="0.2">
      <c r="A24" s="2"/>
      <c r="B24" s="2" t="s">
        <v>153</v>
      </c>
      <c r="C24" s="2"/>
      <c r="D24" s="2"/>
      <c r="E24" s="2"/>
      <c r="F24" s="2" t="s">
        <v>157</v>
      </c>
      <c r="G24" s="2"/>
      <c r="H24" s="2"/>
      <c r="I24" s="2"/>
      <c r="J24" s="2"/>
      <c r="K24" s="2"/>
      <c r="L24" s="2"/>
      <c r="M24" s="2"/>
      <c r="N24" s="26" t="s">
        <v>476</v>
      </c>
      <c r="O24" s="26" t="s">
        <v>476</v>
      </c>
      <c r="P24" s="26" t="s">
        <v>476</v>
      </c>
      <c r="Q24" s="26" t="s">
        <v>476</v>
      </c>
      <c r="R24" s="26" t="s">
        <v>476</v>
      </c>
      <c r="S24" s="26" t="s">
        <v>476</v>
      </c>
      <c r="T24" s="26" t="s">
        <v>476</v>
      </c>
      <c r="U24" s="26" t="s">
        <v>476</v>
      </c>
      <c r="V24" s="26" t="s">
        <v>476</v>
      </c>
      <c r="W24" s="26" t="s">
        <v>476</v>
      </c>
      <c r="X24" s="26" t="s">
        <v>476</v>
      </c>
      <c r="Y24" s="26" t="s">
        <v>476</v>
      </c>
      <c r="Z24" s="2"/>
      <c r="AA24" s="2" t="s">
        <v>351</v>
      </c>
      <c r="AB24" s="2"/>
      <c r="AC24" s="21"/>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row>
    <row r="25" spans="1:267" customFormat="1" x14ac:dyDescent="0.2">
      <c r="A25" s="2"/>
      <c r="B25" s="2" t="s">
        <v>155</v>
      </c>
      <c r="C25" s="2"/>
      <c r="D25" s="2"/>
      <c r="E25" s="2"/>
      <c r="F25" s="2" t="s">
        <v>158</v>
      </c>
      <c r="G25" s="2"/>
      <c r="H25" s="2"/>
      <c r="I25" s="2"/>
      <c r="J25" s="2"/>
      <c r="K25" s="2"/>
      <c r="L25" s="2"/>
      <c r="M25" s="2"/>
      <c r="N25" s="26" t="s">
        <v>476</v>
      </c>
      <c r="O25" s="26" t="s">
        <v>476</v>
      </c>
      <c r="P25" s="26" t="s">
        <v>476</v>
      </c>
      <c r="Q25" s="26" t="s">
        <v>476</v>
      </c>
      <c r="R25" s="26" t="s">
        <v>476</v>
      </c>
      <c r="S25" s="26" t="s">
        <v>476</v>
      </c>
      <c r="T25" s="26" t="s">
        <v>476</v>
      </c>
      <c r="U25" s="26" t="s">
        <v>476</v>
      </c>
      <c r="V25" s="26" t="s">
        <v>476</v>
      </c>
      <c r="W25" s="26" t="s">
        <v>476</v>
      </c>
      <c r="X25" s="26" t="s">
        <v>476</v>
      </c>
      <c r="Y25" s="26" t="s">
        <v>476</v>
      </c>
      <c r="Z25" s="2"/>
      <c r="AA25" s="2" t="s">
        <v>286</v>
      </c>
      <c r="AB25" s="2"/>
      <c r="AC25" s="21"/>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row>
    <row r="26" spans="1:267" customFormat="1" x14ac:dyDescent="0.2">
      <c r="A26" s="2"/>
      <c r="B26" s="2"/>
      <c r="C26" s="2"/>
      <c r="D26" s="2"/>
      <c r="E26" s="2"/>
      <c r="F26" s="2"/>
      <c r="G26" s="2"/>
      <c r="H26" s="2"/>
      <c r="I26" s="2"/>
      <c r="J26" s="2"/>
      <c r="K26" s="2"/>
      <c r="L26" s="2"/>
      <c r="M26" s="2"/>
      <c r="N26" s="44"/>
      <c r="O26" s="44"/>
      <c r="P26" s="44"/>
      <c r="Q26" s="44"/>
      <c r="R26" s="44"/>
      <c r="S26" s="44"/>
      <c r="T26" s="44"/>
      <c r="U26" s="44"/>
      <c r="V26" s="44"/>
      <c r="W26" s="44"/>
      <c r="X26" s="44"/>
      <c r="Y26" s="44"/>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row>
    <row r="27" spans="1:267" customFormat="1" x14ac:dyDescent="0.2">
      <c r="A27" s="2"/>
      <c r="B27" s="22" t="s">
        <v>288</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row>
    <row r="28" spans="1:267" customFormat="1" x14ac:dyDescent="0.2">
      <c r="A28" s="2"/>
      <c r="B28" s="2" t="s">
        <v>265</v>
      </c>
      <c r="C28" s="2"/>
      <c r="D28" s="2"/>
      <c r="E28" s="2"/>
      <c r="F28" s="2" t="s">
        <v>84</v>
      </c>
      <c r="G28" s="2"/>
      <c r="H28" s="2"/>
      <c r="I28" s="2"/>
      <c r="J28" s="30">
        <f>SUM(N28:Y28)</f>
        <v>95743693</v>
      </c>
      <c r="K28" s="2"/>
      <c r="L28" s="2"/>
      <c r="M28" s="2"/>
      <c r="N28" s="27">
        <v>7497993.9999999916</v>
      </c>
      <c r="O28" s="27">
        <v>7172679.0000000177</v>
      </c>
      <c r="P28" s="27">
        <v>7787092.9999999935</v>
      </c>
      <c r="Q28" s="27">
        <v>5636100.9999999916</v>
      </c>
      <c r="R28" s="27">
        <v>5049897.0000000065</v>
      </c>
      <c r="S28" s="27">
        <v>7247349.9999999963</v>
      </c>
      <c r="T28" s="27">
        <v>8158898.9999999981</v>
      </c>
      <c r="U28" s="27">
        <v>9533397.0000000019</v>
      </c>
      <c r="V28" s="27">
        <v>10124811.000000004</v>
      </c>
      <c r="W28" s="27">
        <v>9829012.9999999963</v>
      </c>
      <c r="X28" s="27">
        <v>8769583.0000000056</v>
      </c>
      <c r="Y28" s="27">
        <v>8936875.9999999963</v>
      </c>
      <c r="Z28" s="2"/>
      <c r="AA28" s="2" t="s">
        <v>394</v>
      </c>
      <c r="AB28" s="2"/>
      <c r="AC28" s="2" t="s">
        <v>287</v>
      </c>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row>
    <row r="29" spans="1:267" customFormat="1" x14ac:dyDescent="0.2">
      <c r="A29" s="2"/>
      <c r="B29" s="2" t="s">
        <v>266</v>
      </c>
      <c r="C29" s="2"/>
      <c r="D29" s="2"/>
      <c r="E29" s="2"/>
      <c r="F29" s="2" t="s">
        <v>84</v>
      </c>
      <c r="G29" s="2"/>
      <c r="H29" s="2"/>
      <c r="I29" s="2"/>
      <c r="J29" s="30">
        <f>SUM(N29:Y29)</f>
        <v>24934391</v>
      </c>
      <c r="K29" s="2"/>
      <c r="L29" s="2"/>
      <c r="M29" s="2"/>
      <c r="N29" s="27">
        <v>2338768.0000000037</v>
      </c>
      <c r="O29" s="27">
        <v>2481107.999999993</v>
      </c>
      <c r="P29" s="27">
        <v>1882054.0000000037</v>
      </c>
      <c r="Q29" s="27">
        <v>3083341.0000000005</v>
      </c>
      <c r="R29" s="27">
        <v>4560680.9999999981</v>
      </c>
      <c r="S29" s="27">
        <v>2597963.0000000033</v>
      </c>
      <c r="T29" s="27">
        <v>2243110.0000000005</v>
      </c>
      <c r="U29" s="27">
        <v>1621996.9999999958</v>
      </c>
      <c r="V29" s="27">
        <v>893733.00000000745</v>
      </c>
      <c r="W29" s="27">
        <v>893535.99999999278</v>
      </c>
      <c r="X29" s="27">
        <v>1039863.9999999942</v>
      </c>
      <c r="Y29" s="27">
        <v>1298236.0000000116</v>
      </c>
      <c r="Z29" s="2"/>
      <c r="AA29" s="2" t="s">
        <v>394</v>
      </c>
      <c r="AB29" s="2"/>
      <c r="AC29" s="2" t="s">
        <v>159</v>
      </c>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row>
    <row r="30" spans="1:267" customForma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1"/>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row>
    <row r="31" spans="1:267" customFormat="1" x14ac:dyDescent="0.2">
      <c r="A31" s="2"/>
      <c r="B31" s="2" t="s">
        <v>160</v>
      </c>
      <c r="C31" s="2"/>
      <c r="D31" s="2"/>
      <c r="E31" s="2"/>
      <c r="F31" s="2" t="s">
        <v>84</v>
      </c>
      <c r="G31" s="2"/>
      <c r="H31" s="2"/>
      <c r="I31" s="2"/>
      <c r="J31" s="30">
        <f>SUM(N31:Y31)</f>
        <v>120678084</v>
      </c>
      <c r="K31" s="2"/>
      <c r="L31" s="2"/>
      <c r="M31" s="2"/>
      <c r="N31" s="60">
        <f t="shared" ref="N31:Y31" si="0">N28+N29</f>
        <v>9836761.9999999963</v>
      </c>
      <c r="O31" s="60">
        <f t="shared" si="0"/>
        <v>9653787.0000000112</v>
      </c>
      <c r="P31" s="60">
        <f t="shared" si="0"/>
        <v>9669146.9999999963</v>
      </c>
      <c r="Q31" s="60">
        <f t="shared" si="0"/>
        <v>8719441.9999999925</v>
      </c>
      <c r="R31" s="60">
        <f t="shared" si="0"/>
        <v>9610578.0000000037</v>
      </c>
      <c r="S31" s="60">
        <f t="shared" si="0"/>
        <v>9845313</v>
      </c>
      <c r="T31" s="60">
        <f t="shared" si="0"/>
        <v>10402008.999999998</v>
      </c>
      <c r="U31" s="60">
        <f t="shared" si="0"/>
        <v>11155393.999999998</v>
      </c>
      <c r="V31" s="60">
        <f t="shared" si="0"/>
        <v>11018544.000000011</v>
      </c>
      <c r="W31" s="60">
        <f t="shared" si="0"/>
        <v>10722548.999999989</v>
      </c>
      <c r="X31" s="60">
        <f t="shared" si="0"/>
        <v>9809447</v>
      </c>
      <c r="Y31" s="60">
        <f t="shared" si="0"/>
        <v>10235112.000000007</v>
      </c>
      <c r="Z31" s="2"/>
      <c r="AA31" s="2"/>
      <c r="AB31" s="2"/>
      <c r="AC31" s="21"/>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row>
    <row r="32" spans="1:267" customFormat="1" x14ac:dyDescent="0.2">
      <c r="A32" s="2"/>
      <c r="B32" s="2"/>
      <c r="C32" s="2"/>
      <c r="D32" s="2"/>
      <c r="E32" s="2"/>
      <c r="F32" s="2"/>
      <c r="G32" s="2"/>
      <c r="H32" s="2"/>
      <c r="I32" s="2"/>
      <c r="J32" s="2"/>
      <c r="K32" s="2"/>
      <c r="L32" s="2"/>
      <c r="M32" s="2"/>
      <c r="N32" s="44"/>
      <c r="O32" s="44"/>
      <c r="P32" s="44"/>
      <c r="Q32" s="44"/>
      <c r="R32" s="44"/>
      <c r="S32" s="44"/>
      <c r="T32" s="44"/>
      <c r="U32" s="44"/>
      <c r="V32" s="44"/>
      <c r="W32" s="44"/>
      <c r="X32" s="44"/>
      <c r="Y32" s="44"/>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row>
    <row r="33" spans="1:292" x14ac:dyDescent="0.2">
      <c r="H33" s="43"/>
      <c r="N33" s="61"/>
      <c r="O33" s="61"/>
      <c r="P33" s="61"/>
      <c r="Q33" s="61"/>
      <c r="R33" s="61"/>
      <c r="S33" s="61"/>
      <c r="T33" s="61"/>
      <c r="U33" s="61"/>
      <c r="V33" s="61"/>
      <c r="W33" s="61"/>
      <c r="X33" s="61"/>
      <c r="Y33" s="61"/>
    </row>
    <row r="34" spans="1:292" customFormat="1" x14ac:dyDescent="0.2">
      <c r="A34" s="8"/>
      <c r="B34" s="8" t="s">
        <v>166</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row>
    <row r="35" spans="1:292" customForma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row>
    <row r="36" spans="1:292" customFormat="1" x14ac:dyDescent="0.2">
      <c r="A36" s="2"/>
      <c r="B36" s="1" t="s">
        <v>161</v>
      </c>
      <c r="C36" s="2"/>
      <c r="D36" s="2"/>
      <c r="E36" s="2"/>
      <c r="F36" s="2"/>
      <c r="G36" s="2"/>
      <c r="H36" s="2"/>
      <c r="I36" s="2"/>
      <c r="J36" s="2"/>
      <c r="K36" s="2"/>
      <c r="L36" s="2"/>
      <c r="M36" s="2"/>
      <c r="N36" s="2"/>
      <c r="O36" s="2"/>
      <c r="P36" s="2"/>
      <c r="Q36" s="2"/>
      <c r="R36" s="2"/>
      <c r="S36" s="2"/>
      <c r="T36" s="2"/>
      <c r="U36" s="2"/>
      <c r="V36" s="2"/>
      <c r="W36" s="2"/>
      <c r="X36" s="21"/>
      <c r="Y36" s="21"/>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row>
    <row r="37" spans="1:292" customFormat="1" x14ac:dyDescent="0.2">
      <c r="A37" s="2"/>
      <c r="B37" s="2" t="s">
        <v>291</v>
      </c>
      <c r="C37" s="2"/>
      <c r="D37" s="2"/>
      <c r="E37" s="2"/>
      <c r="F37" s="2" t="s">
        <v>162</v>
      </c>
      <c r="G37" s="2"/>
      <c r="H37" s="2"/>
      <c r="I37" s="2"/>
      <c r="J37" s="2"/>
      <c r="K37" s="2"/>
      <c r="L37" s="2"/>
      <c r="M37" s="2"/>
      <c r="N37" s="26" t="s">
        <v>476</v>
      </c>
      <c r="O37" s="26" t="s">
        <v>476</v>
      </c>
      <c r="P37" s="26" t="s">
        <v>476</v>
      </c>
      <c r="Q37" s="26" t="s">
        <v>476</v>
      </c>
      <c r="R37" s="26" t="s">
        <v>476</v>
      </c>
      <c r="S37" s="26" t="s">
        <v>476</v>
      </c>
      <c r="T37" s="26" t="s">
        <v>476</v>
      </c>
      <c r="U37" s="26" t="s">
        <v>476</v>
      </c>
      <c r="V37" s="26" t="s">
        <v>476</v>
      </c>
      <c r="W37" s="26" t="s">
        <v>476</v>
      </c>
      <c r="X37" s="26" t="s">
        <v>476</v>
      </c>
      <c r="Y37" s="26" t="s">
        <v>476</v>
      </c>
      <c r="Z37" s="2"/>
      <c r="AA37" s="2" t="s">
        <v>395</v>
      </c>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row>
    <row r="38" spans="1:292" customFormat="1" x14ac:dyDescent="0.2">
      <c r="A38" s="2"/>
      <c r="B38" s="2" t="s">
        <v>163</v>
      </c>
      <c r="C38" s="2"/>
      <c r="D38" s="2"/>
      <c r="E38" s="2"/>
      <c r="F38" s="2" t="s">
        <v>84</v>
      </c>
      <c r="G38" s="2"/>
      <c r="H38" s="2"/>
      <c r="I38" s="2"/>
      <c r="J38" s="2"/>
      <c r="K38" s="2"/>
      <c r="L38" s="2"/>
      <c r="M38" s="2"/>
      <c r="N38" s="26" t="s">
        <v>476</v>
      </c>
      <c r="O38" s="26" t="s">
        <v>476</v>
      </c>
      <c r="P38" s="26" t="s">
        <v>476</v>
      </c>
      <c r="Q38" s="26" t="s">
        <v>476</v>
      </c>
      <c r="R38" s="26" t="s">
        <v>476</v>
      </c>
      <c r="S38" s="26" t="s">
        <v>476</v>
      </c>
      <c r="T38" s="26" t="s">
        <v>476</v>
      </c>
      <c r="U38" s="26" t="s">
        <v>476</v>
      </c>
      <c r="V38" s="26" t="s">
        <v>476</v>
      </c>
      <c r="W38" s="26" t="s">
        <v>476</v>
      </c>
      <c r="X38" s="26" t="s">
        <v>476</v>
      </c>
      <c r="Y38" s="26" t="s">
        <v>476</v>
      </c>
      <c r="Z38" s="2"/>
      <c r="AA38" s="2" t="s">
        <v>395</v>
      </c>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row>
    <row r="39" spans="1:292" customForma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1"/>
      <c r="AD39" s="2"/>
      <c r="AE39" s="2"/>
      <c r="AF39" s="2"/>
      <c r="AG39" s="2"/>
      <c r="AH39" s="2"/>
      <c r="AI39" s="2"/>
      <c r="AJ39" s="2"/>
      <c r="AK39" s="2"/>
      <c r="AL39" s="2"/>
      <c r="AM39" s="2"/>
      <c r="AN39" s="2"/>
      <c r="AO39" s="2"/>
      <c r="AP39" s="2"/>
      <c r="AQ39" s="2"/>
      <c r="AR39" s="2"/>
      <c r="AS39" s="2"/>
      <c r="AT39" s="2"/>
      <c r="AU39" s="2"/>
      <c r="AV39" s="2"/>
      <c r="AW39" s="2"/>
      <c r="AX39" s="2"/>
      <c r="AY39" s="2"/>
      <c r="AZ39" s="2"/>
      <c r="BA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row>
    <row r="40" spans="1:292" customFormat="1" x14ac:dyDescent="0.2">
      <c r="A40" s="2"/>
      <c r="B40" s="1" t="s">
        <v>167</v>
      </c>
      <c r="C40" s="2"/>
      <c r="D40" s="2"/>
      <c r="E40" s="2"/>
      <c r="F40" s="2"/>
      <c r="G40" s="2"/>
      <c r="H40" s="2"/>
      <c r="I40" s="2"/>
      <c r="J40" s="2"/>
      <c r="K40" s="2"/>
      <c r="L40" s="2"/>
      <c r="M40" s="2"/>
      <c r="N40" s="43"/>
      <c r="O40" s="43"/>
      <c r="P40" s="43"/>
      <c r="Q40" s="43"/>
      <c r="R40" s="43"/>
      <c r="S40" s="43"/>
      <c r="T40" s="43"/>
      <c r="U40" s="43"/>
      <c r="V40" s="43"/>
      <c r="W40" s="43"/>
      <c r="X40" s="43"/>
      <c r="Y40" s="43"/>
      <c r="Z40" s="2"/>
      <c r="AA40" s="2"/>
      <c r="AB40" s="2"/>
      <c r="AC40" s="21"/>
      <c r="AD40" s="2"/>
      <c r="AE40" s="2"/>
      <c r="AF40" s="2"/>
      <c r="AG40" s="2"/>
      <c r="AH40" s="2"/>
      <c r="AI40" s="2"/>
      <c r="AJ40" s="2"/>
      <c r="AK40" s="2"/>
      <c r="AL40" s="2"/>
      <c r="AM40" s="2"/>
      <c r="AN40" s="2"/>
      <c r="AO40" s="2"/>
      <c r="AP40" s="2"/>
      <c r="AQ40" s="2"/>
      <c r="AR40" s="2"/>
      <c r="AS40" s="2"/>
      <c r="AT40" s="2"/>
      <c r="AU40" s="2"/>
      <c r="AV40" s="2"/>
      <c r="AW40" s="2"/>
      <c r="AX40" s="2"/>
      <c r="AY40" s="2"/>
      <c r="AZ40" s="2"/>
      <c r="BA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row>
    <row r="41" spans="1:292" customFormat="1" x14ac:dyDescent="0.2">
      <c r="A41" s="2"/>
      <c r="B41" s="2" t="s">
        <v>164</v>
      </c>
      <c r="C41" s="2"/>
      <c r="D41" s="2"/>
      <c r="E41" s="2"/>
      <c r="F41" s="2" t="s">
        <v>162</v>
      </c>
      <c r="G41" s="2"/>
      <c r="H41" s="62">
        <v>0.125</v>
      </c>
      <c r="I41" s="2"/>
      <c r="J41" s="2"/>
      <c r="K41" s="2"/>
      <c r="M41" s="2"/>
      <c r="N41" s="44"/>
      <c r="O41" s="44"/>
      <c r="P41" s="44"/>
      <c r="Q41" s="44"/>
      <c r="R41" s="44"/>
      <c r="S41" s="44"/>
      <c r="T41" s="44"/>
      <c r="U41" s="44"/>
      <c r="V41" s="44"/>
      <c r="W41" s="44"/>
      <c r="X41" s="44"/>
      <c r="Y41" s="44"/>
      <c r="Z41" s="2"/>
      <c r="AA41" s="2" t="s">
        <v>452</v>
      </c>
      <c r="AB41" s="2"/>
      <c r="AC41" s="21"/>
      <c r="AD41" s="2"/>
      <c r="AE41" s="2"/>
      <c r="AF41" s="2"/>
      <c r="AG41" s="2"/>
      <c r="AH41" s="2"/>
      <c r="AI41" s="2"/>
      <c r="AJ41" s="2"/>
      <c r="AK41" s="2"/>
      <c r="AL41" s="2"/>
      <c r="AM41" s="2"/>
      <c r="AN41" s="2"/>
      <c r="AO41" s="2"/>
      <c r="AP41" s="2"/>
      <c r="AQ41" s="2"/>
      <c r="AR41" s="2"/>
      <c r="AS41" s="2"/>
      <c r="AT41" s="2"/>
      <c r="AU41" s="2"/>
      <c r="AV41" s="2"/>
      <c r="AW41" s="2"/>
      <c r="AX41" s="2"/>
      <c r="AY41" s="2"/>
      <c r="AZ41" s="2"/>
      <c r="BA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row>
    <row r="42" spans="1:292" customFormat="1" x14ac:dyDescent="0.2">
      <c r="A42" s="2"/>
      <c r="B42" s="2"/>
      <c r="C42" s="2"/>
      <c r="D42" s="2"/>
      <c r="E42" s="2"/>
      <c r="F42" s="2"/>
      <c r="G42" s="2"/>
      <c r="H42" s="2"/>
      <c r="I42" s="2"/>
      <c r="J42" s="2"/>
      <c r="K42" s="2"/>
      <c r="L42" s="2"/>
      <c r="M42" s="2"/>
      <c r="N42" s="98"/>
      <c r="O42" s="98"/>
      <c r="P42" s="98"/>
      <c r="Q42" s="98"/>
      <c r="R42" s="44"/>
      <c r="S42" s="44"/>
      <c r="T42" s="44"/>
      <c r="U42" s="44"/>
      <c r="V42" s="44"/>
      <c r="W42" s="44"/>
      <c r="X42" s="44"/>
      <c r="Y42" s="44"/>
      <c r="Z42" s="2"/>
      <c r="AA42" s="2"/>
      <c r="AB42" s="2"/>
      <c r="AC42" s="21"/>
      <c r="AD42" s="2"/>
      <c r="AE42" s="2"/>
      <c r="AF42" s="2"/>
      <c r="AG42" s="2"/>
      <c r="AH42" s="2"/>
      <c r="AI42" s="2"/>
      <c r="AJ42" s="2"/>
      <c r="AK42" s="2"/>
      <c r="AL42" s="2"/>
      <c r="AM42" s="2"/>
      <c r="AN42" s="2"/>
      <c r="AO42" s="2"/>
      <c r="AP42" s="2"/>
      <c r="AQ42" s="2"/>
      <c r="AR42" s="2"/>
      <c r="AS42" s="2"/>
      <c r="AT42" s="2"/>
      <c r="AU42" s="2"/>
      <c r="AV42" s="2"/>
      <c r="AW42" s="2"/>
      <c r="AX42" s="2"/>
      <c r="AY42" s="2"/>
      <c r="AZ42" s="2"/>
      <c r="BA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row>
    <row r="43" spans="1:292" x14ac:dyDescent="0.2">
      <c r="N43" s="44"/>
      <c r="O43" s="44"/>
      <c r="P43" s="44"/>
      <c r="Q43" s="44"/>
      <c r="R43" s="44"/>
      <c r="S43" s="44"/>
      <c r="T43" s="44"/>
      <c r="U43" s="44"/>
      <c r="V43" s="44"/>
      <c r="W43" s="44"/>
      <c r="X43" s="44"/>
      <c r="Y43" s="44"/>
    </row>
    <row r="44" spans="1:292" x14ac:dyDescent="0.2">
      <c r="N44" s="44"/>
      <c r="O44" s="44"/>
      <c r="P44" s="44"/>
      <c r="Q44" s="44"/>
      <c r="R44" s="44"/>
      <c r="S44" s="44"/>
      <c r="T44" s="44"/>
      <c r="U44" s="44"/>
      <c r="V44" s="44"/>
      <c r="W44" s="44"/>
      <c r="X44" s="44"/>
      <c r="Y44" s="44"/>
    </row>
    <row r="45" spans="1:292" x14ac:dyDescent="0.2">
      <c r="N45" s="44"/>
      <c r="O45" s="44"/>
      <c r="P45" s="44"/>
      <c r="Q45" s="44"/>
      <c r="R45" s="44"/>
      <c r="S45" s="44"/>
      <c r="T45" s="44"/>
      <c r="U45" s="44"/>
      <c r="V45" s="44"/>
      <c r="W45" s="44"/>
      <c r="X45" s="44"/>
      <c r="Y45" s="44"/>
    </row>
    <row r="46" spans="1:292" x14ac:dyDescent="0.2">
      <c r="B46" s="4"/>
      <c r="N46" s="98"/>
      <c r="O46" s="98"/>
      <c r="P46" s="98"/>
      <c r="Q46" s="98"/>
      <c r="R46" s="98"/>
      <c r="S46" s="98"/>
      <c r="T46" s="98"/>
      <c r="U46" s="98"/>
      <c r="V46" s="98"/>
      <c r="W46" s="98"/>
      <c r="X46" s="98"/>
      <c r="Y46" s="98"/>
    </row>
    <row r="47" spans="1:292" x14ac:dyDescent="0.2">
      <c r="B47" s="4" t="s">
        <v>55</v>
      </c>
      <c r="N47" s="43"/>
      <c r="O47" s="43"/>
      <c r="P47" s="43"/>
      <c r="Q47" s="43"/>
      <c r="R47" s="43"/>
      <c r="S47" s="43"/>
      <c r="T47" s="43"/>
      <c r="U47" s="43"/>
      <c r="V47" s="43"/>
      <c r="W47" s="43"/>
      <c r="X47" s="43"/>
      <c r="Y47" s="43"/>
    </row>
    <row r="48" spans="1:292" x14ac:dyDescent="0.2">
      <c r="N48" s="43"/>
      <c r="O48" s="43"/>
      <c r="P48" s="43"/>
      <c r="Q48" s="43"/>
      <c r="R48" s="43"/>
      <c r="S48" s="43"/>
      <c r="T48" s="43"/>
      <c r="U48" s="43"/>
      <c r="V48" s="43"/>
      <c r="W48" s="43"/>
      <c r="X48" s="43"/>
      <c r="Y48" s="43"/>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34433-FCDA-4E76-B72B-A81BC83B7CC8}">
  <sheetPr>
    <tabColor rgb="FFE1FFE1"/>
  </sheetPr>
  <dimension ref="B2:R45"/>
  <sheetViews>
    <sheetView showGridLines="0" zoomScale="85" zoomScaleNormal="85" workbookViewId="0">
      <pane xSplit="6" ySplit="10" topLeftCell="G11" activePane="bottomRight" state="frozen"/>
      <selection activeCell="R6" sqref="R6"/>
      <selection pane="topRight" activeCell="R6" sqref="R6"/>
      <selection pane="bottomLeft" activeCell="R6" sqref="R6"/>
      <selection pane="bottomRight" activeCell="G11" sqref="G11"/>
    </sheetView>
  </sheetViews>
  <sheetFormatPr defaultRowHeight="12.75" x14ac:dyDescent="0.2"/>
  <cols>
    <col min="1" max="1" width="4.7109375" style="2" customWidth="1"/>
    <col min="2" max="2" width="74.5703125" style="2" customWidth="1"/>
    <col min="3" max="3" width="4.7109375" style="2" customWidth="1"/>
    <col min="4" max="5" width="4.5703125" style="2" customWidth="1"/>
    <col min="6" max="6" width="13.7109375" style="2" customWidth="1"/>
    <col min="7" max="7" width="2.7109375" style="2" customWidth="1"/>
    <col min="8" max="8" width="13.7109375" style="2" customWidth="1"/>
    <col min="9" max="9" width="2.7109375" style="2" customWidth="1"/>
    <col min="10" max="10" width="63.42578125" style="2" customWidth="1"/>
    <col min="11" max="11" width="2.7109375" style="2" customWidth="1"/>
    <col min="12" max="12" width="13.7109375" style="2" customWidth="1"/>
    <col min="13" max="13" width="2.7109375" style="2" customWidth="1"/>
    <col min="14" max="28" width="13.7109375" style="2" customWidth="1"/>
    <col min="29" max="16384" width="9.140625" style="2"/>
  </cols>
  <sheetData>
    <row r="2" spans="2:18" s="14" customFormat="1" ht="18" x14ac:dyDescent="0.2">
      <c r="B2" s="14" t="s">
        <v>170</v>
      </c>
    </row>
    <row r="4" spans="2:18" x14ac:dyDescent="0.2">
      <c r="B4" s="22" t="s">
        <v>60</v>
      </c>
      <c r="C4" s="1"/>
      <c r="D4" s="1"/>
    </row>
    <row r="5" spans="2:18" x14ac:dyDescent="0.2">
      <c r="B5" s="2" t="s">
        <v>436</v>
      </c>
      <c r="H5" s="15"/>
      <c r="R5" s="21"/>
    </row>
    <row r="6" spans="2:18" x14ac:dyDescent="0.2">
      <c r="B6" s="2" t="s">
        <v>437</v>
      </c>
      <c r="H6" s="15"/>
    </row>
    <row r="7" spans="2:18" x14ac:dyDescent="0.2">
      <c r="H7" s="15"/>
    </row>
    <row r="9" spans="2:18" s="8" customFormat="1" x14ac:dyDescent="0.2">
      <c r="B9" s="8" t="s">
        <v>10</v>
      </c>
      <c r="F9" s="8" t="s">
        <v>33</v>
      </c>
      <c r="H9" s="8" t="s">
        <v>34</v>
      </c>
      <c r="J9" s="8" t="s">
        <v>37</v>
      </c>
      <c r="L9" s="8" t="s">
        <v>36</v>
      </c>
    </row>
    <row r="12" spans="2:18" s="8" customFormat="1" x14ac:dyDescent="0.2">
      <c r="B12" s="8" t="s">
        <v>177</v>
      </c>
    </row>
    <row r="14" spans="2:18" x14ac:dyDescent="0.2">
      <c r="B14" s="22" t="s">
        <v>178</v>
      </c>
      <c r="H14" s="54"/>
      <c r="L14" s="54"/>
    </row>
    <row r="15" spans="2:18" x14ac:dyDescent="0.2">
      <c r="B15" s="2" t="s">
        <v>171</v>
      </c>
      <c r="F15" s="2" t="s">
        <v>84</v>
      </c>
      <c r="H15" s="27">
        <v>96100025</v>
      </c>
      <c r="J15" s="2" t="s">
        <v>444</v>
      </c>
      <c r="L15" s="2" t="s">
        <v>443</v>
      </c>
    </row>
    <row r="16" spans="2:18" ht="13.5" customHeight="1" x14ac:dyDescent="0.2">
      <c r="B16" s="2" t="s">
        <v>172</v>
      </c>
      <c r="F16" s="2" t="s">
        <v>84</v>
      </c>
      <c r="H16" s="27">
        <v>36000000</v>
      </c>
      <c r="J16" s="2" t="s">
        <v>396</v>
      </c>
    </row>
    <row r="17" spans="2:12" ht="13.5" customHeight="1" x14ac:dyDescent="0.2">
      <c r="B17" s="2" t="s">
        <v>317</v>
      </c>
      <c r="F17" s="2" t="s">
        <v>84</v>
      </c>
      <c r="H17" s="29">
        <f>H16</f>
        <v>36000000</v>
      </c>
    </row>
    <row r="18" spans="2:12" x14ac:dyDescent="0.2">
      <c r="B18" s="2" t="s">
        <v>308</v>
      </c>
      <c r="F18" s="2" t="s">
        <v>84</v>
      </c>
      <c r="H18" s="30">
        <f>H15+H16</f>
        <v>132100025</v>
      </c>
      <c r="L18" s="54"/>
    </row>
    <row r="20" spans="2:12" x14ac:dyDescent="0.2">
      <c r="B20" s="2" t="s">
        <v>179</v>
      </c>
      <c r="F20" s="2" t="s">
        <v>157</v>
      </c>
      <c r="H20" s="73">
        <v>0.78</v>
      </c>
      <c r="J20" s="96" t="s">
        <v>448</v>
      </c>
    </row>
    <row r="23" spans="2:12" s="8" customFormat="1" x14ac:dyDescent="0.2">
      <c r="B23" s="8" t="s">
        <v>435</v>
      </c>
    </row>
    <row r="25" spans="2:12" x14ac:dyDescent="0.2">
      <c r="B25" s="1" t="s">
        <v>434</v>
      </c>
    </row>
    <row r="26" spans="2:12" x14ac:dyDescent="0.2">
      <c r="B26" s="2" t="s">
        <v>176</v>
      </c>
      <c r="F26" s="25" t="s">
        <v>66</v>
      </c>
      <c r="H26" s="99">
        <v>0.11</v>
      </c>
      <c r="J26" s="2" t="s">
        <v>307</v>
      </c>
      <c r="L26" s="2" t="s">
        <v>180</v>
      </c>
    </row>
    <row r="28" spans="2:12" x14ac:dyDescent="0.2">
      <c r="B28" s="1" t="s">
        <v>358</v>
      </c>
    </row>
    <row r="29" spans="2:12" x14ac:dyDescent="0.2">
      <c r="B29" s="2" t="s">
        <v>362</v>
      </c>
      <c r="F29" s="2" t="s">
        <v>366</v>
      </c>
      <c r="H29" s="48">
        <v>1229054.8183258772</v>
      </c>
      <c r="J29" s="2" t="s">
        <v>368</v>
      </c>
    </row>
    <row r="30" spans="2:12" x14ac:dyDescent="0.2">
      <c r="B30" s="2" t="s">
        <v>363</v>
      </c>
      <c r="F30" s="2" t="s">
        <v>367</v>
      </c>
      <c r="H30" s="48">
        <v>1226423.1065715633</v>
      </c>
      <c r="J30" s="2" t="s">
        <v>369</v>
      </c>
    </row>
    <row r="31" spans="2:12" x14ac:dyDescent="0.2">
      <c r="B31" s="2" t="s">
        <v>426</v>
      </c>
      <c r="F31" s="2" t="s">
        <v>82</v>
      </c>
      <c r="H31" s="48">
        <v>-98319.999999999403</v>
      </c>
      <c r="J31" s="2" t="s">
        <v>428</v>
      </c>
      <c r="L31" s="2" t="s">
        <v>430</v>
      </c>
    </row>
    <row r="32" spans="2:12" x14ac:dyDescent="0.2">
      <c r="B32" s="2" t="s">
        <v>364</v>
      </c>
      <c r="F32" s="2" t="s">
        <v>81</v>
      </c>
      <c r="H32" s="48">
        <v>615974.89115644176</v>
      </c>
      <c r="J32" s="2" t="s">
        <v>370</v>
      </c>
      <c r="L32" s="2" t="s">
        <v>432</v>
      </c>
    </row>
    <row r="33" spans="2:12" x14ac:dyDescent="0.2">
      <c r="B33" s="2" t="s">
        <v>427</v>
      </c>
      <c r="F33" s="2" t="s">
        <v>81</v>
      </c>
      <c r="H33" s="48">
        <v>-321.78211524058133</v>
      </c>
      <c r="J33" s="2" t="s">
        <v>429</v>
      </c>
      <c r="L33" s="2" t="s">
        <v>431</v>
      </c>
    </row>
    <row r="34" spans="2:12" x14ac:dyDescent="0.2">
      <c r="B34" s="2" t="s">
        <v>372</v>
      </c>
      <c r="F34" s="2" t="s">
        <v>81</v>
      </c>
      <c r="H34" s="48">
        <v>1320000</v>
      </c>
      <c r="J34" s="2" t="s">
        <v>371</v>
      </c>
    </row>
    <row r="35" spans="2:12" x14ac:dyDescent="0.2">
      <c r="B35" s="2" t="s">
        <v>365</v>
      </c>
      <c r="F35" s="2" t="s">
        <v>81</v>
      </c>
      <c r="H35" s="48">
        <v>215527</v>
      </c>
      <c r="J35" s="2" t="s">
        <v>324</v>
      </c>
    </row>
    <row r="40" spans="2:12" x14ac:dyDescent="0.2">
      <c r="B40" s="4" t="s">
        <v>55</v>
      </c>
    </row>
    <row r="41" spans="2:12" ht="13.5" x14ac:dyDescent="0.2">
      <c r="J41" s="83"/>
    </row>
    <row r="42" spans="2:12" ht="13.5" x14ac:dyDescent="0.2">
      <c r="J42" s="83"/>
    </row>
    <row r="43" spans="2:12" ht="13.5" x14ac:dyDescent="0.2">
      <c r="J43" s="83"/>
    </row>
    <row r="44" spans="2:12" ht="13.5" x14ac:dyDescent="0.2">
      <c r="J44" s="83"/>
    </row>
    <row r="45" spans="2:12" ht="13.5" x14ac:dyDescent="0.2">
      <c r="H45" s="84"/>
      <c r="J45" s="83"/>
    </row>
  </sheetData>
  <phoneticPr fontId="3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ECT67VDXDTCW-640230012-2</_dlc_DocId>
    <_dlc_DocIdUrl xmlns="5e7bef76-b888-41a2-a261-5f525b37d47e">
      <Url>https://intranet.acm.local/project/excellent-in-excel/_layouts/15/DocIdRedir.aspx?ID=ECT67VDXDTCW-640230012-2</Url>
      <Description>ECT67VDXDTCW-640230012-2</Description>
    </_dlc_DocIdUrl>
    <Status xmlns="94b38974-1436-4631-a0be-797faa579778">Actueel</Statu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459BCFB3BA7984093AF6B5FDACCE3FF" ma:contentTypeVersion="3" ma:contentTypeDescription="Een nieuw document maken." ma:contentTypeScope="" ma:versionID="5ca2a2452ccfef2a6add69ec11766239">
  <xsd:schema xmlns:xsd="http://www.w3.org/2001/XMLSchema" xmlns:xs="http://www.w3.org/2001/XMLSchema" xmlns:p="http://schemas.microsoft.com/office/2006/metadata/properties" xmlns:ns2="5e7bef76-b888-41a2-a261-5f525b37d47e" xmlns:ns3="94b38974-1436-4631-a0be-797faa579778" targetNamespace="http://schemas.microsoft.com/office/2006/metadata/properties" ma:root="true" ma:fieldsID="5142b64c9d09e650d70bec54211324f3" ns2:_="" ns3:_="">
    <xsd:import namespace="5e7bef76-b888-41a2-a261-5f525b37d47e"/>
    <xsd:import namespace="94b38974-1436-4631-a0be-797faa579778"/>
    <xsd:element name="properties">
      <xsd:complexType>
        <xsd:sequence>
          <xsd:element name="documentManagement">
            <xsd:complexType>
              <xsd:all>
                <xsd:element ref="ns2:_dlc_DocId" minOccurs="0"/>
                <xsd:element ref="ns2:_dlc_DocIdUrl" minOccurs="0"/>
                <xsd:element ref="ns2:_dlc_DocIdPersistId"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b38974-1436-4631-a0be-797faa579778" elementFormDefault="qualified">
    <xsd:import namespace="http://schemas.microsoft.com/office/2006/documentManagement/types"/>
    <xsd:import namespace="http://schemas.microsoft.com/office/infopath/2007/PartnerControls"/>
    <xsd:element name="Status" ma:index="11" nillable="true" ma:displayName="Status" ma:default="Actueel" ma:format="RadioButtons" ma:internalName="Status">
      <xsd:simpleType>
        <xsd:restriction base="dms:Choice">
          <xsd:enumeration value="Actueel"/>
          <xsd:enumeration value="Arch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835401-F49D-4D00-8F07-BF5788AC8903}">
  <ds:schemaRefs>
    <ds:schemaRef ds:uri="http://schemas.microsoft.com/sharepoint/v3/contenttype/forms"/>
  </ds:schemaRefs>
</ds:datastoreItem>
</file>

<file path=customXml/itemProps2.xml><?xml version="1.0" encoding="utf-8"?>
<ds:datastoreItem xmlns:ds="http://schemas.openxmlformats.org/officeDocument/2006/customXml" ds:itemID="{29821432-9D6D-4FB8-B669-75517133F53E}">
  <ds:schemaRefs>
    <ds:schemaRef ds:uri="http://schemas.microsoft.com/sharepoint/events"/>
  </ds:schemaRefs>
</ds:datastoreItem>
</file>

<file path=customXml/itemProps3.xml><?xml version="1.0" encoding="utf-8"?>
<ds:datastoreItem xmlns:ds="http://schemas.openxmlformats.org/officeDocument/2006/customXml" ds:itemID="{9CDAB9D1-B815-4B0E-93E7-4496A7FE99F6}">
  <ds:schemaRefs>
    <ds:schemaRef ds:uri="http://schemas.microsoft.com/office/2006/metadata/properties"/>
    <ds:schemaRef ds:uri="http://schemas.microsoft.com/office/infopath/2007/PartnerControls"/>
    <ds:schemaRef ds:uri="5e7bef76-b888-41a2-a261-5f525b37d47e"/>
    <ds:schemaRef ds:uri="94b38974-1436-4631-a0be-797faa579778"/>
  </ds:schemaRefs>
</ds:datastoreItem>
</file>

<file path=customXml/itemProps4.xml><?xml version="1.0" encoding="utf-8"?>
<ds:datastoreItem xmlns:ds="http://schemas.openxmlformats.org/officeDocument/2006/customXml" ds:itemID="{BDF34196-3C60-4FBD-A6D7-F3FCE358B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bef76-b888-41a2-a261-5f525b37d47e"/>
    <ds:schemaRef ds:uri="94b38974-1436-4631-a0be-797faa579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Cover sheet</vt:lpstr>
      <vt:lpstr>Explanation</vt:lpstr>
      <vt:lpstr>Sources and specifics</vt:lpstr>
      <vt:lpstr>Production price 2022</vt:lpstr>
      <vt:lpstr>Input --&gt;</vt:lpstr>
      <vt:lpstr>Parameters</vt:lpstr>
      <vt:lpstr>Est. and realized costs 2020</vt:lpstr>
      <vt:lpstr>Production and fuel costs 2020</vt:lpstr>
      <vt:lpstr>Est. production and costs 2022</vt:lpstr>
      <vt:lpstr>Calculations --&gt;</vt:lpstr>
      <vt:lpstr>Calculation RAB</vt:lpstr>
      <vt:lpstr>Fuel costs and income 2020</vt:lpstr>
      <vt:lpstr>Volume corr. and P.S. 2020</vt:lpstr>
      <vt:lpstr>Income 2022 and prod. price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2018-05-15T11:27:11Z</dcterms:created>
  <dcterms:modified xsi:type="dcterms:W3CDTF">2021-12-21T11:17:30Z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0x010100F459BCFB3BA7984093AF6B5FDACCE3FF</vt:lpwstr>
  </property>
  <property fmtid="{D5CDD505-2E9C-101B-9397-08002B2CF9AE}" pid="3" name="_dlc_DocIdItemGuid">
    <vt:lpwstr>e0efd16f-45ee-4b9d-aa02-521177c04c12</vt:lpwstr>
  </property>
</Properties>
</file>