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codeName="ThisWorkbook" defaultThemeVersion="124226"/>
  <bookViews>
    <workbookView xWindow="240" yWindow="105" windowWidth="19980" windowHeight="7560" tabRatio="916"/>
  </bookViews>
  <sheets>
    <sheet name="Cover sheet" sheetId="9" r:id="rId1"/>
    <sheet name="Explanation" sheetId="10" r:id="rId2"/>
    <sheet name="Sources and applications" sheetId="11" r:id="rId3"/>
    <sheet name="Result" sheetId="21" r:id="rId4"/>
    <sheet name="Input --&gt;" sheetId="13" r:id="rId5"/>
    <sheet name="Parameters" sheetId="28" r:id="rId6"/>
    <sheet name="Estimation for 2019" sheetId="18" r:id="rId7"/>
    <sheet name="Realization of 2019" sheetId="23" r:id="rId8"/>
    <sheet name="Energy cost corr. (incl. calc.)" sheetId="37" r:id="rId9"/>
    <sheet name="Calculations 2019 --&gt;" sheetId="15" r:id="rId10"/>
    <sheet name="Fixed-variable costs 2019" sheetId="27" r:id="rId11"/>
    <sheet name="Volume-effect 2019" sheetId="22" r:id="rId12"/>
    <sheet name="Profit sharing 2019" sheetId="24" r:id="rId13"/>
    <sheet name="Network loss 2019" sheetId="36" r:id="rId14"/>
  </sheets>
  <calcPr calcId="145621"/>
</workbook>
</file>

<file path=xl/calcChain.xml><?xml version="1.0" encoding="utf-8"?>
<calcChain xmlns="http://schemas.openxmlformats.org/spreadsheetml/2006/main">
  <c r="H25" i="22" l="1"/>
  <c r="J25" i="22"/>
  <c r="H19" i="22"/>
  <c r="H40" i="23"/>
  <c r="I27" i="21" l="1"/>
  <c r="J45" i="23" l="1"/>
  <c r="J46" i="23" s="1"/>
  <c r="J19" i="22" s="1"/>
  <c r="I26" i="37" l="1"/>
  <c r="I24" i="37"/>
  <c r="I23" i="37" l="1"/>
  <c r="I18" i="21" l="1"/>
  <c r="K20" i="27" l="1"/>
  <c r="J20" i="27"/>
  <c r="I20" i="27"/>
  <c r="H20" i="27"/>
  <c r="G20" i="27"/>
  <c r="K19" i="27"/>
  <c r="J19" i="27"/>
  <c r="I19" i="27"/>
  <c r="H19" i="27"/>
  <c r="G19" i="27"/>
  <c r="K18" i="27"/>
  <c r="K21" i="27" s="1"/>
  <c r="J18" i="27"/>
  <c r="J21" i="27" s="1"/>
  <c r="I18" i="27"/>
  <c r="H18" i="27"/>
  <c r="G18" i="27"/>
  <c r="G21" i="27" s="1"/>
  <c r="H21" i="27" l="1"/>
  <c r="I21" i="27"/>
  <c r="K27" i="23"/>
  <c r="K24" i="27" l="1"/>
  <c r="K23" i="27"/>
  <c r="K33" i="27" l="1"/>
  <c r="K34" i="27"/>
  <c r="E11" i="21"/>
  <c r="E12" i="21"/>
  <c r="K32" i="24" l="1"/>
  <c r="K17" i="22"/>
  <c r="K16" i="22"/>
  <c r="K28" i="27"/>
  <c r="K17" i="27"/>
  <c r="K38" i="27" l="1"/>
  <c r="K39" i="27"/>
  <c r="E38" i="28"/>
  <c r="E14" i="24" s="1"/>
  <c r="K35" i="27" l="1"/>
  <c r="J32" i="24" l="1"/>
  <c r="I32" i="24"/>
  <c r="J22" i="24"/>
  <c r="I22" i="24"/>
  <c r="I27" i="24" s="1"/>
  <c r="J21" i="24"/>
  <c r="I21" i="24"/>
  <c r="I26" i="24" s="1"/>
  <c r="J21" i="36"/>
  <c r="J20" i="36"/>
  <c r="I18" i="36"/>
  <c r="I17" i="36"/>
  <c r="J17" i="22"/>
  <c r="I17" i="22"/>
  <c r="J16" i="22"/>
  <c r="I16" i="22"/>
  <c r="J28" i="27"/>
  <c r="I28" i="27"/>
  <c r="J24" i="27"/>
  <c r="I24" i="27"/>
  <c r="J23" i="27"/>
  <c r="I23" i="27"/>
  <c r="J17" i="27"/>
  <c r="J38" i="27" s="1"/>
  <c r="I17" i="27"/>
  <c r="I38" i="27" s="1"/>
  <c r="J21" i="23"/>
  <c r="J23" i="24" s="1"/>
  <c r="I21" i="23"/>
  <c r="I23" i="24" s="1"/>
  <c r="I39" i="27" l="1"/>
  <c r="J39" i="27"/>
  <c r="I34" i="27"/>
  <c r="I35" i="27" s="1"/>
  <c r="I33" i="27"/>
  <c r="J33" i="27"/>
  <c r="J34" i="27"/>
  <c r="J35" i="27" s="1"/>
  <c r="K27" i="24"/>
  <c r="J27" i="24"/>
  <c r="K26" i="24"/>
  <c r="J26" i="24"/>
  <c r="J28" i="24"/>
  <c r="J41" i="24" s="1"/>
  <c r="K28" i="24"/>
  <c r="K41" i="24" s="1"/>
  <c r="J26" i="36"/>
  <c r="J25" i="36"/>
  <c r="I28" i="24"/>
  <c r="I41" i="24" s="1"/>
  <c r="J28" i="36" l="1"/>
  <c r="H23" i="27"/>
  <c r="H24" i="27"/>
  <c r="G24" i="27"/>
  <c r="G23" i="27"/>
  <c r="G34" i="27" s="1"/>
  <c r="H33" i="27" l="1"/>
  <c r="H34" i="27"/>
  <c r="G33" i="27"/>
  <c r="H16" i="22"/>
  <c r="G16" i="22"/>
  <c r="H32" i="24" l="1"/>
  <c r="G32" i="24"/>
  <c r="E14" i="27" l="1"/>
  <c r="G16" i="36"/>
  <c r="H21" i="36"/>
  <c r="H20" i="36"/>
  <c r="G18" i="36"/>
  <c r="G15" i="36"/>
  <c r="G17" i="36" s="1"/>
  <c r="K43" i="27" l="1"/>
  <c r="H25" i="36"/>
  <c r="H26" i="36"/>
  <c r="E12" i="24"/>
  <c r="I40" i="24" l="1"/>
  <c r="I42" i="24" s="1"/>
  <c r="K40" i="24"/>
  <c r="K42" i="24" s="1"/>
  <c r="J40" i="24"/>
  <c r="J42" i="24" s="1"/>
  <c r="J40" i="27"/>
  <c r="J44" i="27" s="1"/>
  <c r="J17" i="24" s="1"/>
  <c r="J43" i="27"/>
  <c r="I43" i="27"/>
  <c r="I40" i="27"/>
  <c r="I44" i="27" s="1"/>
  <c r="I17" i="24" s="1"/>
  <c r="H28" i="36"/>
  <c r="K18" i="24"/>
  <c r="K12" i="22"/>
  <c r="E12" i="36"/>
  <c r="J30" i="36" s="1"/>
  <c r="H30" i="36" l="1"/>
  <c r="K24" i="22"/>
  <c r="K25" i="22" s="1"/>
  <c r="K40" i="27"/>
  <c r="K44" i="27" s="1"/>
  <c r="K17" i="24" s="1"/>
  <c r="K37" i="24" s="1"/>
  <c r="J17" i="21"/>
  <c r="J26" i="21" s="1"/>
  <c r="I12" i="22"/>
  <c r="I18" i="24"/>
  <c r="I37" i="24" s="1"/>
  <c r="J18" i="24"/>
  <c r="J37" i="24" s="1"/>
  <c r="J12" i="22"/>
  <c r="J24" i="22" l="1"/>
  <c r="I24" i="22"/>
  <c r="I25" i="22" s="1"/>
  <c r="H17" i="21"/>
  <c r="H26" i="21" s="1"/>
  <c r="E13" i="24" l="1"/>
  <c r="H28" i="27" l="1"/>
  <c r="G28" i="27"/>
  <c r="G35" i="27" s="1"/>
  <c r="H17" i="22"/>
  <c r="G17" i="22"/>
  <c r="H22" i="24"/>
  <c r="H27" i="24" s="1"/>
  <c r="H21" i="24"/>
  <c r="H26" i="24" s="1"/>
  <c r="H40" i="24" s="1"/>
  <c r="G22" i="24"/>
  <c r="G27" i="24" s="1"/>
  <c r="G21" i="24"/>
  <c r="G26" i="24" s="1"/>
  <c r="G40" i="24" l="1"/>
  <c r="K15" i="21" l="1"/>
  <c r="K24" i="21" s="1"/>
  <c r="H21" i="23"/>
  <c r="H23" i="24" s="1"/>
  <c r="G21" i="23"/>
  <c r="G23" i="24" s="1"/>
  <c r="G28" i="24" l="1"/>
  <c r="H28" i="24"/>
  <c r="H41" i="24" s="1"/>
  <c r="H42" i="24" s="1"/>
  <c r="J15" i="21"/>
  <c r="J24" i="21" s="1"/>
  <c r="I15" i="21"/>
  <c r="I24" i="21" s="1"/>
  <c r="H17" i="27"/>
  <c r="G17" i="27"/>
  <c r="G38" i="27" l="1"/>
  <c r="G39" i="27"/>
  <c r="H38" i="27"/>
  <c r="H39" i="27"/>
  <c r="G41" i="24"/>
  <c r="G42" i="24" s="1"/>
  <c r="J45" i="24"/>
  <c r="J47" i="24" s="1"/>
  <c r="K45" i="24"/>
  <c r="K47" i="24" s="1"/>
  <c r="H35" i="27"/>
  <c r="I45" i="24"/>
  <c r="I47" i="24" s="1"/>
  <c r="G40" i="27" l="1"/>
  <c r="G44" i="27" s="1"/>
  <c r="G43" i="27"/>
  <c r="G18" i="24" s="1"/>
  <c r="H40" i="27"/>
  <c r="H44" i="27" s="1"/>
  <c r="H17" i="24" s="1"/>
  <c r="H43" i="27"/>
  <c r="H18" i="24" s="1"/>
  <c r="G17" i="24"/>
  <c r="I16" i="21"/>
  <c r="I25" i="21" s="1"/>
  <c r="K16" i="21"/>
  <c r="K25" i="21" s="1"/>
  <c r="J16" i="21"/>
  <c r="J25" i="21" s="1"/>
  <c r="B14" i="10"/>
  <c r="B21" i="10" s="1"/>
  <c r="H37" i="24" l="1"/>
  <c r="H45" i="24" s="1"/>
  <c r="H47" i="24" s="1"/>
  <c r="G37" i="24"/>
  <c r="G45" i="24" s="1"/>
  <c r="G47" i="24" s="1"/>
  <c r="B15" i="10"/>
  <c r="B16" i="10" s="1"/>
  <c r="B20" i="10" s="1"/>
  <c r="G12" i="22"/>
  <c r="H12" i="22"/>
  <c r="H24" i="22" l="1"/>
  <c r="G24" i="22"/>
  <c r="G25" i="22" s="1"/>
  <c r="G15" i="21" s="1"/>
  <c r="G24" i="21" s="1"/>
  <c r="H16" i="21"/>
  <c r="H25" i="21" s="1"/>
  <c r="H15" i="21" l="1"/>
  <c r="H24" i="21" s="1"/>
  <c r="G16" i="21"/>
  <c r="G25" i="21" s="1"/>
</calcChain>
</file>

<file path=xl/comments1.xml><?xml version="1.0" encoding="utf-8"?>
<comments xmlns="http://schemas.openxmlformats.org/spreadsheetml/2006/main">
  <authors>
    <author>Auteur</author>
  </authors>
  <commentList>
    <comment ref="B20" authorId="0">
      <text>
        <r>
          <rPr>
            <sz val="8"/>
            <color indexed="81"/>
            <rFont val="Tahoma"/>
            <family val="2"/>
          </rPr>
          <t>explanation in remark</t>
        </r>
      </text>
    </comment>
  </commentList>
</comments>
</file>

<file path=xl/comments2.xml><?xml version="1.0" encoding="utf-8"?>
<comments xmlns="http://schemas.openxmlformats.org/spreadsheetml/2006/main">
  <authors>
    <author>Auteur</author>
  </authors>
  <commentList>
    <comment ref="H25" authorId="0">
      <text>
        <r>
          <rPr>
            <sz val="8"/>
            <color indexed="81"/>
            <rFont val="Tahoma"/>
            <family val="2"/>
          </rPr>
          <t>The volume-effect correction for distribution is corrected for the fact that the subsidy amount does not increase with rising volume.</t>
        </r>
      </text>
    </comment>
    <comment ref="J25" authorId="0">
      <text>
        <r>
          <rPr>
            <sz val="8"/>
            <color indexed="81"/>
            <rFont val="Tahoma"/>
            <family val="2"/>
          </rPr>
          <t>The volume-effect correction for distribution is corrected for the fact that the subsidy amount does not increase with rising volume.</t>
        </r>
      </text>
    </comment>
  </commentList>
</comments>
</file>

<file path=xl/sharedStrings.xml><?xml version="1.0" encoding="utf-8"?>
<sst xmlns="http://schemas.openxmlformats.org/spreadsheetml/2006/main" count="579" uniqueCount="293">
  <si>
    <t>Data</t>
  </si>
  <si>
    <t>Input --&gt;</t>
  </si>
  <si>
    <t xml:space="preserve">Description data </t>
  </si>
  <si>
    <t>Capital cost</t>
  </si>
  <si>
    <t>%</t>
  </si>
  <si>
    <t>Operational cost</t>
  </si>
  <si>
    <t xml:space="preserve">Description </t>
  </si>
  <si>
    <t>Constant</t>
  </si>
  <si>
    <t>Source</t>
  </si>
  <si>
    <t>Remarks</t>
  </si>
  <si>
    <t xml:space="preserve">Unit </t>
  </si>
  <si>
    <t>kWh</t>
  </si>
  <si>
    <t>USD/kWh</t>
  </si>
  <si>
    <t xml:space="preserve">Description calculation </t>
  </si>
  <si>
    <t xml:space="preserve">Relevant data for volume-effect correction </t>
  </si>
  <si>
    <t>Estimated costs</t>
  </si>
  <si>
    <t>Realized costs</t>
  </si>
  <si>
    <t>Profit sharing</t>
  </si>
  <si>
    <t>Calculation volume-effect correction</t>
  </si>
  <si>
    <t>Relevant data for profit sharing  correction</t>
  </si>
  <si>
    <t>Calculation profit sharing correction</t>
  </si>
  <si>
    <t>About this file</t>
  </si>
  <si>
    <t>Case number</t>
  </si>
  <si>
    <t>Title</t>
  </si>
  <si>
    <t>Coherence with other calculation files</t>
  </si>
  <si>
    <t>Other remarks</t>
  </si>
  <si>
    <t>About the status of this file</t>
  </si>
  <si>
    <t>Final version?</t>
  </si>
  <si>
    <t>No</t>
  </si>
  <si>
    <t>Published?</t>
  </si>
  <si>
    <t>Is this file legally part of the decision(s) listed above?</t>
  </si>
  <si>
    <t>Contains business confidential information?</t>
  </si>
  <si>
    <t>Explanation to this file</t>
  </si>
  <si>
    <t>Explanatory notes</t>
  </si>
  <si>
    <t>Legend to cell coloring</t>
  </si>
  <si>
    <t>Cellcolor numbers</t>
  </si>
  <si>
    <t>Description</t>
  </si>
  <si>
    <t>Data and input (source required)</t>
  </si>
  <si>
    <t>Value that is drawn from another sheet or cell without calculation</t>
  </si>
  <si>
    <t>Calculated value</t>
  </si>
  <si>
    <t>Result/calculated value that is referred to on another sheet</t>
  </si>
  <si>
    <t>Empty cell (not zero) used in a formula range</t>
  </si>
  <si>
    <t>Exceptional cells</t>
  </si>
  <si>
    <t>Value or calculation that needs special attention or explanation</t>
  </si>
  <si>
    <t>Input or calculation that is not yet up to date, pro memori or work in progress</t>
  </si>
  <si>
    <t>Sheet colors</t>
  </si>
  <si>
    <t>Model sheets</t>
  </si>
  <si>
    <t>Result</t>
  </si>
  <si>
    <t>Sheet with result/output</t>
  </si>
  <si>
    <t>Sheet with input</t>
  </si>
  <si>
    <t>Calculation</t>
  </si>
  <si>
    <t>Sheet with calculations</t>
  </si>
  <si>
    <t>Sheet that is not yet up to date/work in progress</t>
  </si>
  <si>
    <t>Explanatory sheets</t>
  </si>
  <si>
    <t>Empty sheet used for indexing</t>
  </si>
  <si>
    <t>Explanation</t>
  </si>
  <si>
    <t>Standardized sheets with information on the file</t>
  </si>
  <si>
    <t>Source overview and specifications</t>
  </si>
  <si>
    <t>List of sources</t>
  </si>
  <si>
    <t>Each input sheet contains a column 'Source', in which the sources are referred to by their shortened name. These sources are further explained in the table below.</t>
  </si>
  <si>
    <t>Shortened name</t>
  </si>
  <si>
    <t>External file name</t>
  </si>
  <si>
    <t>Additional information on this source</t>
  </si>
  <si>
    <t>As referred to in Source column</t>
  </si>
  <si>
    <t>Exact file name</t>
  </si>
  <si>
    <t>Date received, email, file location</t>
  </si>
  <si>
    <t>Description result</t>
  </si>
  <si>
    <t>Profit sharing-percentage</t>
  </si>
  <si>
    <t>On this sheet ACM the calculates the correction for the volume effect.</t>
  </si>
  <si>
    <t>Volume</t>
  </si>
  <si>
    <t>Unit</t>
  </si>
  <si>
    <t>(see column)</t>
  </si>
  <si>
    <t>kVA</t>
  </si>
  <si>
    <t>Input fixed costs</t>
  </si>
  <si>
    <t>Calculation coverage of fixed costs</t>
  </si>
  <si>
    <t>Relevant data</t>
  </si>
  <si>
    <t>Description data</t>
  </si>
  <si>
    <t xml:space="preserve">The development of the CPI of Q3 year T and Q3 year T-1 will be used as the estimated inflation for the year T+1. The estimated inflation is rounded to one decimal. </t>
  </si>
  <si>
    <t>Comments</t>
  </si>
  <si>
    <t xml:space="preserve">CPI </t>
  </si>
  <si>
    <t xml:space="preserve">WACC </t>
  </si>
  <si>
    <t>ACM WACC decision 2016</t>
  </si>
  <si>
    <t>Calculation fixed-variable costs</t>
  </si>
  <si>
    <t>Realized volume</t>
  </si>
  <si>
    <t>Parameters</t>
  </si>
  <si>
    <t>Volume-effect</t>
  </si>
  <si>
    <t>As of the development of the CPI between Q3 2017 and Q3 2018, the 2017 = 100 serie is used. For earlier years, the 2010 = 100 serie is used.</t>
  </si>
  <si>
    <t>ACM Method decision 2016</t>
  </si>
  <si>
    <t>On this sheet, an overview can be found in which ACM describes the sources used for data and calculations in this file.</t>
  </si>
  <si>
    <t>On this sheet ACM makes a split of the costs per department in a fixed and a variable part.</t>
  </si>
  <si>
    <t>On this sheet ACM calculates the profit sharing correction.</t>
  </si>
  <si>
    <t>On this sheet ACM calculates the difference between the estimated and realized network losses for distribution.</t>
  </si>
  <si>
    <t>Fixed/variable costs</t>
  </si>
  <si>
    <t xml:space="preserve">ACM determined the production price by estimating the costs and the volume of STUCO. On this tab the data used in this estimation is depicted. </t>
  </si>
  <si>
    <t>connections</t>
  </si>
  <si>
    <t>m3</t>
  </si>
  <si>
    <t>USD/m3</t>
  </si>
  <si>
    <t>Electricity production</t>
  </si>
  <si>
    <t>Electricity distribution</t>
  </si>
  <si>
    <t>Water production</t>
  </si>
  <si>
    <t>Water distribution</t>
  </si>
  <si>
    <t>Water distribution (truck)</t>
  </si>
  <si>
    <t>Normative costs of bad debts</t>
  </si>
  <si>
    <t>Input water usage</t>
  </si>
  <si>
    <t>Realized costs (after split water distribution by truck)</t>
  </si>
  <si>
    <t>Profit sharing: regular costs</t>
  </si>
  <si>
    <t>Profit sharing: network losses</t>
  </si>
  <si>
    <t>Estimated inflation 2020</t>
  </si>
  <si>
    <t>Based on analysis by ACM on fixed/variable costs in the Caribbean Netherlands</t>
  </si>
  <si>
    <t>Based on assumption by ACM on fixed/variable costs in the Caribbean Netherlands</t>
  </si>
  <si>
    <t>Other income in 2017</t>
  </si>
  <si>
    <t>ACM assumes other income is not related with volume and therefore it is 0% variable.</t>
  </si>
  <si>
    <t xml:space="preserve">Negative amount indicates realized costs were higher than estimated. </t>
  </si>
  <si>
    <t>CPI CBS (2017=100)</t>
  </si>
  <si>
    <t>Parameters and other input data</t>
  </si>
  <si>
    <t>Tariff decision 2019-1</t>
  </si>
  <si>
    <t>FIN</t>
  </si>
  <si>
    <t>The difference between both prices results in an under- or overrecovery of electricity costs for the drinking water producer, which the energy cost correction corrects for.</t>
  </si>
  <si>
    <t>Data on the energy cost correction</t>
  </si>
  <si>
    <t>Data on energy costs</t>
  </si>
  <si>
    <t>kWh/m3</t>
  </si>
  <si>
    <t>Data and calculation for the energy cost correction for water production</t>
  </si>
  <si>
    <t>Information not available, hence assumed to be 50%.</t>
  </si>
  <si>
    <t>Tariff decision 2019-2</t>
  </si>
  <si>
    <t>Calculation of the energy cost correction</t>
  </si>
  <si>
    <t>Energy cost correction 2019</t>
  </si>
  <si>
    <t>USD, pl 2019</t>
  </si>
  <si>
    <t>Other income is netted with fixed OPEX below</t>
  </si>
  <si>
    <t>In this file, ACM calculates the profit sharing and volume corrections for STUCO over the year 2019.</t>
  </si>
  <si>
    <t>Estimated inflation 2021</t>
  </si>
  <si>
    <t>Corrections on income in 2021 (in original price level)</t>
  </si>
  <si>
    <t>On this sheet the corrections for volume changes, the profit sharing and the network losses, as calculated by ACM, are summarized and brought to to the price level of 2021.</t>
  </si>
  <si>
    <t>USD, pl 2021</t>
  </si>
  <si>
    <t>WACC 2019</t>
  </si>
  <si>
    <t>Variable part of operational costs 2017</t>
  </si>
  <si>
    <t>Variable part of capital costs 2017</t>
  </si>
  <si>
    <t>Water usage by category 2019</t>
  </si>
  <si>
    <t>Realisation of water distributed by line in 2019</t>
  </si>
  <si>
    <t>Realisation of water distributed by truck in 2019</t>
  </si>
  <si>
    <t>Percentage water distribution by truck 2019</t>
  </si>
  <si>
    <t>Distributed water 2019</t>
  </si>
  <si>
    <t>Tariff decision 2020-1</t>
  </si>
  <si>
    <t>Data on the estimation for 2019</t>
  </si>
  <si>
    <t>Cost data for the estimation of the income of 2019</t>
  </si>
  <si>
    <t>Operational costs 2017 (excl fuel)</t>
  </si>
  <si>
    <t>Data on production price and distribution volume for 2019</t>
  </si>
  <si>
    <t>Estimated volume 2019</t>
  </si>
  <si>
    <t>Estimated network losses 2019</t>
  </si>
  <si>
    <t>Production price incl fuel (Jan-Jun 2019)</t>
  </si>
  <si>
    <t>Production price incl fuel (Jul-Dec 2019)</t>
  </si>
  <si>
    <t>Production price 2019</t>
  </si>
  <si>
    <t>Data on the realizations of 2019</t>
  </si>
  <si>
    <t>The annual account of STUCO presents the realized costs in 2019. With the use of the RAB-sheet and the OPEX-sheet, ACM calculated the RAB and operational costs. The results can be found here.</t>
  </si>
  <si>
    <t>Data on the realized income and costs in 2019</t>
  </si>
  <si>
    <t>RAB-value ultimo 2019</t>
  </si>
  <si>
    <t>Depreciation 2019</t>
  </si>
  <si>
    <t>Other income 2019</t>
  </si>
  <si>
    <t>RAB-model 2021</t>
  </si>
  <si>
    <t>OPEX-model 2021</t>
  </si>
  <si>
    <t>Data on realized production volume in 2019</t>
  </si>
  <si>
    <t>Realized volume 2019</t>
  </si>
  <si>
    <t>Realized network losses 2019</t>
  </si>
  <si>
    <t>Electricity production 2019; Electricity connections 2019; Water production 2019; Water connections 2019; Distributed water 2019</t>
  </si>
  <si>
    <t>Net losses electricity 2019; Net losses water 2019</t>
  </si>
  <si>
    <t>This sheets contains the relevant data and calculation for the energy cost correction for the water production.</t>
  </si>
  <si>
    <t>Total expected water production 2020</t>
  </si>
  <si>
    <t>Variable distribution tariff per 1 January 2020</t>
  </si>
  <si>
    <t>Variable distribution tariff per 1 July 2020</t>
  </si>
  <si>
    <t>USD, pp 2020/kWh</t>
  </si>
  <si>
    <t>Required amount of electricity for drinking water production 2020</t>
  </si>
  <si>
    <t>Expected share of of water distribution in second half of the year 2020</t>
  </si>
  <si>
    <t>Required amount of electricity for drinking water production in second half 2020</t>
  </si>
  <si>
    <t>Energy cost correction 2020</t>
  </si>
  <si>
    <t>USD, pp 2020</t>
  </si>
  <si>
    <t>Tariff decision 2020-2</t>
  </si>
  <si>
    <t>Calculation Fixed vs. Variable costs 2019</t>
  </si>
  <si>
    <t>Operational costs 2017 (excl fuel and other income, incl bad debts)</t>
  </si>
  <si>
    <t>Variable part of operational costs 2017 (excl fuel costs)</t>
  </si>
  <si>
    <t>Fixed/variable operational costs 2019</t>
  </si>
  <si>
    <t>Estimated fixed operational costs 2019</t>
  </si>
  <si>
    <t>Estimated variable operational costs 2019</t>
  </si>
  <si>
    <t>Estimated variable operational costs 2019 per unit</t>
  </si>
  <si>
    <t>Fixed/variable capital costs 2019</t>
  </si>
  <si>
    <t>Capital cost 2019 (RAB*WACC+ depreciation)</t>
  </si>
  <si>
    <t>Estimated fixed capital costs 2019</t>
  </si>
  <si>
    <t>Estimated variable capital costs 2019</t>
  </si>
  <si>
    <t>Estimated variable capital costs 2019 per unit</t>
  </si>
  <si>
    <t>Calculation fixed costs 2019</t>
  </si>
  <si>
    <t>Total estimated fixed costs 2019</t>
  </si>
  <si>
    <t>Total estimated variable costs 2019 per unit</t>
  </si>
  <si>
    <t>USD, pl 2019 / #</t>
  </si>
  <si>
    <t>Calculation volume-effect correction 2019</t>
  </si>
  <si>
    <t>Total estimated fixed costs for 2019</t>
  </si>
  <si>
    <t>Realized income to cover fixed costs 2019</t>
  </si>
  <si>
    <t>Volume-effect correction 2019</t>
  </si>
  <si>
    <t>Negative amount indicates an overcoverage of fixed costs in 2018, which will be added to the income in 2021.</t>
  </si>
  <si>
    <t>Calculation profit sharing: correction for regular costs 2019</t>
  </si>
  <si>
    <t>Estimated variable costs 2019 per unit</t>
  </si>
  <si>
    <t>Estimated fixed costs 2019</t>
  </si>
  <si>
    <t>Estimated costs for 2019</t>
  </si>
  <si>
    <t>Total estimated costs for 2019 adjusted for realized volume</t>
  </si>
  <si>
    <t>Realized costs for 2019</t>
  </si>
  <si>
    <t>Operational costs 2019</t>
  </si>
  <si>
    <t>Total realized costs for 2019</t>
  </si>
  <si>
    <t>Realized profit (loss) over 2019 for profit sharing</t>
  </si>
  <si>
    <t>Profit sharing correction 2019</t>
  </si>
  <si>
    <t>Calculation profit sharing: network losses correction 2019</t>
  </si>
  <si>
    <t>Input 2019</t>
  </si>
  <si>
    <t>Production price incl fuel Jan-Jun 2019</t>
  </si>
  <si>
    <t>Production price incl fuel Jul-Dec 2019</t>
  </si>
  <si>
    <t>Average production price 2019</t>
  </si>
  <si>
    <t>Estimated costs of network losses 2019</t>
  </si>
  <si>
    <t>Realized costs of network losses 2019</t>
  </si>
  <si>
    <t>Realized profit (loss) over network losses 2019</t>
  </si>
  <si>
    <t>Profit sharing add-on for network losses 2019</t>
  </si>
  <si>
    <t>As a result of profit sharing, the income in 2021 will be increased by 50% of the difference between the realized and estimated costs.</t>
  </si>
  <si>
    <t>This sheet shows percentages used for the CPI, WACC, profit sharing and fixed/variable costs, input for water usage and corrections calculated by the ACM based on the annual report 2019.</t>
  </si>
  <si>
    <t>In December 2018, ACM determined the production price and tariffs, in decision number ACM/18/033332. In June 2019, ACM made a new estimation of the production price for electricity including fuel costs, in decision number ACM/19/035492.</t>
  </si>
  <si>
    <t>Difference between estimated and adjusted distribution tariff per 1 July 2020</t>
  </si>
  <si>
    <t>USD, pl 2020</t>
  </si>
  <si>
    <t>Corrections</t>
  </si>
  <si>
    <t>Results of corrections to be included income in 2021 in price level 2021</t>
  </si>
  <si>
    <t>The energy cost correction is calculated for 2020, based on the variable distribution tariff as set in the semi-annual tariff decision for electricity distribution.</t>
  </si>
  <si>
    <t>The correction for energy costs is based on the difference between the variable distribution tariff, as used in the calculation of the drinking water production price, and the variable distribution tariff that is set for the second half of the year.</t>
  </si>
  <si>
    <t>Cover sheet</t>
  </si>
  <si>
    <t>Rekenmodel STUCO 2019</t>
  </si>
  <si>
    <t>https://www.acm.nl/nl/publicaties/beschikking-productieprijzen-elektriciteit-2019-sint-eustatius-caribisch-nederland</t>
  </si>
  <si>
    <t>Tariff decision 2019-1, sheet "Calculation income level", row 44</t>
  </si>
  <si>
    <t>Tariff decision 2019-1, sheet "Calculation income level", row 45</t>
  </si>
  <si>
    <t>Tariff decision 2019-1, sheet "Calculation income level", row 56</t>
  </si>
  <si>
    <t>Capital costs 2017</t>
  </si>
  <si>
    <t>Tariff decision 2019-1, sheet "Calculation income level", row 43</t>
  </si>
  <si>
    <t>Capital costs 2017 + additional production investments 2018</t>
  </si>
  <si>
    <t>Tariff decision 2019-1, sheet "Data on volumes and tariffs"</t>
  </si>
  <si>
    <t>Tariff decision 2019-1, sheet "Tariffs STUCO 2019", row 49</t>
  </si>
  <si>
    <t>Tariff decision 2019-1, sheet "Tariffs STUCO 2019", row 17</t>
  </si>
  <si>
    <t>Electricity production 2019</t>
  </si>
  <si>
    <t>Electricity connections 2019</t>
  </si>
  <si>
    <t>Water production 2019</t>
  </si>
  <si>
    <t>Water connections 2019</t>
  </si>
  <si>
    <t>Net losses electricity 2019</t>
  </si>
  <si>
    <t>Net losses water 2019</t>
  </si>
  <si>
    <t>https://www.acm.nl/nl/publicaties/beschikking-variabel-tarief-elektriciteit-1-juli-2019-st-eustatius-caribisch-nederland</t>
  </si>
  <si>
    <t>Tariff decision 2019-2, sheet "New estimated production price", row 31</t>
  </si>
  <si>
    <t>Calculation variable usage tariff electricity STUCO as of July 1 2019</t>
  </si>
  <si>
    <t>https://www.acm.nl/nl/publicaties/beschikking-variabel-tarief-elektriciteit-1-juli-2020-st-eustatius-caribisch-nederland</t>
  </si>
  <si>
    <t>Rekenmodel bij aanpassing variabel gebruikstarief elektriciteit STUCO 1 juli 2020</t>
  </si>
  <si>
    <t>https://www.acm.nl/nl/publicaties/beschikking-distributietarieven-elektriciteit-2020-sint-eustatius-stuco-caribisch-nederland</t>
  </si>
  <si>
    <t>Rekenmodel STUCO 2020</t>
  </si>
  <si>
    <t>Tariff decision 2020-1, sheet "Data on volumes and tariffs", row 29</t>
  </si>
  <si>
    <t>Tariff decision 2020-1, sheet "Data on volumes and tariffs", row 31</t>
  </si>
  <si>
    <t>Tariff decision 2020-1, sheet "Tariffs electricity", row 83</t>
  </si>
  <si>
    <t>Tariff decision 2020-2, sheet "Result", row 32</t>
  </si>
  <si>
    <t>CPI CBS</t>
  </si>
  <si>
    <t>https://opendata.cbs.nl/statline/#/CBS/nl/dataset/84046NED/table</t>
  </si>
  <si>
    <t>Last update input CBS: October 21, 2020</t>
  </si>
  <si>
    <t>Data on lost drinking water subsidy income in 2019</t>
  </si>
  <si>
    <t>#</t>
  </si>
  <si>
    <t>Estimated volume 2019 for subsidy request</t>
  </si>
  <si>
    <t>Total subsidy amount 2019</t>
  </si>
  <si>
    <t>Subsidy per estimated volume 2019</t>
  </si>
  <si>
    <t>Total lost subsidy income as a result of rising volumes in 2019</t>
  </si>
  <si>
    <t>Objections and appeals can be filed against the decision to which this file belongs.</t>
  </si>
  <si>
    <t>Disclaimer</t>
  </si>
  <si>
    <t xml:space="preserve">If there are any substantive differences between the calculation in this file and the calculation that follows from the relevant decision, the decision's calculation is authentic. </t>
  </si>
  <si>
    <t>E-mail STUCO (November 10, 2020)</t>
  </si>
  <si>
    <t>Estimated number of customers in 3,2 kVA category</t>
  </si>
  <si>
    <t>Realized number of customers in 3,2 kVA category</t>
  </si>
  <si>
    <t>Subsidy per customer in 3,2 kVA category</t>
  </si>
  <si>
    <t># / month</t>
  </si>
  <si>
    <t>Estimated number of customers in 7,7 kVA category</t>
  </si>
  <si>
    <t>Realized number of customers in 7,7 kVA category</t>
  </si>
  <si>
    <t>Subsidy per customer in 7,7 kVA category</t>
  </si>
  <si>
    <t>https://stucoeux.com/news/stuco-electricity-tariffs-2020.html</t>
  </si>
  <si>
    <t>STUCO 2020 tariffs</t>
  </si>
  <si>
    <t>ACM has also included data on STUCO's lost subsidy income as a result of rising volumes.</t>
  </si>
  <si>
    <t>Operational costs 2019 (incl bad debt, excl fuel)</t>
  </si>
  <si>
    <t>Net operational costs 2019 (incl bad debt, excl fuel)</t>
  </si>
  <si>
    <t>As a result of profit sharing, the income in 2021 will be increased (decreased) by 50% of the loss (profit).</t>
  </si>
  <si>
    <t>ACM assumes an even distribution between the first and second half of 2019</t>
  </si>
  <si>
    <t>Belongs to decision(s)</t>
  </si>
  <si>
    <t>Reference number of decision(s)</t>
  </si>
  <si>
    <t>Beschikking productieprijs elektriciteit 2021 STUCO
Beschikking productieprijs drinkwater 2021 STUCO
Beschikking distributietarieven elektriciteit 2021 STUCO
Beschikking distributietarieven drinkwater 2021 STUCO</t>
  </si>
  <si>
    <t xml:space="preserve"> ACM/UIT/544864
 ACM/UIT/544865
 ACM/UIT/544900
 ACM/UIT/544902</t>
  </si>
  <si>
    <t>ACM/20/040016</t>
  </si>
  <si>
    <t>Yes</t>
  </si>
  <si>
    <t>https://www.acm.nl/sites/default/files/old_publication/publicaties/16601_wacc-determination-caribbean-netherlands.pdf</t>
  </si>
  <si>
    <t>https://www.acm.nl/sites/default/files/old_publication/publicaties/16390_methodebesluit-caribisch-nederland.pdf</t>
  </si>
  <si>
    <t>Berekening profit sharing correcties voor tarieven STUCO 2021</t>
  </si>
  <si>
    <t>RAB STUCO ultimo 2019 t.b.v. tarieven 2021</t>
  </si>
  <si>
    <t>OPEX STUCO t.b.v. tarieven 2021</t>
  </si>
  <si>
    <t>This file uses the results from the OPEX and RAB calculation, and forms input to the tariff calculation</t>
  </si>
  <si>
    <t>E-mail STUCO to ACM</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</si>
</sst>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2" formatCode="_ &quot;€&quot;\ * #,##0_ ;_ &quot;€&quot;\ * \-#,##0_ ;_ &quot;€&quot;\ * &quot;-&quot;_ ;_ @_ "/>
    <numFmt numFmtId="41" formatCode="_ * #,##0_ ;_ * \-#,##0_ ;_ * &quot;-&quot;_ ;_ @_ "/>
    <numFmt numFmtId="44" formatCode="_ &quot;€&quot;\ * #,##0.00_ ;_ &quot;€&quot;\ * \-#,##0.00_ ;_ &quot;€&quot;\ * &quot;-&quot;??_ ;_ @_ "/>
    <numFmt numFmtId="43" formatCode="_ * #,##0.00_ ;_ * \-#,##0.00_ ;_ * &quot;-&quot;??_ ;_ @_ "/>
    <numFmt numFmtId="164" formatCode="_ * #,##0_ ;_ * \-#,##0_ ;_ * &quot;-&quot;??_ ;_ @_ "/>
    <numFmt numFmtId="165" formatCode="_ * #,##0.0000_ ;_ * \-#,##0.0000_ ;_ * &quot;-&quot;??_ ;_ @_ "/>
    <numFmt numFmtId="166" formatCode="0.0%"/>
    <numFmt numFmtId="167" formatCode="_ * #,##0.000_ ;_ * \-#,##0.000_ ;_ * &quot;-&quot;??_ ;_ @_ "/>
  </numFmts>
  <fonts count="29" x14ac:knownFonts="1">
    <font>
      <sz val="10"/>
      <color theme="1"/>
      <name val="Arial"/>
      <family val="2"/>
    </font>
    <font>
      <sz val="11"/>
      <color theme="1"/>
      <name val="Calibri"/>
      <family val="2"/>
      <scheme val="minor"/>
    </font>
    <font>
      <sz val="10"/>
      <color theme="1"/>
      <name val="Arial"/>
      <family val="2"/>
    </font>
    <font>
      <sz val="11"/>
      <color rgb="FF006100"/>
      <name val="Calibri"/>
      <family val="2"/>
      <scheme val="minor"/>
    </font>
    <font>
      <sz val="11"/>
      <color rgb="FF9C0006"/>
      <name val="Calibri"/>
      <family val="2"/>
      <scheme val="minor"/>
    </font>
    <font>
      <sz val="11"/>
      <color rgb="FF9C6500"/>
      <name val="Calibri"/>
      <family val="2"/>
      <scheme val="minor"/>
    </font>
    <font>
      <sz val="10"/>
      <name val="Arial"/>
      <family val="2"/>
    </font>
    <font>
      <b/>
      <sz val="10"/>
      <name val="Arial"/>
      <family val="2"/>
    </font>
    <font>
      <b/>
      <sz val="14"/>
      <color theme="0"/>
      <name val="Arial"/>
      <family val="2"/>
    </font>
    <font>
      <i/>
      <sz val="10"/>
      <name val="Arial"/>
      <family val="2"/>
    </font>
    <font>
      <b/>
      <sz val="10"/>
      <color rgb="FFFF0000"/>
      <name val="Arial"/>
      <family val="2"/>
    </font>
    <font>
      <sz val="8"/>
      <color indexed="81"/>
      <name val="Tahoma"/>
      <family val="2"/>
    </font>
    <font>
      <b/>
      <sz val="10"/>
      <color theme="0"/>
      <name val="Arial"/>
      <family val="2"/>
    </font>
    <font>
      <sz val="10"/>
      <color rgb="FFFF0000"/>
      <name val="Arial"/>
      <family val="2"/>
    </font>
    <font>
      <sz val="11"/>
      <color theme="1"/>
      <name val="Calibri"/>
      <family val="2"/>
      <scheme val="minor"/>
    </font>
    <font>
      <sz val="10"/>
      <color rgb="FF3F3F76"/>
      <name val="Arial"/>
      <family val="2"/>
    </font>
    <font>
      <b/>
      <sz val="10"/>
      <color rgb="FF3F3F3F"/>
      <name val="Arial"/>
      <family val="2"/>
    </font>
    <font>
      <b/>
      <sz val="10"/>
      <color rgb="FFFA7D00"/>
      <name val="Arial"/>
      <family val="2"/>
    </font>
    <font>
      <sz val="10"/>
      <color rgb="FFFA7D00"/>
      <name val="Arial"/>
      <family val="2"/>
    </font>
    <font>
      <u/>
      <sz val="11"/>
      <color theme="10"/>
      <name val="Calibri"/>
      <family val="2"/>
      <scheme val="minor"/>
    </font>
    <font>
      <u/>
      <sz val="10"/>
      <color theme="10"/>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i/>
      <sz val="10"/>
      <color rgb="FF7F7F7F"/>
      <name val="Arial"/>
      <family val="2"/>
    </font>
    <font>
      <b/>
      <sz val="10"/>
      <color theme="1"/>
      <name val="Arial"/>
      <family val="2"/>
    </font>
    <font>
      <sz val="10"/>
      <color theme="0"/>
      <name val="Arial"/>
      <family val="2"/>
    </font>
    <font>
      <u/>
      <sz val="11"/>
      <color theme="11"/>
      <name val="Calibri"/>
      <family val="2"/>
      <scheme val="minor"/>
    </font>
  </fonts>
  <fills count="4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5F1F7A"/>
        <bgColor indexed="64"/>
      </patternFill>
    </fill>
    <fill>
      <patternFill patternType="solid">
        <fgColor rgb="FFCCFFCC"/>
        <bgColor indexed="64"/>
      </patternFill>
    </fill>
    <fill>
      <patternFill patternType="solid">
        <fgColor theme="0" tint="-0.14999847407452621"/>
        <bgColor indexed="64"/>
      </patternFill>
    </fill>
    <fill>
      <patternFill patternType="solid">
        <fgColor rgb="FFFF00FF"/>
        <bgColor indexed="64"/>
      </patternFill>
    </fill>
    <fill>
      <patternFill patternType="solid">
        <fgColor indexed="42"/>
        <bgColor indexed="64"/>
      </patternFill>
    </fill>
    <fill>
      <patternFill patternType="solid">
        <fgColor indexed="41"/>
        <bgColor indexed="64"/>
      </patternFill>
    </fill>
    <fill>
      <patternFill patternType="solid">
        <fgColor rgb="FFFFCCFF"/>
        <bgColor indexed="64"/>
      </patternFill>
    </fill>
    <fill>
      <patternFill patternType="solid">
        <fgColor indexed="14"/>
        <bgColor indexed="64"/>
      </patternFill>
    </fill>
    <fill>
      <patternFill patternType="solid">
        <fgColor rgb="FFFFFFCC"/>
        <bgColor indexed="64"/>
      </patternFill>
    </fill>
    <fill>
      <patternFill patternType="solid">
        <fgColor rgb="FFCCFFFF"/>
        <bgColor indexed="64"/>
      </patternFill>
    </fill>
    <fill>
      <patternFill patternType="solid">
        <fgColor rgb="FFFFCC99"/>
        <bgColor indexed="64"/>
      </patternFill>
    </fill>
    <fill>
      <patternFill patternType="solid">
        <fgColor theme="0" tint="-4.9989318521683403E-2"/>
        <bgColor indexed="64"/>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rgb="FFCCC8D9"/>
        <bgColor indexed="64"/>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6795556505021"/>
        <bgColor indexed="64"/>
      </patternFill>
    </fill>
  </fills>
  <borders count="12">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s>
  <cellStyleXfs count="65">
    <xf numFmtId="0" fontId="0" fillId="0" borderId="0">
      <alignment vertical="top"/>
    </xf>
    <xf numFmtId="0" fontId="3" fillId="2" borderId="0" applyNumberFormat="0" applyBorder="0" applyAlignment="0" applyProtection="0"/>
    <xf numFmtId="0" fontId="4" fillId="3" borderId="0" applyNumberFormat="0" applyBorder="0" applyAlignment="0" applyProtection="0"/>
    <xf numFmtId="0" fontId="5" fillId="4" borderId="0" applyNumberFormat="0" applyBorder="0" applyAlignment="0" applyProtection="0"/>
    <xf numFmtId="0" fontId="6" fillId="0" borderId="0">
      <alignment vertical="top"/>
    </xf>
    <xf numFmtId="49" fontId="8" fillId="5" borderId="1">
      <alignment vertical="top"/>
    </xf>
    <xf numFmtId="49" fontId="7" fillId="21" borderId="1">
      <alignment vertical="top"/>
    </xf>
    <xf numFmtId="49" fontId="7" fillId="0" borderId="0">
      <alignment vertical="top"/>
    </xf>
    <xf numFmtId="43" fontId="6" fillId="14" borderId="0">
      <alignment vertical="top"/>
    </xf>
    <xf numFmtId="43" fontId="6" fillId="13" borderId="0">
      <alignment vertical="top"/>
    </xf>
    <xf numFmtId="43" fontId="6" fillId="11" borderId="0">
      <alignment vertical="top"/>
    </xf>
    <xf numFmtId="43" fontId="6" fillId="6" borderId="0">
      <alignment vertical="top"/>
    </xf>
    <xf numFmtId="43" fontId="6" fillId="8" borderId="0">
      <alignment vertical="top"/>
    </xf>
    <xf numFmtId="43" fontId="6" fillId="15" borderId="0">
      <alignment vertical="top"/>
    </xf>
    <xf numFmtId="49" fontId="10" fillId="0" borderId="0">
      <alignment vertical="top"/>
    </xf>
    <xf numFmtId="49" fontId="9" fillId="0" borderId="0">
      <alignment vertical="top"/>
    </xf>
    <xf numFmtId="0" fontId="15" fillId="17" borderId="3" applyNumberFormat="0" applyAlignment="0" applyProtection="0"/>
    <xf numFmtId="0" fontId="16" fillId="18" borderId="4" applyNumberFormat="0" applyAlignment="0" applyProtection="0"/>
    <xf numFmtId="0" fontId="17" fillId="18" borderId="3" applyNumberFormat="0" applyAlignment="0" applyProtection="0"/>
    <xf numFmtId="0" fontId="18" fillId="0" borderId="5" applyNumberFormat="0" applyFill="0" applyAlignment="0" applyProtection="0"/>
    <xf numFmtId="0" fontId="12" fillId="19" borderId="6" applyNumberFormat="0" applyAlignment="0" applyProtection="0"/>
    <xf numFmtId="0" fontId="14" fillId="20" borderId="7" applyNumberFormat="0" applyFont="0" applyAlignment="0" applyProtection="0"/>
    <xf numFmtId="0" fontId="19" fillId="0" borderId="0" applyNumberFormat="0" applyFill="0" applyBorder="0" applyAlignment="0" applyProtection="0"/>
    <xf numFmtId="43" fontId="14" fillId="0" borderId="0" applyFont="0" applyFill="0" applyBorder="0" applyAlignment="0" applyProtection="0"/>
    <xf numFmtId="41" fontId="14" fillId="0" borderId="0" applyFont="0" applyFill="0" applyBorder="0" applyAlignment="0" applyProtection="0"/>
    <xf numFmtId="44" fontId="14" fillId="0" borderId="0" applyFont="0" applyFill="0" applyBorder="0" applyAlignment="0" applyProtection="0"/>
    <xf numFmtId="42" fontId="14" fillId="0" borderId="0" applyFont="0" applyFill="0" applyBorder="0" applyAlignment="0" applyProtection="0"/>
    <xf numFmtId="9" fontId="14" fillId="0" borderId="0" applyFont="0" applyFill="0" applyBorder="0" applyAlignment="0" applyProtection="0"/>
    <xf numFmtId="0" fontId="21" fillId="0" borderId="0" applyNumberFormat="0" applyFill="0" applyBorder="0" applyAlignment="0" applyProtection="0"/>
    <xf numFmtId="0" fontId="22" fillId="0" borderId="8" applyNumberFormat="0" applyFill="0" applyAlignment="0" applyProtection="0"/>
    <xf numFmtId="0" fontId="23" fillId="0" borderId="9" applyNumberFormat="0" applyFill="0" applyAlignment="0" applyProtection="0"/>
    <xf numFmtId="0" fontId="24" fillId="0" borderId="10" applyNumberFormat="0" applyFill="0" applyAlignment="0" applyProtection="0"/>
    <xf numFmtId="0" fontId="24" fillId="0" borderId="0" applyNumberFormat="0" applyFill="0" applyBorder="0" applyAlignment="0" applyProtection="0"/>
    <xf numFmtId="0" fontId="13" fillId="0" borderId="0" applyNumberFormat="0" applyFill="0" applyBorder="0" applyAlignment="0" applyProtection="0"/>
    <xf numFmtId="0" fontId="25" fillId="0" borderId="0" applyNumberFormat="0" applyFill="0" applyBorder="0" applyAlignment="0" applyProtection="0"/>
    <xf numFmtId="0" fontId="26" fillId="0" borderId="11" applyNumberFormat="0" applyFill="0" applyAlignment="0" applyProtection="0"/>
    <xf numFmtId="0" fontId="27"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7" fillId="29" borderId="0" applyNumberFormat="0" applyBorder="0" applyAlignment="0" applyProtection="0"/>
    <xf numFmtId="0" fontId="27"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7" fillId="33" borderId="0" applyNumberFormat="0" applyBorder="0" applyAlignment="0" applyProtection="0"/>
    <xf numFmtId="0" fontId="27"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7" fillId="37" borderId="0" applyNumberFormat="0" applyBorder="0" applyAlignment="0" applyProtection="0"/>
    <xf numFmtId="0" fontId="27"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7" fillId="41" borderId="0" applyNumberFormat="0" applyBorder="0" applyAlignment="0" applyProtection="0"/>
    <xf numFmtId="0" fontId="27" fillId="42" borderId="0" applyNumberFormat="0" applyBorder="0" applyAlignment="0" applyProtection="0"/>
    <xf numFmtId="0" fontId="2" fillId="43" borderId="0" applyNumberFormat="0" applyBorder="0" applyAlignment="0" applyProtection="0"/>
    <xf numFmtId="0" fontId="2" fillId="44" borderId="0" applyNumberFormat="0" applyBorder="0" applyAlignment="0" applyProtection="0"/>
    <xf numFmtId="0" fontId="27" fillId="45" borderId="0" applyNumberFormat="0" applyBorder="0" applyAlignment="0" applyProtection="0"/>
    <xf numFmtId="0" fontId="28" fillId="0" borderId="0" applyNumberFormat="0" applyFill="0" applyBorder="0" applyAlignment="0" applyProtection="0"/>
    <xf numFmtId="49" fontId="20" fillId="0" borderId="0" applyFill="0" applyBorder="0" applyAlignment="0" applyProtection="0"/>
    <xf numFmtId="43" fontId="6" fillId="46" borderId="0" applyNumberFormat="0">
      <alignment vertical="top"/>
    </xf>
    <xf numFmtId="43" fontId="6" fillId="13" borderId="0" applyFont="0" applyFill="0" applyBorder="0" applyAlignment="0" applyProtection="0">
      <alignment vertical="top"/>
    </xf>
    <xf numFmtId="0" fontId="1" fillId="0" borderId="0"/>
  </cellStyleXfs>
  <cellXfs count="103">
    <xf numFmtId="0" fontId="0" fillId="0" borderId="0" xfId="0">
      <alignment vertical="top"/>
    </xf>
    <xf numFmtId="0" fontId="6" fillId="0" borderId="0" xfId="4">
      <alignment vertical="top"/>
    </xf>
    <xf numFmtId="0" fontId="9" fillId="0" borderId="0" xfId="4" applyFont="1">
      <alignment vertical="top"/>
    </xf>
    <xf numFmtId="0" fontId="10" fillId="0" borderId="0" xfId="4" applyFont="1">
      <alignment vertical="top"/>
    </xf>
    <xf numFmtId="0" fontId="6" fillId="0" borderId="2" xfId="4" applyBorder="1">
      <alignment vertical="top"/>
    </xf>
    <xf numFmtId="49" fontId="8" fillId="5" borderId="1" xfId="5">
      <alignment vertical="top"/>
    </xf>
    <xf numFmtId="49" fontId="7" fillId="21" borderId="1" xfId="6">
      <alignment vertical="top"/>
    </xf>
    <xf numFmtId="0" fontId="6" fillId="0" borderId="0" xfId="4" applyFill="1">
      <alignment vertical="top"/>
    </xf>
    <xf numFmtId="0" fontId="6" fillId="0" borderId="2" xfId="4" applyBorder="1" applyAlignment="1">
      <alignment horizontal="left" vertical="top" wrapText="1"/>
    </xf>
    <xf numFmtId="0" fontId="10" fillId="0" borderId="0" xfId="4" applyFont="1" applyFill="1">
      <alignment vertical="top"/>
    </xf>
    <xf numFmtId="0" fontId="6" fillId="7" borderId="0" xfId="4" applyFill="1">
      <alignment vertical="top"/>
    </xf>
    <xf numFmtId="2" fontId="6" fillId="12" borderId="0" xfId="4" applyNumberFormat="1" applyFill="1">
      <alignment vertical="top"/>
    </xf>
    <xf numFmtId="1" fontId="6" fillId="0" borderId="0" xfId="4" applyNumberFormat="1" applyFill="1">
      <alignment vertical="top"/>
    </xf>
    <xf numFmtId="0" fontId="8" fillId="5" borderId="1" xfId="5" applyNumberFormat="1">
      <alignment vertical="top"/>
    </xf>
    <xf numFmtId="0" fontId="13" fillId="0" borderId="0" xfId="4" applyFont="1">
      <alignment vertical="top"/>
    </xf>
    <xf numFmtId="0" fontId="6" fillId="16" borderId="0" xfId="4" applyFill="1">
      <alignment vertical="top"/>
    </xf>
    <xf numFmtId="0" fontId="6" fillId="0" borderId="0" xfId="4" applyFont="1">
      <alignment vertical="top"/>
    </xf>
    <xf numFmtId="49" fontId="6" fillId="21" borderId="2" xfId="6" applyFont="1" applyBorder="1">
      <alignment vertical="top"/>
    </xf>
    <xf numFmtId="0" fontId="6" fillId="0" borderId="2" xfId="4" applyFont="1" applyBorder="1">
      <alignment vertical="top"/>
    </xf>
    <xf numFmtId="49" fontId="10" fillId="0" borderId="0" xfId="14">
      <alignment vertical="top"/>
    </xf>
    <xf numFmtId="49" fontId="7" fillId="0" borderId="0" xfId="7">
      <alignment vertical="top"/>
    </xf>
    <xf numFmtId="49" fontId="9" fillId="0" borderId="0" xfId="15">
      <alignment vertical="top"/>
    </xf>
    <xf numFmtId="0" fontId="6" fillId="0" borderId="2" xfId="4" applyFont="1" applyBorder="1" applyAlignment="1">
      <alignment horizontal="left" vertical="top" wrapText="1"/>
    </xf>
    <xf numFmtId="43" fontId="6" fillId="14" borderId="0" xfId="8">
      <alignment vertical="top"/>
    </xf>
    <xf numFmtId="43" fontId="6" fillId="13" borderId="0" xfId="63" applyFill="1">
      <alignment vertical="top"/>
    </xf>
    <xf numFmtId="43" fontId="6" fillId="6" borderId="0" xfId="63" applyFill="1">
      <alignment vertical="top"/>
    </xf>
    <xf numFmtId="43" fontId="6" fillId="15" borderId="0" xfId="63" applyFill="1">
      <alignment vertical="top"/>
    </xf>
    <xf numFmtId="43" fontId="6" fillId="11" borderId="0" xfId="10">
      <alignment vertical="top"/>
    </xf>
    <xf numFmtId="43" fontId="6" fillId="8" borderId="0" xfId="12">
      <alignment vertical="top"/>
    </xf>
    <xf numFmtId="10" fontId="6" fillId="6" borderId="0" xfId="11" applyNumberFormat="1">
      <alignment vertical="top"/>
    </xf>
    <xf numFmtId="164" fontId="6" fillId="6" borderId="0" xfId="11" applyNumberFormat="1">
      <alignment vertical="top"/>
    </xf>
    <xf numFmtId="164" fontId="6" fillId="13" borderId="0" xfId="9" applyNumberFormat="1">
      <alignment vertical="top"/>
    </xf>
    <xf numFmtId="164" fontId="6" fillId="15" borderId="0" xfId="13" applyNumberFormat="1">
      <alignment vertical="top"/>
    </xf>
    <xf numFmtId="164" fontId="6" fillId="14" borderId="0" xfId="8" applyNumberFormat="1">
      <alignment vertical="top"/>
    </xf>
    <xf numFmtId="49" fontId="6" fillId="0" borderId="0" xfId="7" applyFont="1">
      <alignment vertical="top"/>
    </xf>
    <xf numFmtId="10" fontId="6" fillId="15" borderId="0" xfId="13" applyNumberFormat="1">
      <alignment vertical="top"/>
    </xf>
    <xf numFmtId="165" fontId="6" fillId="6" borderId="0" xfId="11" applyNumberFormat="1">
      <alignment vertical="top"/>
    </xf>
    <xf numFmtId="49" fontId="7" fillId="21" borderId="1" xfId="6">
      <alignment vertical="top"/>
    </xf>
    <xf numFmtId="164" fontId="6" fillId="13" borderId="0" xfId="9" applyNumberFormat="1">
      <alignment vertical="top"/>
    </xf>
    <xf numFmtId="0" fontId="0" fillId="0" borderId="0" xfId="0">
      <alignment vertical="top"/>
    </xf>
    <xf numFmtId="0" fontId="7" fillId="0" borderId="0" xfId="4" applyFont="1">
      <alignment vertical="top"/>
    </xf>
    <xf numFmtId="0" fontId="6" fillId="0" borderId="0" xfId="4">
      <alignment vertical="top"/>
    </xf>
    <xf numFmtId="164" fontId="6" fillId="15" borderId="0" xfId="13" applyNumberFormat="1">
      <alignment vertical="top"/>
    </xf>
    <xf numFmtId="164" fontId="6" fillId="14" borderId="0" xfId="8" applyNumberFormat="1">
      <alignment vertical="top"/>
    </xf>
    <xf numFmtId="49" fontId="7" fillId="21" borderId="1" xfId="6" applyFont="1">
      <alignment vertical="top"/>
    </xf>
    <xf numFmtId="0" fontId="6" fillId="0" borderId="2" xfId="4" applyBorder="1" applyAlignment="1">
      <alignment vertical="top" wrapText="1"/>
    </xf>
    <xf numFmtId="0" fontId="6" fillId="0" borderId="0" xfId="4" applyBorder="1" applyAlignment="1">
      <alignment vertical="top"/>
    </xf>
    <xf numFmtId="0" fontId="0" fillId="0" borderId="2" xfId="0" applyBorder="1" applyAlignment="1">
      <alignment vertical="top" wrapText="1"/>
    </xf>
    <xf numFmtId="0" fontId="6" fillId="10" borderId="0" xfId="4" applyFont="1" applyFill="1">
      <alignment vertical="top"/>
    </xf>
    <xf numFmtId="0" fontId="6" fillId="9" borderId="0" xfId="4" applyFont="1" applyFill="1">
      <alignment vertical="top"/>
    </xf>
    <xf numFmtId="0" fontId="6" fillId="13" borderId="0" xfId="4" applyFont="1" applyFill="1">
      <alignment vertical="top"/>
    </xf>
    <xf numFmtId="49" fontId="6" fillId="21" borderId="0" xfId="6" applyFont="1" applyBorder="1">
      <alignment vertical="top"/>
    </xf>
    <xf numFmtId="49" fontId="12" fillId="5" borderId="1" xfId="5" applyFont="1">
      <alignment vertical="top"/>
    </xf>
    <xf numFmtId="0" fontId="6" fillId="46" borderId="0" xfId="62" applyNumberFormat="1">
      <alignment vertical="top"/>
    </xf>
    <xf numFmtId="0" fontId="1" fillId="0" borderId="0" xfId="64" applyAlignment="1">
      <alignment vertical="top"/>
    </xf>
    <xf numFmtId="49" fontId="7" fillId="21" borderId="1" xfId="6" applyAlignment="1">
      <alignment vertical="top" wrapText="1"/>
    </xf>
    <xf numFmtId="43" fontId="6" fillId="13" borderId="0" xfId="9" applyNumberFormat="1">
      <alignment vertical="top"/>
    </xf>
    <xf numFmtId="43" fontId="6" fillId="15" borderId="0" xfId="13" applyNumberFormat="1">
      <alignment vertical="top"/>
    </xf>
    <xf numFmtId="164" fontId="6" fillId="46" borderId="0" xfId="62" applyNumberFormat="1">
      <alignment vertical="top"/>
    </xf>
    <xf numFmtId="49" fontId="20" fillId="0" borderId="2" xfId="61" applyBorder="1" applyAlignment="1">
      <alignment vertical="top"/>
    </xf>
    <xf numFmtId="49" fontId="7" fillId="0" borderId="0" xfId="4" applyNumberFormat="1" applyFont="1">
      <alignment vertical="top"/>
    </xf>
    <xf numFmtId="165" fontId="6" fillId="15" borderId="0" xfId="13" applyNumberFormat="1">
      <alignment vertical="top"/>
    </xf>
    <xf numFmtId="165" fontId="6" fillId="13" borderId="0" xfId="9" applyNumberFormat="1">
      <alignment vertical="top"/>
    </xf>
    <xf numFmtId="166" fontId="6" fillId="6" borderId="0" xfId="11" applyNumberFormat="1">
      <alignment vertical="top"/>
    </xf>
    <xf numFmtId="9" fontId="6" fillId="6" borderId="0" xfId="11" applyNumberFormat="1">
      <alignment vertical="top"/>
    </xf>
    <xf numFmtId="166" fontId="6" fillId="15" borderId="0" xfId="13" applyNumberFormat="1">
      <alignment vertical="top"/>
    </xf>
    <xf numFmtId="9" fontId="6" fillId="15" borderId="0" xfId="13" applyNumberFormat="1">
      <alignment vertical="top"/>
    </xf>
    <xf numFmtId="0" fontId="6" fillId="0" borderId="0" xfId="4" applyAlignment="1">
      <alignment horizontal="left" vertical="top" indent="1"/>
    </xf>
    <xf numFmtId="43" fontId="6" fillId="13" borderId="0" xfId="9">
      <alignment vertical="top"/>
    </xf>
    <xf numFmtId="49" fontId="8" fillId="5" borderId="1" xfId="5" applyAlignment="1">
      <alignment vertical="top" wrapText="1"/>
    </xf>
    <xf numFmtId="0" fontId="6" fillId="0" borderId="0" xfId="4" applyAlignment="1">
      <alignment vertical="top" wrapText="1"/>
    </xf>
    <xf numFmtId="49" fontId="12" fillId="5" borderId="1" xfId="5" applyFont="1" applyAlignment="1">
      <alignment vertical="top" wrapText="1"/>
    </xf>
    <xf numFmtId="49" fontId="6" fillId="21" borderId="2" xfId="6" applyFont="1" applyBorder="1" applyAlignment="1">
      <alignment vertical="top" wrapText="1"/>
    </xf>
    <xf numFmtId="164" fontId="6" fillId="6" borderId="0" xfId="63" applyNumberFormat="1" applyFill="1">
      <alignment vertical="top"/>
    </xf>
    <xf numFmtId="10" fontId="6" fillId="13" borderId="0" xfId="4" applyNumberFormat="1" applyFill="1">
      <alignment vertical="top"/>
    </xf>
    <xf numFmtId="164" fontId="6" fillId="7" borderId="0" xfId="12" applyNumberFormat="1" applyFill="1">
      <alignment vertical="top"/>
    </xf>
    <xf numFmtId="164" fontId="6" fillId="7" borderId="0" xfId="11" applyNumberFormat="1" applyFill="1">
      <alignment vertical="top"/>
    </xf>
    <xf numFmtId="164" fontId="6" fillId="13" borderId="0" xfId="13" applyNumberFormat="1" applyFill="1">
      <alignment vertical="top"/>
    </xf>
    <xf numFmtId="164" fontId="6" fillId="7" borderId="0" xfId="13" applyNumberFormat="1" applyFill="1">
      <alignment vertical="top"/>
    </xf>
    <xf numFmtId="164" fontId="6" fillId="0" borderId="0" xfId="13" applyNumberFormat="1" applyFill="1">
      <alignment vertical="top"/>
    </xf>
    <xf numFmtId="164" fontId="6" fillId="0" borderId="0" xfId="63" applyNumberFormat="1" applyFill="1">
      <alignment vertical="top"/>
    </xf>
    <xf numFmtId="164" fontId="6" fillId="0" borderId="0" xfId="4" applyNumberFormat="1">
      <alignment vertical="top"/>
    </xf>
    <xf numFmtId="164" fontId="6" fillId="15" borderId="0" xfId="12" applyNumberFormat="1" applyFill="1">
      <alignment vertical="top"/>
    </xf>
    <xf numFmtId="167" fontId="6" fillId="6" borderId="0" xfId="63" applyNumberFormat="1" applyFill="1">
      <alignment vertical="top"/>
    </xf>
    <xf numFmtId="165" fontId="6" fillId="6" borderId="0" xfId="63" applyNumberFormat="1" applyFill="1">
      <alignment vertical="top"/>
    </xf>
    <xf numFmtId="9" fontId="6" fillId="6" borderId="0" xfId="4" applyNumberFormat="1" applyFill="1">
      <alignment vertical="top"/>
    </xf>
    <xf numFmtId="9" fontId="6" fillId="0" borderId="0" xfId="4" applyNumberFormat="1" applyFill="1">
      <alignment vertical="top"/>
    </xf>
    <xf numFmtId="0" fontId="13" fillId="0" borderId="0" xfId="4" applyFont="1" applyFill="1">
      <alignment vertical="top"/>
    </xf>
    <xf numFmtId="165" fontId="6" fillId="13" borderId="0" xfId="4" applyNumberFormat="1" applyFill="1">
      <alignment vertical="top"/>
    </xf>
    <xf numFmtId="164" fontId="6" fillId="13" borderId="0" xfId="63" applyNumberFormat="1" applyFill="1">
      <alignment vertical="top"/>
    </xf>
    <xf numFmtId="164" fontId="6" fillId="0" borderId="0" xfId="62" applyNumberFormat="1" applyFill="1">
      <alignment vertical="top"/>
    </xf>
    <xf numFmtId="164" fontId="6" fillId="6" borderId="0" xfId="12" applyNumberFormat="1" applyFont="1" applyFill="1">
      <alignment vertical="top"/>
    </xf>
    <xf numFmtId="164" fontId="6" fillId="6" borderId="0" xfId="11" applyNumberFormat="1" applyFont="1">
      <alignment vertical="top"/>
    </xf>
    <xf numFmtId="9" fontId="6" fillId="6" borderId="0" xfId="11" applyNumberFormat="1" applyFont="1">
      <alignment vertical="top"/>
    </xf>
    <xf numFmtId="43" fontId="6" fillId="6" borderId="0" xfId="11">
      <alignment vertical="top"/>
    </xf>
    <xf numFmtId="43" fontId="6" fillId="13" borderId="0" xfId="63">
      <alignment vertical="top"/>
    </xf>
    <xf numFmtId="165" fontId="6" fillId="13" borderId="0" xfId="63" applyNumberFormat="1">
      <alignment vertical="top"/>
    </xf>
    <xf numFmtId="164" fontId="6" fillId="11" borderId="0" xfId="10" applyNumberFormat="1">
      <alignment vertical="top"/>
    </xf>
    <xf numFmtId="0" fontId="6" fillId="0" borderId="0" xfId="4" applyBorder="1">
      <alignment vertical="top"/>
    </xf>
    <xf numFmtId="0" fontId="6" fillId="0" borderId="0" xfId="4" applyFont="1" applyFill="1" applyBorder="1" applyAlignment="1">
      <alignment horizontal="left" vertical="top" wrapText="1"/>
    </xf>
    <xf numFmtId="0" fontId="0" fillId="0" borderId="2" xfId="0" applyBorder="1">
      <alignment vertical="top"/>
    </xf>
    <xf numFmtId="49" fontId="6" fillId="0" borderId="2" xfId="14" applyFont="1" applyBorder="1">
      <alignment vertical="top"/>
    </xf>
    <xf numFmtId="0" fontId="6" fillId="0" borderId="0" xfId="4" applyFont="1" applyFill="1" applyBorder="1" applyAlignment="1">
      <alignment horizontal="left" vertical="top" wrapText="1"/>
    </xf>
  </cellXfs>
  <cellStyles count="65">
    <cellStyle name="_kop1 Bladtitel" xfId="5"/>
    <cellStyle name="_kop2 Bloktitel" xfId="6"/>
    <cellStyle name="_kop3 Subkop" xfId="7"/>
    <cellStyle name="20% - Accent1" xfId="37" builtinId="30" hidden="1"/>
    <cellStyle name="20% - Accent2" xfId="41" builtinId="34" hidden="1"/>
    <cellStyle name="20% - Accent3" xfId="45" builtinId="38" hidden="1"/>
    <cellStyle name="20% - Accent4" xfId="49" builtinId="42" hidden="1"/>
    <cellStyle name="20% - Accent5" xfId="53" builtinId="46" hidden="1"/>
    <cellStyle name="20% - Accent6" xfId="57" builtinId="50" hidden="1"/>
    <cellStyle name="40% - Accent1" xfId="38" builtinId="31" hidden="1"/>
    <cellStyle name="40% - Accent2" xfId="42" builtinId="35" hidden="1"/>
    <cellStyle name="40% - Accent3" xfId="46" builtinId="39" hidden="1"/>
    <cellStyle name="40% - Accent4" xfId="50" builtinId="43" hidden="1"/>
    <cellStyle name="40% - Accent5" xfId="54" builtinId="47" hidden="1"/>
    <cellStyle name="40% - Accent6" xfId="58" builtinId="51" hidden="1"/>
    <cellStyle name="60% - Accent1" xfId="39" builtinId="32" hidden="1"/>
    <cellStyle name="60% - Accent2" xfId="43" builtinId="36" hidden="1"/>
    <cellStyle name="60% - Accent3" xfId="47" builtinId="40" hidden="1"/>
    <cellStyle name="60% - Accent4" xfId="51" builtinId="44" hidden="1"/>
    <cellStyle name="60% - Accent5" xfId="55" builtinId="48" hidden="1"/>
    <cellStyle name="60% - Accent6" xfId="59" builtinId="52" hidden="1"/>
    <cellStyle name="Accent1" xfId="36" builtinId="29" hidden="1"/>
    <cellStyle name="Accent2" xfId="40" builtinId="33" hidden="1"/>
    <cellStyle name="Accent3" xfId="44" builtinId="37" hidden="1"/>
    <cellStyle name="Accent4" xfId="48" builtinId="41" hidden="1"/>
    <cellStyle name="Accent5" xfId="52" builtinId="45" hidden="1"/>
    <cellStyle name="Accent6" xfId="56" builtinId="49" hidden="1"/>
    <cellStyle name="Berekening" xfId="18" builtinId="22" hidden="1"/>
    <cellStyle name="Cel (tussen)resultaat" xfId="8"/>
    <cellStyle name="Cel Berekening" xfId="9"/>
    <cellStyle name="Cel Bijzonderheid" xfId="10"/>
    <cellStyle name="Cel Input" xfId="11"/>
    <cellStyle name="Cel n.v.t. (leeg)" xfId="62"/>
    <cellStyle name="Cel PM extern" xfId="12"/>
    <cellStyle name="Cel Verwijzing" xfId="13"/>
    <cellStyle name="Controlecel" xfId="20" builtinId="23" hidden="1"/>
    <cellStyle name="Gekoppelde cel" xfId="19" builtinId="24" hidden="1"/>
    <cellStyle name="Gevolgde hyperlink" xfId="60" builtinId="9" hidden="1"/>
    <cellStyle name="Goed" xfId="1" builtinId="26" hidden="1"/>
    <cellStyle name="Hyperlink" xfId="22" builtinId="8" hidden="1"/>
    <cellStyle name="Hyperlink" xfId="61" builtinId="8" customBuiltin="1"/>
    <cellStyle name="Invoer" xfId="16" builtinId="20" hidden="1"/>
    <cellStyle name="Komma" xfId="23" builtinId="3" hidden="1"/>
    <cellStyle name="Komma" xfId="63" builtinId="3"/>
    <cellStyle name="Komma [0]" xfId="24" builtinId="6" hidden="1"/>
    <cellStyle name="Kop 1" xfId="29" builtinId="16" hidden="1"/>
    <cellStyle name="Kop 2" xfId="30" builtinId="17" hidden="1"/>
    <cellStyle name="Kop 3" xfId="31" builtinId="18" hidden="1"/>
    <cellStyle name="Kop 4" xfId="32" builtinId="19" hidden="1"/>
    <cellStyle name="Neutraal" xfId="3" builtinId="28" hidden="1"/>
    <cellStyle name="Notitie" xfId="21" builtinId="10" hidden="1"/>
    <cellStyle name="Ongeldig" xfId="2" builtinId="27" hidden="1"/>
    <cellStyle name="Opm. INTERN" xfId="14"/>
    <cellStyle name="Procent" xfId="27" builtinId="5" hidden="1"/>
    <cellStyle name="Standaard" xfId="0" builtinId="0" customBuiltin="1"/>
    <cellStyle name="Standaard 2" xfId="64"/>
    <cellStyle name="Standaard ACM-DE" xfId="4"/>
    <cellStyle name="Titel" xfId="28" builtinId="15" hidden="1"/>
    <cellStyle name="Toelichting" xfId="15"/>
    <cellStyle name="Totaal" xfId="35" builtinId="25" hidden="1"/>
    <cellStyle name="Uitvoer" xfId="17" builtinId="21" hidden="1"/>
    <cellStyle name="Valuta" xfId="25" builtinId="4" hidden="1"/>
    <cellStyle name="Valuta [0]" xfId="26" builtinId="7" hidden="1"/>
    <cellStyle name="Verklarende tekst" xfId="34" builtinId="53" hidden="1"/>
    <cellStyle name="Waarschuwingstekst" xfId="33" builtinId="11" hidden="1"/>
  </cellStyles>
  <dxfs count="0"/>
  <tableStyles count="0" defaultTableStyle="TableStyleMedium2" defaultPivotStyle="PivotStyleLight16"/>
  <colors>
    <mruColors>
      <color rgb="FFCCC8D9"/>
      <color rgb="FFFFCCFF"/>
      <color rgb="FFCCFFFF"/>
      <color rgb="FFFFFFCC"/>
      <color rgb="FFCCFFCC"/>
      <color rgb="FFFFCC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66675</xdr:colOff>
      <xdr:row>3</xdr:row>
      <xdr:rowOff>133351</xdr:rowOff>
    </xdr:from>
    <xdr:to>
      <xdr:col>1</xdr:col>
      <xdr:colOff>1905000</xdr:colOff>
      <xdr:row>10</xdr:row>
      <xdr:rowOff>94480</xdr:rowOff>
    </xdr:to>
    <xdr:pic>
      <xdr:nvPicPr>
        <xdr:cNvPr id="2" name="Afbeelding 1"/>
        <xdr:cNvPicPr>
          <a:picLocks noChangeAspect="1"/>
        </xdr:cNvPicPr>
      </xdr:nvPicPr>
      <xdr:blipFill>
        <a:blip xmlns:r="http://schemas.openxmlformats.org/officeDocument/2006/relationships" r:embed="rId1"/>
        <a:stretch>
          <a:fillRect/>
        </a:stretch>
      </xdr:blipFill>
      <xdr:spPr>
        <a:xfrm>
          <a:off x="257175" y="685801"/>
          <a:ext cx="1838325" cy="1094604"/>
        </a:xfrm>
        <a:prstGeom prst="rect">
          <a:avLst/>
        </a:prstGeom>
      </xdr:spPr>
    </xdr:pic>
    <xdr:clientData/>
  </xdr:twoCellAnchor>
  <xdr:twoCellAnchor editAs="oneCell">
    <xdr:from>
      <xdr:col>1</xdr:col>
      <xdr:colOff>66675</xdr:colOff>
      <xdr:row>3</xdr:row>
      <xdr:rowOff>133351</xdr:rowOff>
    </xdr:from>
    <xdr:to>
      <xdr:col>1</xdr:col>
      <xdr:colOff>1905000</xdr:colOff>
      <xdr:row>10</xdr:row>
      <xdr:rowOff>94480</xdr:rowOff>
    </xdr:to>
    <xdr:pic>
      <xdr:nvPicPr>
        <xdr:cNvPr id="3" name="Afbeelding 2"/>
        <xdr:cNvPicPr>
          <a:picLocks noChangeAspect="1"/>
        </xdr:cNvPicPr>
      </xdr:nvPicPr>
      <xdr:blipFill>
        <a:blip xmlns:r="http://schemas.openxmlformats.org/officeDocument/2006/relationships" r:embed="rId1"/>
        <a:stretch>
          <a:fillRect/>
        </a:stretch>
      </xdr:blipFill>
      <xdr:spPr>
        <a:xfrm>
          <a:off x="257175" y="685801"/>
          <a:ext cx="1838325" cy="1094604"/>
        </a:xfrm>
        <a:prstGeom prst="rect">
          <a:avLst/>
        </a:prstGeom>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www.acm.nl/nl/publicaties/beschikking-variabel-tarief-elektriciteit-1-juli-2020-st-eustatius-caribisch-nederland" TargetMode="External"/><Relationship Id="rId2" Type="http://schemas.openxmlformats.org/officeDocument/2006/relationships/hyperlink" Target="https://www.acm.nl/nl/publicaties/beschikking-variabel-tarief-elektriciteit-1-juli-2019-st-eustatius-caribisch-nederland" TargetMode="External"/><Relationship Id="rId1" Type="http://schemas.openxmlformats.org/officeDocument/2006/relationships/hyperlink" Target="https://www.acm.nl/nl/publicaties/beschikking-productieprijzen-elektriciteit-2019-sint-eustatius-caribisch-nederland" TargetMode="External"/><Relationship Id="rId5" Type="http://schemas.openxmlformats.org/officeDocument/2006/relationships/printerSettings" Target="../printerSettings/printerSettings3.bin"/><Relationship Id="rId4" Type="http://schemas.openxmlformats.org/officeDocument/2006/relationships/hyperlink" Target="https://www.acm.nl/nl/publicaties/beschikking-distributietarieven-elektriciteit-2020-sint-eustatius-stuco-caribisch-nederland"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tabColor rgb="FFCCC8D9"/>
  </sheetPr>
  <dimension ref="B2:D36"/>
  <sheetViews>
    <sheetView showGridLines="0" tabSelected="1" zoomScale="85" zoomScaleNormal="85" workbookViewId="0">
      <pane ySplit="3" topLeftCell="A4" activePane="bottomLeft" state="frozen"/>
      <selection activeCell="A4" sqref="A4"/>
      <selection pane="bottomLeft" activeCell="A4" sqref="A4"/>
    </sheetView>
  </sheetViews>
  <sheetFormatPr defaultRowHeight="12.75" x14ac:dyDescent="0.2"/>
  <cols>
    <col min="1" max="1" width="2.85546875" style="41" customWidth="1"/>
    <col min="2" max="2" width="39.85546875" style="41" customWidth="1"/>
    <col min="3" max="3" width="91.85546875" style="41" customWidth="1"/>
    <col min="4" max="16384" width="9.140625" style="41"/>
  </cols>
  <sheetData>
    <row r="2" spans="2:3" s="5" customFormat="1" ht="18" x14ac:dyDescent="0.2">
      <c r="B2" s="5" t="s">
        <v>224</v>
      </c>
    </row>
    <row r="6" spans="2:3" x14ac:dyDescent="0.2">
      <c r="B6" s="16"/>
    </row>
    <row r="13" spans="2:3" s="37" customFormat="1" x14ac:dyDescent="0.2">
      <c r="B13" s="37" t="s">
        <v>21</v>
      </c>
    </row>
    <row r="14" spans="2:3" s="7" customFormat="1" x14ac:dyDescent="0.2"/>
    <row r="15" spans="2:3" x14ac:dyDescent="0.2">
      <c r="B15" s="22" t="s">
        <v>22</v>
      </c>
      <c r="C15" s="101" t="s">
        <v>284</v>
      </c>
    </row>
    <row r="16" spans="2:3" x14ac:dyDescent="0.2">
      <c r="B16" s="22" t="s">
        <v>23</v>
      </c>
      <c r="C16" s="8" t="s">
        <v>288</v>
      </c>
    </row>
    <row r="17" spans="2:4" ht="51" x14ac:dyDescent="0.2">
      <c r="B17" s="22" t="s">
        <v>280</v>
      </c>
      <c r="C17" s="8" t="s">
        <v>282</v>
      </c>
    </row>
    <row r="18" spans="2:4" ht="51" x14ac:dyDescent="0.2">
      <c r="B18" s="22" t="s">
        <v>281</v>
      </c>
      <c r="C18" s="8" t="s">
        <v>283</v>
      </c>
    </row>
    <row r="19" spans="2:4" x14ac:dyDescent="0.2">
      <c r="B19" s="22" t="s">
        <v>24</v>
      </c>
      <c r="C19" s="8" t="s">
        <v>291</v>
      </c>
    </row>
    <row r="20" spans="2:4" x14ac:dyDescent="0.2">
      <c r="B20" s="22" t="s">
        <v>25</v>
      </c>
      <c r="C20" s="8"/>
    </row>
    <row r="23" spans="2:4" s="37" customFormat="1" x14ac:dyDescent="0.2">
      <c r="B23" s="37" t="s">
        <v>26</v>
      </c>
    </row>
    <row r="25" spans="2:4" x14ac:dyDescent="0.2">
      <c r="B25" s="22" t="s">
        <v>27</v>
      </c>
      <c r="C25" s="4" t="s">
        <v>285</v>
      </c>
    </row>
    <row r="26" spans="2:4" x14ac:dyDescent="0.2">
      <c r="B26" s="22" t="s">
        <v>29</v>
      </c>
      <c r="C26" s="8" t="s">
        <v>285</v>
      </c>
    </row>
    <row r="27" spans="2:4" ht="25.5" x14ac:dyDescent="0.2">
      <c r="B27" s="22" t="s">
        <v>30</v>
      </c>
      <c r="C27" s="8" t="s">
        <v>285</v>
      </c>
    </row>
    <row r="28" spans="2:4" x14ac:dyDescent="0.2">
      <c r="B28" s="22" t="s">
        <v>31</v>
      </c>
      <c r="C28" s="8" t="s">
        <v>28</v>
      </c>
    </row>
    <row r="29" spans="2:4" x14ac:dyDescent="0.2">
      <c r="B29" s="22" t="s">
        <v>25</v>
      </c>
      <c r="C29" s="8"/>
    </row>
    <row r="31" spans="2:4" ht="12.75" customHeight="1" x14ac:dyDescent="0.2">
      <c r="B31" s="102" t="s">
        <v>262</v>
      </c>
      <c r="C31" s="102"/>
      <c r="D31" s="3"/>
    </row>
    <row r="32" spans="2:4" ht="12.75" customHeight="1" x14ac:dyDescent="0.2">
      <c r="B32" s="99"/>
      <c r="C32" s="99"/>
      <c r="D32" s="3"/>
    </row>
    <row r="33" spans="2:3" ht="12.75" customHeight="1" x14ac:dyDescent="0.2"/>
    <row r="34" spans="2:3" s="37" customFormat="1" x14ac:dyDescent="0.2">
      <c r="B34" s="37" t="s">
        <v>263</v>
      </c>
    </row>
    <row r="36" spans="2:3" x14ac:dyDescent="0.2">
      <c r="B36" s="16" t="s">
        <v>264</v>
      </c>
      <c r="C36" s="98"/>
    </row>
  </sheetData>
  <mergeCells count="1">
    <mergeCell ref="B31:C31"/>
  </mergeCells>
  <pageMargins left="0.75" right="0.75" top="1" bottom="1" header="0.5" footer="0.5"/>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1">
    <tabColor theme="0" tint="-4.9989318521683403E-2"/>
  </sheetPr>
  <dimension ref="A1"/>
  <sheetViews>
    <sheetView showGridLines="0" zoomScale="85" zoomScaleNormal="85" workbookViewId="0"/>
  </sheetViews>
  <sheetFormatPr defaultRowHeight="12.75" x14ac:dyDescent="0.2"/>
  <cols>
    <col min="1" max="16384" width="9.140625" style="15"/>
  </cols>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sheetPr>
  <dimension ref="A2:M47"/>
  <sheetViews>
    <sheetView showGridLines="0" zoomScale="85" zoomScaleNormal="85" workbookViewId="0">
      <pane xSplit="3" ySplit="10" topLeftCell="D11" activePane="bottomRight" state="frozen"/>
      <selection pane="topRight"/>
      <selection pane="bottomLeft"/>
      <selection pane="bottomRight" activeCell="D11" sqref="D11"/>
    </sheetView>
  </sheetViews>
  <sheetFormatPr defaultRowHeight="12.75" x14ac:dyDescent="0.2"/>
  <cols>
    <col min="1" max="1" width="4.5703125" style="41" customWidth="1"/>
    <col min="2" max="2" width="57.28515625" style="41" customWidth="1"/>
    <col min="3" max="3" width="13.7109375" style="41" customWidth="1"/>
    <col min="4" max="4" width="2.7109375" style="41" customWidth="1"/>
    <col min="5" max="5" width="13.7109375" style="41" customWidth="1"/>
    <col min="6" max="6" width="2.7109375" style="41" customWidth="1"/>
    <col min="7" max="7" width="13.7109375" style="41" customWidth="1"/>
    <col min="8" max="11" width="13.7109375" style="39" customWidth="1"/>
    <col min="12" max="12" width="2.7109375" style="41" customWidth="1"/>
    <col min="13" max="13" width="30.7109375" style="41" customWidth="1"/>
    <col min="14" max="14" width="2.7109375" style="41" customWidth="1"/>
    <col min="15" max="24" width="12.5703125" style="41" customWidth="1"/>
    <col min="25" max="27" width="2.7109375" style="41" customWidth="1"/>
    <col min="28" max="42" width="13.7109375" style="41" customWidth="1"/>
    <col min="43" max="16384" width="9.140625" style="41"/>
  </cols>
  <sheetData>
    <row r="2" spans="2:13" s="13" customFormat="1" ht="18" x14ac:dyDescent="0.2">
      <c r="B2" s="13" t="s">
        <v>175</v>
      </c>
    </row>
    <row r="4" spans="2:13" x14ac:dyDescent="0.2">
      <c r="B4" s="20" t="s">
        <v>13</v>
      </c>
    </row>
    <row r="5" spans="2:13" x14ac:dyDescent="0.2">
      <c r="B5" s="16" t="s">
        <v>89</v>
      </c>
      <c r="G5" s="14"/>
    </row>
    <row r="7" spans="2:13" x14ac:dyDescent="0.2">
      <c r="B7" s="21" t="s">
        <v>33</v>
      </c>
      <c r="G7" s="14"/>
      <c r="I7" s="41"/>
      <c r="J7" s="41"/>
      <c r="K7" s="41"/>
    </row>
    <row r="8" spans="2:13" x14ac:dyDescent="0.2">
      <c r="B8" s="21" t="s">
        <v>111</v>
      </c>
      <c r="G8" s="14"/>
      <c r="I8" s="41"/>
      <c r="J8" s="41"/>
      <c r="K8" s="41"/>
    </row>
    <row r="10" spans="2:13" s="37" customFormat="1" ht="38.25" x14ac:dyDescent="0.2">
      <c r="B10" s="37" t="s">
        <v>6</v>
      </c>
      <c r="C10" s="37" t="s">
        <v>10</v>
      </c>
      <c r="E10" s="37" t="s">
        <v>7</v>
      </c>
      <c r="G10" s="55" t="s">
        <v>97</v>
      </c>
      <c r="H10" s="55" t="s">
        <v>98</v>
      </c>
      <c r="I10" s="55" t="s">
        <v>99</v>
      </c>
      <c r="J10" s="55" t="s">
        <v>100</v>
      </c>
      <c r="K10" s="55" t="s">
        <v>101</v>
      </c>
      <c r="M10" s="37" t="s">
        <v>9</v>
      </c>
    </row>
    <row r="12" spans="2:13" s="37" customFormat="1" x14ac:dyDescent="0.2">
      <c r="B12" s="37" t="s">
        <v>75</v>
      </c>
    </row>
    <row r="13" spans="2:13" x14ac:dyDescent="0.2">
      <c r="H13" s="41"/>
      <c r="I13" s="41"/>
      <c r="J13" s="41"/>
      <c r="K13" s="41"/>
    </row>
    <row r="14" spans="2:13" x14ac:dyDescent="0.2">
      <c r="B14" s="41" t="s">
        <v>133</v>
      </c>
      <c r="C14" s="41" t="s">
        <v>4</v>
      </c>
      <c r="E14" s="35">
        <f>Parameters!E22</f>
        <v>6.5799999999999997E-2</v>
      </c>
      <c r="H14" s="41"/>
      <c r="I14" s="41"/>
      <c r="J14" s="41"/>
      <c r="K14" s="41"/>
    </row>
    <row r="15" spans="2:13" x14ac:dyDescent="0.2">
      <c r="H15" s="41"/>
      <c r="I15" s="41"/>
      <c r="J15" s="41"/>
      <c r="K15" s="41"/>
    </row>
    <row r="16" spans="2:13" x14ac:dyDescent="0.2">
      <c r="B16" s="20" t="s">
        <v>15</v>
      </c>
      <c r="H16" s="41"/>
      <c r="I16" s="41"/>
      <c r="J16" s="41"/>
      <c r="K16" s="41"/>
    </row>
    <row r="17" spans="1:13" x14ac:dyDescent="0.2">
      <c r="B17" s="41" t="s">
        <v>230</v>
      </c>
      <c r="C17" s="41" t="s">
        <v>126</v>
      </c>
      <c r="G17" s="42">
        <f>'Estimation for 2019'!G13</f>
        <v>739323.10015756241</v>
      </c>
      <c r="H17" s="42">
        <f>'Estimation for 2019'!H13</f>
        <v>260621.08376330388</v>
      </c>
      <c r="I17" s="42">
        <f>'Estimation for 2019'!I13</f>
        <v>76421.804058798647</v>
      </c>
      <c r="J17" s="42">
        <f>'Estimation for 2019'!J13</f>
        <v>64814.079038659009</v>
      </c>
      <c r="K17" s="42">
        <f>'Estimation for 2019'!K13</f>
        <v>1322.7363069114083</v>
      </c>
    </row>
    <row r="18" spans="1:13" x14ac:dyDescent="0.2">
      <c r="B18" s="41" t="s">
        <v>144</v>
      </c>
      <c r="C18" s="41" t="s">
        <v>126</v>
      </c>
      <c r="G18" s="42">
        <f>'Estimation for 2019'!G16</f>
        <v>1450492.4749971686</v>
      </c>
      <c r="H18" s="42">
        <f>'Estimation for 2019'!H16</f>
        <v>1104635.6579862155</v>
      </c>
      <c r="I18" s="42">
        <f>'Estimation for 2019'!I16</f>
        <v>375857.58409025898</v>
      </c>
      <c r="J18" s="42">
        <f>'Estimation for 2019'!J16</f>
        <v>604067.65291372337</v>
      </c>
      <c r="K18" s="42">
        <f>'Estimation for 2019'!K16</f>
        <v>12327.911283953539</v>
      </c>
    </row>
    <row r="19" spans="1:13" x14ac:dyDescent="0.2">
      <c r="B19" s="41" t="s">
        <v>110</v>
      </c>
      <c r="C19" s="41" t="s">
        <v>126</v>
      </c>
      <c r="G19" s="42">
        <f>'Estimation for 2019'!G17</f>
        <v>2600.3475137250634</v>
      </c>
      <c r="H19" s="42">
        <f>'Estimation for 2019'!H17</f>
        <v>215525.5205693717</v>
      </c>
      <c r="I19" s="42">
        <f>'Estimation for 2019'!I17</f>
        <v>266.58862293230663</v>
      </c>
      <c r="J19" s="42">
        <f>'Estimation for 2019'!J17</f>
        <v>35087.986719880646</v>
      </c>
      <c r="K19" s="42">
        <f>'Estimation for 2019'!K17</f>
        <v>716.08136163021732</v>
      </c>
      <c r="M19" s="41" t="s">
        <v>127</v>
      </c>
    </row>
    <row r="20" spans="1:13" x14ac:dyDescent="0.2">
      <c r="B20" s="41" t="s">
        <v>102</v>
      </c>
      <c r="C20" s="41" t="s">
        <v>126</v>
      </c>
      <c r="G20" s="42">
        <f>'Estimation for 2019'!G18</f>
        <v>0</v>
      </c>
      <c r="H20" s="42">
        <f>'Estimation for 2019'!H18</f>
        <v>48249.659038115053</v>
      </c>
      <c r="I20" s="42">
        <f>'Estimation for 2019'!I18</f>
        <v>0</v>
      </c>
      <c r="J20" s="42">
        <f>'Estimation for 2019'!J18</f>
        <v>12218.725016449018</v>
      </c>
      <c r="K20" s="42">
        <f>'Estimation for 2019'!K18</f>
        <v>249.3617350295718</v>
      </c>
    </row>
    <row r="21" spans="1:13" x14ac:dyDescent="0.2">
      <c r="B21" s="41" t="s">
        <v>176</v>
      </c>
      <c r="C21" s="41" t="s">
        <v>126</v>
      </c>
      <c r="G21" s="77">
        <f>G18+G20</f>
        <v>1450492.4749971686</v>
      </c>
      <c r="H21" s="77">
        <f t="shared" ref="H21:K21" si="0">H18+H20</f>
        <v>1152885.3170243306</v>
      </c>
      <c r="I21" s="77">
        <f t="shared" si="0"/>
        <v>375857.58409025898</v>
      </c>
      <c r="J21" s="77">
        <f t="shared" si="0"/>
        <v>616286.37793017237</v>
      </c>
      <c r="K21" s="77">
        <f t="shared" si="0"/>
        <v>12577.273018983111</v>
      </c>
    </row>
    <row r="22" spans="1:13" x14ac:dyDescent="0.2">
      <c r="H22" s="41"/>
      <c r="I22" s="41"/>
      <c r="J22" s="41"/>
      <c r="K22" s="41"/>
    </row>
    <row r="23" spans="1:13" x14ac:dyDescent="0.2">
      <c r="B23" s="41" t="s">
        <v>177</v>
      </c>
      <c r="C23" s="41" t="s">
        <v>4</v>
      </c>
      <c r="G23" s="66">
        <f>Parameters!G30</f>
        <v>0.19410125059831115</v>
      </c>
      <c r="H23" s="66">
        <f>Parameters!H30</f>
        <v>0.27580884597893079</v>
      </c>
      <c r="I23" s="66">
        <f>Parameters!I30</f>
        <v>0.12889013723645187</v>
      </c>
      <c r="J23" s="66">
        <f>Parameters!J30</f>
        <v>0.30232576550308171</v>
      </c>
      <c r="K23" s="66">
        <f>Parameters!K30</f>
        <v>0.30232576550308171</v>
      </c>
    </row>
    <row r="24" spans="1:13" x14ac:dyDescent="0.2">
      <c r="B24" s="41" t="s">
        <v>135</v>
      </c>
      <c r="C24" s="41" t="s">
        <v>4</v>
      </c>
      <c r="G24" s="66">
        <f>Parameters!G31</f>
        <v>0</v>
      </c>
      <c r="H24" s="66">
        <f>Parameters!H31</f>
        <v>0.5</v>
      </c>
      <c r="I24" s="66">
        <f>Parameters!I31</f>
        <v>0</v>
      </c>
      <c r="J24" s="66">
        <f>Parameters!J31</f>
        <v>0.5</v>
      </c>
      <c r="K24" s="66">
        <f>Parameters!K31</f>
        <v>0.5</v>
      </c>
    </row>
    <row r="25" spans="1:13" x14ac:dyDescent="0.2">
      <c r="H25" s="41"/>
      <c r="I25" s="41"/>
      <c r="J25" s="41"/>
      <c r="K25" s="41"/>
    </row>
    <row r="26" spans="1:13" x14ac:dyDescent="0.2">
      <c r="B26" s="40" t="s">
        <v>69</v>
      </c>
      <c r="H26" s="41"/>
      <c r="I26" s="41"/>
      <c r="J26" s="41"/>
      <c r="K26" s="41"/>
    </row>
    <row r="27" spans="1:13" s="21" customFormat="1" x14ac:dyDescent="0.2">
      <c r="A27" s="41"/>
      <c r="B27" s="21" t="s">
        <v>70</v>
      </c>
      <c r="C27" s="21" t="s">
        <v>71</v>
      </c>
      <c r="G27" s="21" t="s">
        <v>11</v>
      </c>
      <c r="H27" s="21" t="s">
        <v>72</v>
      </c>
      <c r="I27" s="21" t="s">
        <v>95</v>
      </c>
      <c r="J27" s="21" t="s">
        <v>94</v>
      </c>
      <c r="K27" s="21" t="s">
        <v>95</v>
      </c>
    </row>
    <row r="28" spans="1:13" x14ac:dyDescent="0.2">
      <c r="B28" s="41" t="s">
        <v>146</v>
      </c>
      <c r="C28" s="41" t="s">
        <v>71</v>
      </c>
      <c r="G28" s="42">
        <f>'Estimation for 2019'!G24</f>
        <v>14144390.099999996</v>
      </c>
      <c r="H28" s="42">
        <f>'Estimation for 2019'!H24</f>
        <v>15608.599999999999</v>
      </c>
      <c r="I28" s="42">
        <f>'Estimation for 2019'!I24</f>
        <v>88686.474000000002</v>
      </c>
      <c r="J28" s="42">
        <f>'Estimation for 2019'!J24</f>
        <v>773</v>
      </c>
      <c r="K28" s="42">
        <f>'Estimation for 2019'!K24</f>
        <v>1773.72948</v>
      </c>
    </row>
    <row r="29" spans="1:13" x14ac:dyDescent="0.2">
      <c r="B29" s="39"/>
      <c r="C29" s="39"/>
      <c r="D29" s="39"/>
      <c r="E29" s="39"/>
      <c r="F29" s="39"/>
      <c r="H29" s="41"/>
      <c r="I29" s="41"/>
      <c r="J29" s="41"/>
      <c r="K29" s="41"/>
    </row>
    <row r="30" spans="1:13" s="37" customFormat="1" x14ac:dyDescent="0.2">
      <c r="B30" s="37" t="s">
        <v>82</v>
      </c>
    </row>
    <row r="32" spans="1:13" x14ac:dyDescent="0.2">
      <c r="B32" s="40" t="s">
        <v>178</v>
      </c>
    </row>
    <row r="33" spans="2:11" x14ac:dyDescent="0.2">
      <c r="B33" s="41" t="s">
        <v>179</v>
      </c>
      <c r="C33" s="41" t="s">
        <v>126</v>
      </c>
      <c r="G33" s="38">
        <f>G21*(1-G23)-G19</f>
        <v>1166349.7241030536</v>
      </c>
      <c r="H33" s="38">
        <f>H21*(1-H23)-H19</f>
        <v>619383.82762042456</v>
      </c>
      <c r="I33" s="38">
        <f>I21*(1-I23)-I19</f>
        <v>327146.65987257194</v>
      </c>
      <c r="J33" s="38">
        <f>J21*(1-J23)-J19</f>
        <v>394879.14023343078</v>
      </c>
      <c r="K33" s="38">
        <f>K21*(1-K23)-K19</f>
        <v>8058.7579639475689</v>
      </c>
    </row>
    <row r="34" spans="2:11" x14ac:dyDescent="0.2">
      <c r="B34" s="41" t="s">
        <v>180</v>
      </c>
      <c r="C34" s="41" t="s">
        <v>126</v>
      </c>
      <c r="G34" s="38">
        <f>G21*G23</f>
        <v>281542.40338039002</v>
      </c>
      <c r="H34" s="38">
        <f>H21*H23</f>
        <v>317975.9688345344</v>
      </c>
      <c r="I34" s="38">
        <f>I21*I23</f>
        <v>48444.335594754732</v>
      </c>
      <c r="J34" s="38">
        <f>J21*J23</f>
        <v>186319.25097686087</v>
      </c>
      <c r="K34" s="38">
        <f>K21*K23</f>
        <v>3802.4336934053244</v>
      </c>
    </row>
    <row r="35" spans="2:11" x14ac:dyDescent="0.2">
      <c r="B35" s="41" t="s">
        <v>181</v>
      </c>
      <c r="C35" s="41" t="s">
        <v>190</v>
      </c>
      <c r="G35" s="62">
        <f>G34/G28</f>
        <v>1.9904881114696498E-2</v>
      </c>
      <c r="H35" s="68">
        <f>H34/H28</f>
        <v>20.371844293180327</v>
      </c>
      <c r="I35" s="62">
        <f>I34/I28</f>
        <v>0.54624266147681921</v>
      </c>
      <c r="J35" s="68">
        <f>J34/J28</f>
        <v>241.03395986657293</v>
      </c>
      <c r="K35" s="68">
        <f>K34/K28</f>
        <v>2.1437506318073511</v>
      </c>
    </row>
    <row r="37" spans="2:11" x14ac:dyDescent="0.2">
      <c r="B37" s="40" t="s">
        <v>182</v>
      </c>
    </row>
    <row r="38" spans="2:11" x14ac:dyDescent="0.2">
      <c r="B38" s="41" t="s">
        <v>184</v>
      </c>
      <c r="C38" s="41" t="s">
        <v>126</v>
      </c>
      <c r="G38" s="38">
        <f>G17*(1-G24)</f>
        <v>739323.10015756241</v>
      </c>
      <c r="H38" s="38">
        <f>H17*(1-H24)</f>
        <v>130310.54188165194</v>
      </c>
      <c r="I38" s="38">
        <f>I17*(1-I24)</f>
        <v>76421.804058798647</v>
      </c>
      <c r="J38" s="38">
        <f>J17*(1-J24)</f>
        <v>32407.039519329504</v>
      </c>
      <c r="K38" s="38">
        <f>K17*(1-K24)</f>
        <v>661.36815345570415</v>
      </c>
    </row>
    <row r="39" spans="2:11" x14ac:dyDescent="0.2">
      <c r="B39" s="41" t="s">
        <v>185</v>
      </c>
      <c r="C39" s="41" t="s">
        <v>126</v>
      </c>
      <c r="G39" s="38">
        <f>G17*G24</f>
        <v>0</v>
      </c>
      <c r="H39" s="38">
        <f t="shared" ref="H39:K39" si="1">H17*H24</f>
        <v>130310.54188165194</v>
      </c>
      <c r="I39" s="38">
        <f t="shared" si="1"/>
        <v>0</v>
      </c>
      <c r="J39" s="38">
        <f t="shared" si="1"/>
        <v>32407.039519329504</v>
      </c>
      <c r="K39" s="38">
        <f t="shared" si="1"/>
        <v>661.36815345570415</v>
      </c>
    </row>
    <row r="40" spans="2:11" x14ac:dyDescent="0.2">
      <c r="B40" s="41" t="s">
        <v>186</v>
      </c>
      <c r="C40" s="41" t="s">
        <v>190</v>
      </c>
      <c r="G40" s="56">
        <f>G39/G28</f>
        <v>0</v>
      </c>
      <c r="H40" s="56">
        <f>H39/H28</f>
        <v>8.3486374102515253</v>
      </c>
      <c r="I40" s="56">
        <f>I39/I28</f>
        <v>0</v>
      </c>
      <c r="J40" s="56">
        <f>J39/J28</f>
        <v>41.923725122030405</v>
      </c>
      <c r="K40" s="56">
        <f>K39/K28</f>
        <v>0.37286867073760549</v>
      </c>
    </row>
    <row r="42" spans="2:11" x14ac:dyDescent="0.2">
      <c r="B42" s="40" t="s">
        <v>187</v>
      </c>
    </row>
    <row r="43" spans="2:11" x14ac:dyDescent="0.2">
      <c r="B43" s="41" t="s">
        <v>188</v>
      </c>
      <c r="C43" s="41" t="s">
        <v>126</v>
      </c>
      <c r="G43" s="38">
        <f>G33+G38</f>
        <v>1905672.824260616</v>
      </c>
      <c r="H43" s="38">
        <f>H33+H38</f>
        <v>749694.36950207653</v>
      </c>
      <c r="I43" s="38">
        <f>I33+I38</f>
        <v>403568.46393137058</v>
      </c>
      <c r="J43" s="38">
        <f>J33+J38</f>
        <v>427286.17975276028</v>
      </c>
      <c r="K43" s="38">
        <f>K33+K38</f>
        <v>8720.1261174032734</v>
      </c>
    </row>
    <row r="44" spans="2:11" x14ac:dyDescent="0.2">
      <c r="B44" s="41" t="s">
        <v>189</v>
      </c>
      <c r="C44" s="41" t="s">
        <v>190</v>
      </c>
      <c r="G44" s="96">
        <f>G35+G40</f>
        <v>1.9904881114696498E-2</v>
      </c>
      <c r="H44" s="95">
        <f>H35+H40</f>
        <v>28.720481703431851</v>
      </c>
      <c r="I44" s="96">
        <f>I35+I40</f>
        <v>0.54624266147681921</v>
      </c>
      <c r="J44" s="95">
        <f>J35+J40</f>
        <v>282.95768498860332</v>
      </c>
      <c r="K44" s="95">
        <f>K35+K40</f>
        <v>2.5166193025449566</v>
      </c>
    </row>
    <row r="45" spans="2:11" x14ac:dyDescent="0.2">
      <c r="H45" s="41"/>
      <c r="I45" s="41"/>
      <c r="J45" s="41"/>
      <c r="K45" s="41"/>
    </row>
    <row r="47" spans="2:11" x14ac:dyDescent="0.2">
      <c r="B47" s="41" t="s">
        <v>116</v>
      </c>
    </row>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12">
    <tabColor rgb="FFFFFFCC"/>
  </sheetPr>
  <dimension ref="A2:M28"/>
  <sheetViews>
    <sheetView showGridLines="0" zoomScale="85" zoomScaleNormal="85" workbookViewId="0">
      <pane xSplit="3" ySplit="7" topLeftCell="D8" activePane="bottomRight" state="frozen"/>
      <selection pane="topRight"/>
      <selection pane="bottomLeft"/>
      <selection pane="bottomRight" activeCell="D8" sqref="D8"/>
    </sheetView>
  </sheetViews>
  <sheetFormatPr defaultRowHeight="12.75" x14ac:dyDescent="0.2"/>
  <cols>
    <col min="1" max="1" width="4.5703125" style="41" customWidth="1"/>
    <col min="2" max="2" width="50.7109375" style="1" customWidth="1"/>
    <col min="3" max="3" width="13.7109375" style="1" customWidth="1"/>
    <col min="4" max="4" width="2.7109375" style="41" customWidth="1"/>
    <col min="5" max="5" width="13.7109375" style="41" customWidth="1"/>
    <col min="6" max="6" width="2.7109375" style="1" customWidth="1"/>
    <col min="7" max="7" width="13.7109375" style="1" customWidth="1"/>
    <col min="8" max="8" width="13.7109375" customWidth="1"/>
    <col min="9" max="11" width="13.7109375" style="39" customWidth="1"/>
    <col min="12" max="12" width="2.7109375" style="1" customWidth="1"/>
    <col min="13" max="13" width="30.7109375" style="1" customWidth="1"/>
    <col min="14" max="14" width="2.7109375" style="1" customWidth="1"/>
    <col min="15" max="24" width="12.5703125" style="1" customWidth="1"/>
    <col min="25" max="27" width="2.7109375" style="1" customWidth="1"/>
    <col min="28" max="42" width="13.7109375" style="1" customWidth="1"/>
    <col min="43" max="16384" width="9.140625" style="1"/>
  </cols>
  <sheetData>
    <row r="2" spans="1:13" s="13" customFormat="1" ht="18" x14ac:dyDescent="0.2">
      <c r="B2" s="13" t="s">
        <v>191</v>
      </c>
    </row>
    <row r="4" spans="1:13" x14ac:dyDescent="0.2">
      <c r="B4" s="20" t="s">
        <v>13</v>
      </c>
    </row>
    <row r="5" spans="1:13" x14ac:dyDescent="0.2">
      <c r="B5" s="16" t="s">
        <v>68</v>
      </c>
      <c r="G5" s="14"/>
    </row>
    <row r="7" spans="1:13" s="6" customFormat="1" ht="38.25" x14ac:dyDescent="0.2">
      <c r="A7" s="37"/>
      <c r="B7" s="6" t="s">
        <v>6</v>
      </c>
      <c r="C7" s="6" t="s">
        <v>10</v>
      </c>
      <c r="D7" s="37"/>
      <c r="E7" s="37" t="s">
        <v>7</v>
      </c>
      <c r="G7" s="55" t="s">
        <v>97</v>
      </c>
      <c r="H7" s="55" t="s">
        <v>98</v>
      </c>
      <c r="I7" s="55" t="s">
        <v>99</v>
      </c>
      <c r="J7" s="55" t="s">
        <v>100</v>
      </c>
      <c r="K7" s="55" t="s">
        <v>101</v>
      </c>
      <c r="M7" s="6" t="s">
        <v>9</v>
      </c>
    </row>
    <row r="9" spans="1:13" s="6" customFormat="1" x14ac:dyDescent="0.2">
      <c r="A9" s="37"/>
      <c r="B9" s="6" t="s">
        <v>14</v>
      </c>
      <c r="D9" s="37"/>
      <c r="E9" s="37"/>
      <c r="I9" s="37"/>
      <c r="J9" s="37"/>
      <c r="K9" s="37"/>
    </row>
    <row r="11" spans="1:13" x14ac:dyDescent="0.2">
      <c r="B11" s="20" t="s">
        <v>73</v>
      </c>
    </row>
    <row r="12" spans="1:13" s="41" customFormat="1" x14ac:dyDescent="0.2">
      <c r="B12" s="41" t="s">
        <v>192</v>
      </c>
      <c r="C12" s="41" t="s">
        <v>126</v>
      </c>
      <c r="G12" s="42">
        <f>'Fixed-variable costs 2019'!G43</f>
        <v>1905672.824260616</v>
      </c>
      <c r="H12" s="42">
        <f>'Fixed-variable costs 2019'!H43</f>
        <v>749694.36950207653</v>
      </c>
      <c r="I12" s="42">
        <f>'Fixed-variable costs 2019'!I43</f>
        <v>403568.46393137058</v>
      </c>
      <c r="J12" s="42">
        <f>'Fixed-variable costs 2019'!J43</f>
        <v>427286.17975276028</v>
      </c>
      <c r="K12" s="42">
        <f>'Fixed-variable costs 2019'!K43</f>
        <v>8720.1261174032734</v>
      </c>
    </row>
    <row r="13" spans="1:13" x14ac:dyDescent="0.2">
      <c r="I13" s="41"/>
    </row>
    <row r="14" spans="1:13" s="41" customFormat="1" x14ac:dyDescent="0.2">
      <c r="B14" s="40" t="s">
        <v>69</v>
      </c>
    </row>
    <row r="15" spans="1:13" s="21" customFormat="1" x14ac:dyDescent="0.2">
      <c r="A15" s="41"/>
      <c r="B15" s="21" t="s">
        <v>70</v>
      </c>
      <c r="C15" s="21" t="s">
        <v>71</v>
      </c>
      <c r="G15" s="21" t="s">
        <v>11</v>
      </c>
      <c r="H15" s="21" t="s">
        <v>72</v>
      </c>
      <c r="I15" s="21" t="s">
        <v>95</v>
      </c>
      <c r="J15" s="21" t="s">
        <v>94</v>
      </c>
      <c r="K15" s="21" t="s">
        <v>95</v>
      </c>
    </row>
    <row r="16" spans="1:13" s="41" customFormat="1" x14ac:dyDescent="0.2">
      <c r="B16" s="41" t="s">
        <v>146</v>
      </c>
      <c r="C16" s="41" t="s">
        <v>71</v>
      </c>
      <c r="G16" s="42">
        <f>'Estimation for 2019'!G24</f>
        <v>14144390.099999996</v>
      </c>
      <c r="H16" s="42">
        <f>'Estimation for 2019'!H24</f>
        <v>15608.599999999999</v>
      </c>
      <c r="I16" s="42">
        <f>'Estimation for 2019'!I24</f>
        <v>88686.474000000002</v>
      </c>
      <c r="J16" s="42">
        <f>'Estimation for 2019'!J24</f>
        <v>773</v>
      </c>
      <c r="K16" s="42">
        <f>'Estimation for 2019'!K24</f>
        <v>1773.72948</v>
      </c>
    </row>
    <row r="17" spans="1:13" s="41" customFormat="1" x14ac:dyDescent="0.2">
      <c r="B17" s="41" t="s">
        <v>160</v>
      </c>
      <c r="C17" s="41" t="s">
        <v>71</v>
      </c>
      <c r="G17" s="42">
        <f>'Realization of 2019'!G27</f>
        <v>14979000</v>
      </c>
      <c r="H17" s="42">
        <f>'Realization of 2019'!H27</f>
        <v>16505.24666666667</v>
      </c>
      <c r="I17" s="42">
        <f>'Realization of 2019'!I27</f>
        <v>125523</v>
      </c>
      <c r="J17" s="42">
        <f>'Realization of 2019'!J27</f>
        <v>838.41666666666663</v>
      </c>
      <c r="K17" s="42">
        <f>'Realization of 2019'!K27</f>
        <v>1928.15</v>
      </c>
    </row>
    <row r="18" spans="1:13" x14ac:dyDescent="0.2">
      <c r="I18" s="41"/>
    </row>
    <row r="19" spans="1:13" s="41" customFormat="1" x14ac:dyDescent="0.2">
      <c r="B19" s="41" t="s">
        <v>261</v>
      </c>
      <c r="C19" s="41" t="s">
        <v>126</v>
      </c>
      <c r="G19" s="53"/>
      <c r="H19" s="42">
        <f>'Realization of 2019'!H40</f>
        <v>3461.0200000000195</v>
      </c>
      <c r="I19" s="53"/>
      <c r="J19" s="42">
        <f>'Realization of 2019'!J46</f>
        <v>13173.728220858871</v>
      </c>
      <c r="K19" s="53"/>
    </row>
    <row r="20" spans="1:13" s="41" customFormat="1" x14ac:dyDescent="0.2">
      <c r="H20" s="39"/>
      <c r="J20" s="39"/>
      <c r="K20" s="39"/>
    </row>
    <row r="21" spans="1:13" s="6" customFormat="1" x14ac:dyDescent="0.2">
      <c r="A21" s="37"/>
      <c r="B21" s="6" t="s">
        <v>18</v>
      </c>
      <c r="D21" s="37"/>
      <c r="E21" s="37"/>
      <c r="I21" s="37"/>
      <c r="J21" s="37"/>
      <c r="K21" s="37"/>
    </row>
    <row r="22" spans="1:13" x14ac:dyDescent="0.2">
      <c r="I22" s="41"/>
    </row>
    <row r="23" spans="1:13" x14ac:dyDescent="0.2">
      <c r="B23" s="20" t="s">
        <v>74</v>
      </c>
      <c r="I23" s="41"/>
    </row>
    <row r="24" spans="1:13" x14ac:dyDescent="0.2">
      <c r="B24" s="1" t="s">
        <v>193</v>
      </c>
      <c r="C24" s="1" t="s">
        <v>126</v>
      </c>
      <c r="G24" s="31">
        <f>G12/G16*G17</f>
        <v>2018119.7657012991</v>
      </c>
      <c r="H24" s="38">
        <f>H12/H16*H17</f>
        <v>792761.07359038736</v>
      </c>
      <c r="I24" s="38">
        <f>I12/I16*I17</f>
        <v>571193.35128891736</v>
      </c>
      <c r="J24" s="38">
        <f>J12/J16*J17</f>
        <v>463446.12489138864</v>
      </c>
      <c r="K24" s="38">
        <f>K12/K16*K17</f>
        <v>9479.2984853987546</v>
      </c>
    </row>
    <row r="25" spans="1:13" x14ac:dyDescent="0.2">
      <c r="B25" s="34" t="s">
        <v>194</v>
      </c>
      <c r="C25" s="1" t="s">
        <v>126</v>
      </c>
      <c r="G25" s="43">
        <f>G12-G24</f>
        <v>-112446.94144068309</v>
      </c>
      <c r="H25" s="97">
        <f>H12-H24+H19</f>
        <v>-39605.684088310809</v>
      </c>
      <c r="I25" s="43">
        <f>I12-I24</f>
        <v>-167624.88735754677</v>
      </c>
      <c r="J25" s="97">
        <f>J12-J24+J19</f>
        <v>-22986.216917769489</v>
      </c>
      <c r="K25" s="43">
        <f>K12-K24</f>
        <v>-759.17236799548118</v>
      </c>
      <c r="M25" s="41" t="s">
        <v>195</v>
      </c>
    </row>
    <row r="27" spans="1:13" x14ac:dyDescent="0.2">
      <c r="H27" s="19"/>
    </row>
    <row r="28" spans="1:13" x14ac:dyDescent="0.2">
      <c r="B28" s="41" t="s">
        <v>116</v>
      </c>
      <c r="H28" s="19"/>
    </row>
  </sheetData>
  <pageMargins left="0.7" right="0.7" top="0.75" bottom="0.75" header="0.3" footer="0.3"/>
  <pageSetup paperSize="9" orientation="portrait" r:id="rId1"/>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
    <tabColor rgb="FFFFFFCC"/>
  </sheetPr>
  <dimension ref="A2:M50"/>
  <sheetViews>
    <sheetView showGridLines="0" zoomScale="85" zoomScaleNormal="85" workbookViewId="0">
      <pane xSplit="3" ySplit="7" topLeftCell="D8" activePane="bottomRight" state="frozen"/>
      <selection pane="topRight"/>
      <selection pane="bottomLeft"/>
      <selection pane="bottomRight" activeCell="D8" sqref="D8"/>
    </sheetView>
  </sheetViews>
  <sheetFormatPr defaultRowHeight="12.75" x14ac:dyDescent="0.2"/>
  <cols>
    <col min="1" max="1" width="4.5703125" style="41" customWidth="1"/>
    <col min="2" max="2" width="50.7109375" style="1" customWidth="1"/>
    <col min="3" max="3" width="13.7109375" style="1" customWidth="1"/>
    <col min="4" max="4" width="2.7109375" style="41" customWidth="1"/>
    <col min="5" max="5" width="13.7109375" style="41" customWidth="1"/>
    <col min="6" max="6" width="2.7109375" style="1" customWidth="1"/>
    <col min="7" max="7" width="13.5703125" style="1" customWidth="1"/>
    <col min="8" max="11" width="13.5703125" style="41" customWidth="1"/>
    <col min="12" max="12" width="2.7109375" style="1" customWidth="1"/>
    <col min="13" max="13" width="30.7109375" style="1" customWidth="1"/>
    <col min="14" max="17" width="12.5703125" style="1" customWidth="1"/>
    <col min="18" max="20" width="2.7109375" style="1" customWidth="1"/>
    <col min="21" max="35" width="13.7109375" style="1" customWidth="1"/>
    <col min="36" max="16384" width="9.140625" style="1"/>
  </cols>
  <sheetData>
    <row r="2" spans="1:13" s="13" customFormat="1" ht="18" x14ac:dyDescent="0.2">
      <c r="B2" s="13" t="s">
        <v>196</v>
      </c>
    </row>
    <row r="4" spans="1:13" x14ac:dyDescent="0.2">
      <c r="B4" s="20" t="s">
        <v>13</v>
      </c>
    </row>
    <row r="5" spans="1:13" x14ac:dyDescent="0.2">
      <c r="B5" s="16" t="s">
        <v>90</v>
      </c>
      <c r="G5" s="14"/>
      <c r="H5" s="14"/>
      <c r="I5" s="14"/>
      <c r="J5" s="14"/>
      <c r="K5" s="14"/>
    </row>
    <row r="7" spans="1:13" s="6" customFormat="1" ht="38.25" x14ac:dyDescent="0.2">
      <c r="A7" s="37"/>
      <c r="B7" s="6" t="s">
        <v>6</v>
      </c>
      <c r="C7" s="6" t="s">
        <v>10</v>
      </c>
      <c r="D7" s="37"/>
      <c r="E7" s="37" t="s">
        <v>7</v>
      </c>
      <c r="G7" s="55" t="s">
        <v>97</v>
      </c>
      <c r="H7" s="55" t="s">
        <v>98</v>
      </c>
      <c r="I7" s="55" t="s">
        <v>99</v>
      </c>
      <c r="J7" s="55" t="s">
        <v>100</v>
      </c>
      <c r="K7" s="55" t="s">
        <v>101</v>
      </c>
      <c r="M7" s="6" t="s">
        <v>9</v>
      </c>
    </row>
    <row r="9" spans="1:13" s="6" customFormat="1" x14ac:dyDescent="0.2">
      <c r="A9" s="37"/>
      <c r="B9" s="6" t="s">
        <v>19</v>
      </c>
      <c r="D9" s="37"/>
      <c r="E9" s="37"/>
      <c r="H9" s="37"/>
      <c r="I9" s="37"/>
      <c r="J9" s="37"/>
      <c r="K9" s="37"/>
    </row>
    <row r="10" spans="1:13" x14ac:dyDescent="0.2">
      <c r="B10" s="20"/>
    </row>
    <row r="11" spans="1:13" x14ac:dyDescent="0.2">
      <c r="B11" s="20" t="s">
        <v>84</v>
      </c>
    </row>
    <row r="12" spans="1:13" x14ac:dyDescent="0.2">
      <c r="B12" s="1" t="s">
        <v>133</v>
      </c>
      <c r="C12" s="1" t="s">
        <v>4</v>
      </c>
      <c r="E12" s="35">
        <f>Parameters!E22</f>
        <v>6.5799999999999997E-2</v>
      </c>
    </row>
    <row r="13" spans="1:13" x14ac:dyDescent="0.2">
      <c r="B13" s="1" t="s">
        <v>67</v>
      </c>
      <c r="C13" s="1" t="s">
        <v>4</v>
      </c>
      <c r="E13" s="66">
        <f>Parameters!E26</f>
        <v>0.5</v>
      </c>
    </row>
    <row r="14" spans="1:13" s="41" customFormat="1" x14ac:dyDescent="0.2">
      <c r="B14" s="41" t="s">
        <v>139</v>
      </c>
      <c r="C14" s="41" t="s">
        <v>4</v>
      </c>
      <c r="E14" s="35">
        <f>Parameters!E38</f>
        <v>1.5776859896345585E-2</v>
      </c>
    </row>
    <row r="16" spans="1:13" x14ac:dyDescent="0.2">
      <c r="B16" s="20" t="s">
        <v>15</v>
      </c>
    </row>
    <row r="17" spans="1:11" x14ac:dyDescent="0.2">
      <c r="B17" s="41" t="s">
        <v>197</v>
      </c>
      <c r="C17" s="41" t="s">
        <v>190</v>
      </c>
      <c r="G17" s="61">
        <f>'Fixed-variable costs 2019'!G44</f>
        <v>1.9904881114696498E-2</v>
      </c>
      <c r="H17" s="57">
        <f>'Fixed-variable costs 2019'!H44</f>
        <v>28.720481703431851</v>
      </c>
      <c r="I17" s="61">
        <f>'Fixed-variable costs 2019'!I44</f>
        <v>0.54624266147681921</v>
      </c>
      <c r="J17" s="57">
        <f>'Fixed-variable costs 2019'!J44</f>
        <v>282.95768498860332</v>
      </c>
      <c r="K17" s="57">
        <f>'Fixed-variable costs 2019'!K44</f>
        <v>2.5166193025449566</v>
      </c>
    </row>
    <row r="18" spans="1:11" x14ac:dyDescent="0.2">
      <c r="B18" s="41" t="s">
        <v>198</v>
      </c>
      <c r="C18" s="41" t="s">
        <v>190</v>
      </c>
      <c r="G18" s="42">
        <f>'Fixed-variable costs 2019'!G43</f>
        <v>1905672.824260616</v>
      </c>
      <c r="H18" s="42">
        <f>'Fixed-variable costs 2019'!H43</f>
        <v>749694.36950207653</v>
      </c>
      <c r="I18" s="42">
        <f>'Fixed-variable costs 2019'!I43</f>
        <v>403568.46393137058</v>
      </c>
      <c r="J18" s="42">
        <f>'Fixed-variable costs 2019'!J43</f>
        <v>427286.17975276028</v>
      </c>
      <c r="K18" s="42">
        <f>'Fixed-variable costs 2019'!K43</f>
        <v>8720.1261174032734</v>
      </c>
    </row>
    <row r="20" spans="1:11" x14ac:dyDescent="0.2">
      <c r="B20" s="20" t="s">
        <v>16</v>
      </c>
    </row>
    <row r="21" spans="1:11" x14ac:dyDescent="0.2">
      <c r="B21" s="41" t="s">
        <v>154</v>
      </c>
      <c r="C21" s="41" t="s">
        <v>126</v>
      </c>
      <c r="G21" s="32">
        <f>'Realization of 2019'!G15</f>
        <v>2949735.6692770356</v>
      </c>
      <c r="H21" s="42">
        <f>'Realization of 2019'!H15</f>
        <v>1412121.1811824446</v>
      </c>
      <c r="I21" s="42">
        <f>'Realization of 2019'!I15</f>
        <v>390276.50393205974</v>
      </c>
      <c r="J21" s="42">
        <f>'Realization of 2019'!J15</f>
        <v>672111.93690272106</v>
      </c>
      <c r="K21" s="78"/>
    </row>
    <row r="22" spans="1:11" x14ac:dyDescent="0.2">
      <c r="B22" s="1" t="s">
        <v>155</v>
      </c>
      <c r="C22" s="1" t="s">
        <v>126</v>
      </c>
      <c r="G22" s="32">
        <f>'Realization of 2019'!G16</f>
        <v>321792.80314421421</v>
      </c>
      <c r="H22" s="42">
        <f>'Realization of 2019'!H16</f>
        <v>145818.62407679949</v>
      </c>
      <c r="I22" s="42">
        <f>'Realization of 2019'!I16</f>
        <v>44626.098002628001</v>
      </c>
      <c r="J22" s="42">
        <f>'Realization of 2019'!J16</f>
        <v>70027.271160551521</v>
      </c>
      <c r="K22" s="78"/>
    </row>
    <row r="23" spans="1:11" x14ac:dyDescent="0.2">
      <c r="B23" s="1" t="s">
        <v>277</v>
      </c>
      <c r="C23" s="41" t="s">
        <v>126</v>
      </c>
      <c r="G23" s="32">
        <f>'Realization of 2019'!G21</f>
        <v>1965888.4806101348</v>
      </c>
      <c r="H23" s="42">
        <f>'Realization of 2019'!H21</f>
        <v>556079.18632195122</v>
      </c>
      <c r="I23" s="42">
        <f>'Realization of 2019'!I21</f>
        <v>498408.43154692469</v>
      </c>
      <c r="J23" s="42">
        <f>'Realization of 2019'!J21</f>
        <v>793474.1815209887</v>
      </c>
      <c r="K23" s="78"/>
    </row>
    <row r="24" spans="1:11" s="7" customFormat="1" x14ac:dyDescent="0.2">
      <c r="A24" s="41"/>
      <c r="G24" s="79"/>
      <c r="H24" s="79"/>
      <c r="I24" s="79"/>
      <c r="J24" s="79"/>
      <c r="K24" s="79"/>
    </row>
    <row r="25" spans="1:11" s="7" customFormat="1" x14ac:dyDescent="0.2">
      <c r="A25" s="41"/>
      <c r="B25" s="20" t="s">
        <v>104</v>
      </c>
      <c r="C25" s="41"/>
      <c r="D25" s="41"/>
      <c r="E25" s="41"/>
      <c r="F25" s="41"/>
      <c r="G25" s="41"/>
      <c r="H25" s="41"/>
      <c r="I25" s="41"/>
      <c r="J25" s="41"/>
      <c r="K25" s="41"/>
    </row>
    <row r="26" spans="1:11" s="7" customFormat="1" x14ac:dyDescent="0.2">
      <c r="A26" s="41"/>
      <c r="B26" s="41" t="s">
        <v>154</v>
      </c>
      <c r="C26" s="41" t="s">
        <v>126</v>
      </c>
      <c r="D26" s="41"/>
      <c r="E26" s="41"/>
      <c r="F26" s="41"/>
      <c r="G26" s="42">
        <f>G21</f>
        <v>2949735.6692770356</v>
      </c>
      <c r="H26" s="42">
        <f t="shared" ref="H26:I26" si="0">H21</f>
        <v>1412121.1811824446</v>
      </c>
      <c r="I26" s="42">
        <f t="shared" si="0"/>
        <v>390276.50393205974</v>
      </c>
      <c r="J26" s="77">
        <f>J21*(1-$E$14)</f>
        <v>661508.1210395454</v>
      </c>
      <c r="K26" s="77">
        <f>J21*$E$14</f>
        <v>10603.815863175694</v>
      </c>
    </row>
    <row r="27" spans="1:11" s="7" customFormat="1" x14ac:dyDescent="0.2">
      <c r="A27" s="41"/>
      <c r="B27" s="41" t="s">
        <v>155</v>
      </c>
      <c r="C27" s="41" t="s">
        <v>126</v>
      </c>
      <c r="D27" s="41"/>
      <c r="E27" s="41"/>
      <c r="F27" s="41"/>
      <c r="G27" s="42">
        <f t="shared" ref="G27:I27" si="1">G22</f>
        <v>321792.80314421421</v>
      </c>
      <c r="H27" s="42">
        <f t="shared" si="1"/>
        <v>145818.62407679949</v>
      </c>
      <c r="I27" s="42">
        <f t="shared" si="1"/>
        <v>44626.098002628001</v>
      </c>
      <c r="J27" s="77">
        <f>J22*(1-$E$14)</f>
        <v>68922.460714528104</v>
      </c>
      <c r="K27" s="77">
        <f>J22*$E$14</f>
        <v>1104.8104460234231</v>
      </c>
    </row>
    <row r="28" spans="1:11" s="7" customFormat="1" x14ac:dyDescent="0.2">
      <c r="A28" s="41"/>
      <c r="B28" s="41" t="s">
        <v>277</v>
      </c>
      <c r="C28" s="41" t="s">
        <v>126</v>
      </c>
      <c r="D28" s="41"/>
      <c r="E28" s="41"/>
      <c r="F28" s="41"/>
      <c r="G28" s="42">
        <f t="shared" ref="G28:I28" si="2">G23</f>
        <v>1965888.4806101348</v>
      </c>
      <c r="H28" s="42">
        <f t="shared" si="2"/>
        <v>556079.18632195122</v>
      </c>
      <c r="I28" s="42">
        <f t="shared" si="2"/>
        <v>498408.43154692469</v>
      </c>
      <c r="J28" s="77">
        <f>J23*(1-$E$14)</f>
        <v>780955.65052776458</v>
      </c>
      <c r="K28" s="77">
        <f>J23*$E$14</f>
        <v>12518.530993224123</v>
      </c>
    </row>
    <row r="29" spans="1:11" s="41" customFormat="1" x14ac:dyDescent="0.2"/>
    <row r="30" spans="1:11" s="41" customFormat="1" x14ac:dyDescent="0.2">
      <c r="B30" s="40" t="s">
        <v>69</v>
      </c>
    </row>
    <row r="31" spans="1:11" s="21" customFormat="1" x14ac:dyDescent="0.2">
      <c r="A31" s="41"/>
      <c r="B31" s="21" t="s">
        <v>70</v>
      </c>
      <c r="C31" s="21" t="s">
        <v>71</v>
      </c>
      <c r="G31" s="21" t="s">
        <v>11</v>
      </c>
      <c r="H31" s="21" t="s">
        <v>72</v>
      </c>
      <c r="I31" s="21" t="s">
        <v>95</v>
      </c>
      <c r="J31" s="21" t="s">
        <v>94</v>
      </c>
      <c r="K31" s="21" t="s">
        <v>95</v>
      </c>
    </row>
    <row r="32" spans="1:11" s="41" customFormat="1" x14ac:dyDescent="0.2">
      <c r="B32" s="41" t="s">
        <v>160</v>
      </c>
      <c r="C32" s="41" t="s">
        <v>71</v>
      </c>
      <c r="G32" s="42">
        <f>'Realization of 2019'!G27</f>
        <v>14979000</v>
      </c>
      <c r="H32" s="42">
        <f>'Realization of 2019'!H27</f>
        <v>16505.24666666667</v>
      </c>
      <c r="I32" s="42">
        <f>'Realization of 2019'!I27</f>
        <v>125523</v>
      </c>
      <c r="J32" s="42">
        <f>'Realization of 2019'!J27</f>
        <v>838.41666666666663</v>
      </c>
      <c r="K32" s="42">
        <f>'Realization of 2019'!K27</f>
        <v>1928.15</v>
      </c>
    </row>
    <row r="34" spans="1:13" s="6" customFormat="1" x14ac:dyDescent="0.2">
      <c r="A34" s="37"/>
      <c r="B34" s="6" t="s">
        <v>20</v>
      </c>
      <c r="D34" s="37"/>
      <c r="E34" s="37"/>
      <c r="H34" s="37"/>
      <c r="I34" s="37"/>
      <c r="J34" s="37"/>
      <c r="K34" s="37"/>
    </row>
    <row r="36" spans="1:13" x14ac:dyDescent="0.2">
      <c r="B36" s="20" t="s">
        <v>199</v>
      </c>
    </row>
    <row r="37" spans="1:13" x14ac:dyDescent="0.2">
      <c r="B37" s="41" t="s">
        <v>200</v>
      </c>
      <c r="C37" s="1" t="s">
        <v>126</v>
      </c>
      <c r="G37" s="31">
        <f>G32*G17+G18</f>
        <v>2203828.0384776546</v>
      </c>
      <c r="H37" s="38">
        <f t="shared" ref="H37:K37" si="3">H32*H17+H18</f>
        <v>1223733.0044027062</v>
      </c>
      <c r="I37" s="38">
        <f t="shared" si="3"/>
        <v>472134.48152792535</v>
      </c>
      <c r="J37" s="38">
        <f t="shared" si="3"/>
        <v>664522.61880862177</v>
      </c>
      <c r="K37" s="38">
        <f t="shared" si="3"/>
        <v>13572.545625605331</v>
      </c>
      <c r="M37" s="41"/>
    </row>
    <row r="39" spans="1:13" x14ac:dyDescent="0.2">
      <c r="B39" s="20" t="s">
        <v>201</v>
      </c>
    </row>
    <row r="40" spans="1:13" x14ac:dyDescent="0.2">
      <c r="B40" s="41" t="s">
        <v>183</v>
      </c>
      <c r="C40" s="1" t="s">
        <v>126</v>
      </c>
      <c r="G40" s="31">
        <f>G26*$E$12+G27</f>
        <v>515885.41018264316</v>
      </c>
      <c r="H40" s="38">
        <f t="shared" ref="H40:K40" si="4">H26*$E$12+H27</f>
        <v>238736.19779860432</v>
      </c>
      <c r="I40" s="38">
        <f t="shared" si="4"/>
        <v>70306.291961357536</v>
      </c>
      <c r="J40" s="38">
        <f t="shared" si="4"/>
        <v>112449.69507893019</v>
      </c>
      <c r="K40" s="38">
        <f t="shared" si="4"/>
        <v>1802.5415298203839</v>
      </c>
    </row>
    <row r="41" spans="1:13" s="41" customFormat="1" x14ac:dyDescent="0.2">
      <c r="B41" s="41" t="s">
        <v>202</v>
      </c>
      <c r="C41" s="41" t="s">
        <v>126</v>
      </c>
      <c r="G41" s="42">
        <f>G28</f>
        <v>1965888.4806101348</v>
      </c>
      <c r="H41" s="42">
        <f>H28</f>
        <v>556079.18632195122</v>
      </c>
      <c r="I41" s="42">
        <f>I28</f>
        <v>498408.43154692469</v>
      </c>
      <c r="J41" s="42">
        <f>J28</f>
        <v>780955.65052776458</v>
      </c>
      <c r="K41" s="42">
        <f>K28</f>
        <v>12518.530993224123</v>
      </c>
    </row>
    <row r="42" spans="1:13" x14ac:dyDescent="0.2">
      <c r="B42" s="1" t="s">
        <v>203</v>
      </c>
      <c r="C42" s="1" t="s">
        <v>126</v>
      </c>
      <c r="G42" s="38">
        <f>G40+G41</f>
        <v>2481773.8907927778</v>
      </c>
      <c r="H42" s="38">
        <f>H40+H41</f>
        <v>794815.38412055559</v>
      </c>
      <c r="I42" s="38">
        <f>I40+I41</f>
        <v>568714.72350828222</v>
      </c>
      <c r="J42" s="38">
        <f>J40+J41</f>
        <v>893405.34560669481</v>
      </c>
      <c r="K42" s="38">
        <f>K40+K41</f>
        <v>14321.072523044508</v>
      </c>
      <c r="M42" s="41"/>
    </row>
    <row r="44" spans="1:13" x14ac:dyDescent="0.2">
      <c r="B44" s="20" t="s">
        <v>17</v>
      </c>
    </row>
    <row r="45" spans="1:13" x14ac:dyDescent="0.2">
      <c r="B45" s="41" t="s">
        <v>204</v>
      </c>
      <c r="C45" s="1" t="s">
        <v>126</v>
      </c>
      <c r="G45" s="31">
        <f>G37-G42</f>
        <v>-277945.85231512319</v>
      </c>
      <c r="H45" s="38">
        <f>H37-H42</f>
        <v>428917.62028215057</v>
      </c>
      <c r="I45" s="38">
        <f>I37-I42</f>
        <v>-96580.241980356863</v>
      </c>
      <c r="J45" s="38">
        <f>J37-J42</f>
        <v>-228882.72679807304</v>
      </c>
      <c r="K45" s="38">
        <f>K37-K42</f>
        <v>-748.52689743917654</v>
      </c>
      <c r="M45" s="1" t="s">
        <v>112</v>
      </c>
    </row>
    <row r="46" spans="1:13" s="41" customFormat="1" x14ac:dyDescent="0.2"/>
    <row r="47" spans="1:13" x14ac:dyDescent="0.2">
      <c r="B47" s="16" t="s">
        <v>205</v>
      </c>
      <c r="C47" s="1" t="s">
        <v>126</v>
      </c>
      <c r="G47" s="33">
        <f>$E$13*G45*(-1)</f>
        <v>138972.9261575616</v>
      </c>
      <c r="H47" s="43">
        <f>$E$13*H45*(-1)</f>
        <v>-214458.81014107529</v>
      </c>
      <c r="I47" s="43">
        <f>$E$13*I45*(-1)</f>
        <v>48290.120990178431</v>
      </c>
      <c r="J47" s="43">
        <f>$E$13*J45*(-1)</f>
        <v>114441.36339903652</v>
      </c>
      <c r="K47" s="43">
        <f>$E$13*K45*(-1)</f>
        <v>374.26344871958827</v>
      </c>
      <c r="M47" s="41" t="s">
        <v>278</v>
      </c>
    </row>
    <row r="50" spans="2:2" x14ac:dyDescent="0.2">
      <c r="B50" s="41" t="s">
        <v>116</v>
      </c>
    </row>
  </sheetData>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sheetPr>
  <dimension ref="B2:L42"/>
  <sheetViews>
    <sheetView showGridLines="0" zoomScale="85" zoomScaleNormal="85" workbookViewId="0">
      <pane xSplit="3" ySplit="7" topLeftCell="D8" activePane="bottomRight" state="frozen"/>
      <selection pane="topRight"/>
      <selection pane="bottomLeft"/>
      <selection pane="bottomRight" activeCell="D8" sqref="D8"/>
    </sheetView>
  </sheetViews>
  <sheetFormatPr defaultRowHeight="12.75" x14ac:dyDescent="0.2"/>
  <cols>
    <col min="1" max="1" width="4.5703125" style="41" customWidth="1"/>
    <col min="2" max="2" width="50.7109375" style="41" customWidth="1"/>
    <col min="3" max="3" width="13.7109375" style="41" customWidth="1"/>
    <col min="4" max="4" width="2.7109375" style="41" customWidth="1"/>
    <col min="5" max="5" width="13.7109375" style="41" customWidth="1"/>
    <col min="6" max="6" width="2.7109375" style="41" customWidth="1"/>
    <col min="7" max="7" width="13.7109375" style="41" customWidth="1"/>
    <col min="8" max="10" width="13.7109375" style="39" customWidth="1"/>
    <col min="11" max="11" width="2.7109375" style="41" customWidth="1"/>
    <col min="12" max="12" width="30.7109375" style="41" customWidth="1"/>
    <col min="13" max="13" width="2.7109375" style="41" customWidth="1"/>
    <col min="14" max="23" width="12.5703125" style="41" customWidth="1"/>
    <col min="24" max="26" width="2.7109375" style="41" customWidth="1"/>
    <col min="27" max="41" width="13.7109375" style="41" customWidth="1"/>
    <col min="42" max="16384" width="9.140625" style="41"/>
  </cols>
  <sheetData>
    <row r="2" spans="2:12" s="13" customFormat="1" ht="18" x14ac:dyDescent="0.2">
      <c r="B2" s="13" t="s">
        <v>206</v>
      </c>
    </row>
    <row r="4" spans="2:12" x14ac:dyDescent="0.2">
      <c r="B4" s="20" t="s">
        <v>13</v>
      </c>
    </row>
    <row r="5" spans="2:12" x14ac:dyDescent="0.2">
      <c r="B5" s="16" t="s">
        <v>91</v>
      </c>
      <c r="G5" s="14"/>
    </row>
    <row r="7" spans="2:12" s="37" customFormat="1" ht="25.5" x14ac:dyDescent="0.2">
      <c r="B7" s="37" t="s">
        <v>6</v>
      </c>
      <c r="C7" s="37" t="s">
        <v>10</v>
      </c>
      <c r="E7" s="37" t="s">
        <v>7</v>
      </c>
      <c r="G7" s="55" t="s">
        <v>97</v>
      </c>
      <c r="H7" s="55" t="s">
        <v>98</v>
      </c>
      <c r="I7" s="55" t="s">
        <v>99</v>
      </c>
      <c r="J7" s="55" t="s">
        <v>100</v>
      </c>
      <c r="L7" s="37" t="s">
        <v>9</v>
      </c>
    </row>
    <row r="9" spans="2:12" s="37" customFormat="1" x14ac:dyDescent="0.2">
      <c r="B9" s="37" t="s">
        <v>75</v>
      </c>
    </row>
    <row r="10" spans="2:12" x14ac:dyDescent="0.2">
      <c r="H10" s="41"/>
      <c r="I10" s="41"/>
      <c r="J10" s="41"/>
    </row>
    <row r="11" spans="2:12" x14ac:dyDescent="0.2">
      <c r="B11" s="40" t="s">
        <v>84</v>
      </c>
      <c r="H11" s="41"/>
      <c r="I11" s="41"/>
      <c r="J11" s="41"/>
    </row>
    <row r="12" spans="2:12" x14ac:dyDescent="0.2">
      <c r="B12" s="41" t="s">
        <v>67</v>
      </c>
      <c r="C12" s="41" t="s">
        <v>4</v>
      </c>
      <c r="E12" s="66">
        <f>Parameters!E26</f>
        <v>0.5</v>
      </c>
      <c r="H12" s="41"/>
      <c r="I12" s="41"/>
      <c r="J12" s="41"/>
    </row>
    <row r="13" spans="2:12" x14ac:dyDescent="0.2">
      <c r="H13" s="41"/>
      <c r="I13" s="41"/>
      <c r="J13" s="41"/>
    </row>
    <row r="14" spans="2:12" x14ac:dyDescent="0.2">
      <c r="B14" s="60" t="s">
        <v>207</v>
      </c>
      <c r="H14" s="41"/>
      <c r="I14" s="41"/>
      <c r="J14" s="41"/>
    </row>
    <row r="15" spans="2:12" x14ac:dyDescent="0.2">
      <c r="B15" s="41" t="s">
        <v>208</v>
      </c>
      <c r="C15" s="41" t="s">
        <v>12</v>
      </c>
      <c r="G15" s="61">
        <f>'Estimation for 2019'!G28</f>
        <v>0.26330547591159242</v>
      </c>
      <c r="H15" s="53"/>
      <c r="I15" s="53"/>
      <c r="J15" s="53"/>
    </row>
    <row r="16" spans="2:12" x14ac:dyDescent="0.2">
      <c r="B16" s="41" t="s">
        <v>209</v>
      </c>
      <c r="C16" s="41" t="s">
        <v>12</v>
      </c>
      <c r="G16" s="61">
        <f>'Estimation for 2019'!G29</f>
        <v>0.26493369294551833</v>
      </c>
      <c r="H16" s="53"/>
      <c r="I16" s="53"/>
      <c r="J16" s="53"/>
    </row>
    <row r="17" spans="2:12" x14ac:dyDescent="0.2">
      <c r="B17" s="41" t="s">
        <v>210</v>
      </c>
      <c r="C17" s="41" t="s">
        <v>12</v>
      </c>
      <c r="G17" s="62">
        <f>(G15+G16)/2</f>
        <v>0.26411958442855538</v>
      </c>
      <c r="H17" s="53"/>
      <c r="I17" s="61">
        <f>'Estimation for 2019'!I30</f>
        <v>6.7721909002364606</v>
      </c>
      <c r="J17" s="53"/>
      <c r="L17" s="41" t="s">
        <v>279</v>
      </c>
    </row>
    <row r="18" spans="2:12" x14ac:dyDescent="0.2">
      <c r="B18" s="41" t="s">
        <v>83</v>
      </c>
      <c r="C18" s="41" t="s">
        <v>11</v>
      </c>
      <c r="G18" s="42">
        <f>'Realization of 2019'!G27</f>
        <v>14979000</v>
      </c>
      <c r="H18" s="53"/>
      <c r="I18" s="42">
        <f>'Realization of 2019'!I27</f>
        <v>125523</v>
      </c>
      <c r="J18" s="53"/>
    </row>
    <row r="19" spans="2:12" x14ac:dyDescent="0.2">
      <c r="H19" s="41"/>
      <c r="I19" s="41"/>
      <c r="J19" s="41"/>
    </row>
    <row r="20" spans="2:12" x14ac:dyDescent="0.2">
      <c r="B20" s="41" t="s">
        <v>147</v>
      </c>
      <c r="C20" s="41" t="s">
        <v>4</v>
      </c>
      <c r="G20" s="53"/>
      <c r="H20" s="35">
        <f>'Estimation for 2019'!H26</f>
        <v>0.1234</v>
      </c>
      <c r="I20" s="53"/>
      <c r="J20" s="35">
        <f>'Estimation for 2019'!J26</f>
        <v>0.14000000000000001</v>
      </c>
    </row>
    <row r="21" spans="2:12" x14ac:dyDescent="0.2">
      <c r="B21" s="41" t="s">
        <v>161</v>
      </c>
      <c r="C21" s="41" t="s">
        <v>4</v>
      </c>
      <c r="G21" s="53"/>
      <c r="H21" s="35">
        <f>'Realization of 2019'!H29</f>
        <v>0.13154961612924801</v>
      </c>
      <c r="I21" s="53"/>
      <c r="J21" s="35">
        <f>'Realization of 2019'!J29</f>
        <v>0.249322912932291</v>
      </c>
    </row>
    <row r="22" spans="2:12" x14ac:dyDescent="0.2">
      <c r="H22" s="41"/>
      <c r="I22" s="41"/>
      <c r="J22" s="41"/>
    </row>
    <row r="23" spans="2:12" s="37" customFormat="1" x14ac:dyDescent="0.2">
      <c r="B23" s="37" t="s">
        <v>50</v>
      </c>
    </row>
    <row r="24" spans="2:12" x14ac:dyDescent="0.2">
      <c r="H24" s="41"/>
      <c r="I24" s="41"/>
      <c r="J24" s="41"/>
    </row>
    <row r="25" spans="2:12" x14ac:dyDescent="0.2">
      <c r="B25" s="41" t="s">
        <v>211</v>
      </c>
      <c r="C25" s="41" t="s">
        <v>126</v>
      </c>
      <c r="G25" s="53"/>
      <c r="H25" s="38">
        <f>G17*G18*H20</f>
        <v>488200.9112861678</v>
      </c>
      <c r="I25" s="53"/>
      <c r="J25" s="38">
        <f>I17*I18*J20</f>
        <v>119009.20057185339</v>
      </c>
    </row>
    <row r="26" spans="2:12" x14ac:dyDescent="0.2">
      <c r="B26" s="41" t="s">
        <v>212</v>
      </c>
      <c r="C26" s="41" t="s">
        <v>126</v>
      </c>
      <c r="G26" s="53"/>
      <c r="H26" s="38">
        <f>G17*G18*H21</f>
        <v>520442.8077280749</v>
      </c>
      <c r="I26" s="53"/>
      <c r="J26" s="38">
        <f>I17*I18*J21</f>
        <v>211940.86108798397</v>
      </c>
    </row>
    <row r="27" spans="2:12" x14ac:dyDescent="0.2">
      <c r="H27" s="41"/>
      <c r="I27" s="41"/>
      <c r="J27" s="41"/>
    </row>
    <row r="28" spans="2:12" x14ac:dyDescent="0.2">
      <c r="B28" s="41" t="s">
        <v>213</v>
      </c>
      <c r="C28" s="41" t="s">
        <v>126</v>
      </c>
      <c r="G28" s="53"/>
      <c r="H28" s="38">
        <f>H25-H26</f>
        <v>-32241.896441907098</v>
      </c>
      <c r="I28" s="53"/>
      <c r="J28" s="38">
        <f>J25-J26</f>
        <v>-92931.660516130578</v>
      </c>
      <c r="L28" s="41" t="s">
        <v>112</v>
      </c>
    </row>
    <row r="29" spans="2:12" x14ac:dyDescent="0.2">
      <c r="H29" s="41"/>
      <c r="I29" s="41"/>
      <c r="J29" s="41"/>
    </row>
    <row r="30" spans="2:12" x14ac:dyDescent="0.2">
      <c r="B30" s="41" t="s">
        <v>214</v>
      </c>
      <c r="C30" s="41" t="s">
        <v>126</v>
      </c>
      <c r="G30" s="53"/>
      <c r="H30" s="43">
        <f>$E$12*H28*(-1)</f>
        <v>16120.948220953549</v>
      </c>
      <c r="I30" s="53"/>
      <c r="J30" s="43">
        <f>$E$12*J28*(-1)</f>
        <v>46465.830258065289</v>
      </c>
      <c r="L30" s="41" t="s">
        <v>215</v>
      </c>
    </row>
    <row r="31" spans="2:12" x14ac:dyDescent="0.2">
      <c r="H31" s="41"/>
      <c r="I31" s="41"/>
      <c r="J31" s="41"/>
    </row>
    <row r="32" spans="2:12" x14ac:dyDescent="0.2">
      <c r="H32" s="41"/>
      <c r="I32" s="41"/>
      <c r="J32" s="41"/>
    </row>
    <row r="33" spans="2:10" x14ac:dyDescent="0.2">
      <c r="B33" s="41" t="s">
        <v>116</v>
      </c>
      <c r="H33" s="41"/>
      <c r="I33" s="41"/>
      <c r="J33" s="41"/>
    </row>
    <row r="34" spans="2:10" x14ac:dyDescent="0.2">
      <c r="H34" s="41"/>
      <c r="I34" s="41"/>
      <c r="J34" s="41"/>
    </row>
    <row r="35" spans="2:10" x14ac:dyDescent="0.2">
      <c r="H35" s="41"/>
      <c r="I35" s="41"/>
      <c r="J35" s="41"/>
    </row>
    <row r="36" spans="2:10" x14ac:dyDescent="0.2">
      <c r="H36" s="41"/>
      <c r="I36" s="41"/>
      <c r="J36" s="41"/>
    </row>
    <row r="37" spans="2:10" x14ac:dyDescent="0.2">
      <c r="H37" s="41"/>
      <c r="I37" s="41"/>
      <c r="J37" s="41"/>
    </row>
    <row r="38" spans="2:10" x14ac:dyDescent="0.2">
      <c r="H38" s="41"/>
      <c r="I38" s="41"/>
      <c r="J38" s="41"/>
    </row>
    <row r="39" spans="2:10" x14ac:dyDescent="0.2">
      <c r="H39" s="41"/>
      <c r="I39" s="41"/>
      <c r="J39" s="41"/>
    </row>
    <row r="40" spans="2:10" ht="12.75" customHeight="1" x14ac:dyDescent="0.2">
      <c r="H40" s="41"/>
      <c r="I40" s="41"/>
      <c r="J40" s="41"/>
    </row>
    <row r="41" spans="2:10" ht="12.75" customHeight="1" x14ac:dyDescent="0.2">
      <c r="H41" s="41"/>
      <c r="I41" s="41"/>
      <c r="J41" s="41"/>
    </row>
    <row r="42" spans="2:10" ht="12.75" customHeight="1" x14ac:dyDescent="0.2">
      <c r="H42" s="41"/>
      <c r="I42" s="41"/>
      <c r="J42" s="41"/>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4">
    <tabColor rgb="FFCCC8D9"/>
  </sheetPr>
  <dimension ref="B2:F34"/>
  <sheetViews>
    <sheetView showGridLines="0" zoomScale="85" zoomScaleNormal="85" workbookViewId="0">
      <pane ySplit="3" topLeftCell="A4" activePane="bottomLeft" state="frozen"/>
      <selection activeCell="A4" sqref="A4"/>
      <selection pane="bottomLeft" activeCell="A4" sqref="A4"/>
    </sheetView>
  </sheetViews>
  <sheetFormatPr defaultRowHeight="12.75" x14ac:dyDescent="0.2"/>
  <cols>
    <col min="1" max="1" width="2.85546875" style="41" customWidth="1"/>
    <col min="2" max="2" width="19.140625" style="41" customWidth="1"/>
    <col min="3" max="3" width="20.7109375" style="41" customWidth="1"/>
    <col min="4" max="4" width="56.85546875" style="41" customWidth="1"/>
    <col min="5" max="5" width="29.85546875" style="41" customWidth="1"/>
    <col min="6" max="6" width="24.7109375" style="41" customWidth="1"/>
    <col min="7" max="7" width="37.28515625" style="41" customWidth="1"/>
    <col min="8" max="16384" width="9.140625" style="41"/>
  </cols>
  <sheetData>
    <row r="2" spans="2:6" s="5" customFormat="1" ht="18" x14ac:dyDescent="0.2">
      <c r="B2" s="5" t="s">
        <v>32</v>
      </c>
    </row>
    <row r="4" spans="2:6" s="37" customFormat="1" x14ac:dyDescent="0.2">
      <c r="B4" s="37" t="s">
        <v>33</v>
      </c>
    </row>
    <row r="6" spans="2:6" x14ac:dyDescent="0.2">
      <c r="B6" s="16" t="s">
        <v>128</v>
      </c>
    </row>
    <row r="7" spans="2:6" x14ac:dyDescent="0.2">
      <c r="B7" s="16"/>
    </row>
    <row r="9" spans="2:6" s="37" customFormat="1" x14ac:dyDescent="0.2">
      <c r="B9" s="37" t="s">
        <v>34</v>
      </c>
    </row>
    <row r="10" spans="2:6" x14ac:dyDescent="0.2">
      <c r="C10" s="7"/>
    </row>
    <row r="11" spans="2:6" x14ac:dyDescent="0.2">
      <c r="B11" s="20" t="s">
        <v>35</v>
      </c>
      <c r="C11" s="7"/>
      <c r="D11" s="20" t="s">
        <v>36</v>
      </c>
      <c r="F11" s="9"/>
    </row>
    <row r="12" spans="2:6" x14ac:dyDescent="0.2">
      <c r="C12" s="7"/>
    </row>
    <row r="13" spans="2:6" x14ac:dyDescent="0.2">
      <c r="B13" s="25">
        <v>123</v>
      </c>
      <c r="C13" s="7"/>
      <c r="D13" s="16" t="s">
        <v>37</v>
      </c>
    </row>
    <row r="14" spans="2:6" x14ac:dyDescent="0.2">
      <c r="B14" s="26">
        <f>B13</f>
        <v>123</v>
      </c>
      <c r="C14" s="7"/>
      <c r="D14" s="41" t="s">
        <v>38</v>
      </c>
    </row>
    <row r="15" spans="2:6" x14ac:dyDescent="0.2">
      <c r="B15" s="24">
        <f>B14+B13</f>
        <v>246</v>
      </c>
      <c r="C15" s="7"/>
      <c r="D15" s="41" t="s">
        <v>39</v>
      </c>
    </row>
    <row r="16" spans="2:6" x14ac:dyDescent="0.2">
      <c r="B16" s="23">
        <f>B14+B15</f>
        <v>369</v>
      </c>
      <c r="C16" s="7"/>
      <c r="D16" s="16" t="s">
        <v>40</v>
      </c>
      <c r="E16" s="9"/>
      <c r="F16" s="3"/>
    </row>
    <row r="17" spans="2:5" x14ac:dyDescent="0.2">
      <c r="B17" s="10"/>
      <c r="C17" s="7"/>
      <c r="D17" s="16" t="s">
        <v>41</v>
      </c>
      <c r="E17" s="9"/>
    </row>
    <row r="18" spans="2:5" x14ac:dyDescent="0.2">
      <c r="B18" s="7"/>
      <c r="C18" s="7"/>
    </row>
    <row r="19" spans="2:5" x14ac:dyDescent="0.2">
      <c r="B19" s="21" t="s">
        <v>42</v>
      </c>
      <c r="C19" s="7"/>
    </row>
    <row r="20" spans="2:5" x14ac:dyDescent="0.2">
      <c r="B20" s="27">
        <f>B16+16</f>
        <v>385</v>
      </c>
      <c r="C20" s="7"/>
      <c r="D20" s="41" t="s">
        <v>43</v>
      </c>
    </row>
    <row r="21" spans="2:5" x14ac:dyDescent="0.2">
      <c r="B21" s="28">
        <f>B14*PI()</f>
        <v>386.41589639154455</v>
      </c>
      <c r="C21" s="12"/>
      <c r="D21" s="41" t="s">
        <v>44</v>
      </c>
    </row>
    <row r="22" spans="2:5" x14ac:dyDescent="0.2">
      <c r="B22" s="12"/>
      <c r="C22" s="12"/>
    </row>
    <row r="24" spans="2:5" x14ac:dyDescent="0.2">
      <c r="B24" s="20" t="s">
        <v>45</v>
      </c>
    </row>
    <row r="25" spans="2:5" x14ac:dyDescent="0.2">
      <c r="B25" s="40"/>
    </row>
    <row r="26" spans="2:5" x14ac:dyDescent="0.2">
      <c r="B26" s="21" t="s">
        <v>46</v>
      </c>
    </row>
    <row r="27" spans="2:5" x14ac:dyDescent="0.2">
      <c r="B27" s="48" t="s">
        <v>47</v>
      </c>
      <c r="C27" s="7"/>
      <c r="D27" s="16" t="s">
        <v>48</v>
      </c>
    </row>
    <row r="28" spans="2:5" x14ac:dyDescent="0.2">
      <c r="B28" s="49" t="s">
        <v>0</v>
      </c>
      <c r="C28" s="7"/>
      <c r="D28" s="16" t="s">
        <v>49</v>
      </c>
    </row>
    <row r="29" spans="2:5" x14ac:dyDescent="0.2">
      <c r="B29" s="50" t="s">
        <v>50</v>
      </c>
      <c r="C29" s="7"/>
      <c r="D29" s="16" t="s">
        <v>51</v>
      </c>
    </row>
    <row r="30" spans="2:5" x14ac:dyDescent="0.2">
      <c r="B30" s="11" t="s">
        <v>50</v>
      </c>
      <c r="C30" s="7"/>
      <c r="D30" s="16" t="s">
        <v>52</v>
      </c>
    </row>
    <row r="31" spans="2:5" x14ac:dyDescent="0.2">
      <c r="C31" s="7"/>
      <c r="D31" s="16"/>
    </row>
    <row r="32" spans="2:5" x14ac:dyDescent="0.2">
      <c r="B32" s="21" t="s">
        <v>53</v>
      </c>
      <c r="C32" s="7"/>
      <c r="D32" s="16"/>
    </row>
    <row r="33" spans="2:4" x14ac:dyDescent="0.2">
      <c r="B33" s="15" t="s">
        <v>1</v>
      </c>
      <c r="C33" s="7"/>
      <c r="D33" s="16" t="s">
        <v>54</v>
      </c>
    </row>
    <row r="34" spans="2:4" x14ac:dyDescent="0.2">
      <c r="B34" s="51" t="s">
        <v>55</v>
      </c>
      <c r="D34" s="16" t="s">
        <v>56</v>
      </c>
    </row>
  </sheetData>
  <pageMargins left="0.75" right="0.75" top="1" bottom="1" header="0.5" footer="0.5"/>
  <pageSetup paperSize="9"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tabColor rgb="FFCCC8D9"/>
  </sheetPr>
  <dimension ref="B2:K34"/>
  <sheetViews>
    <sheetView showGridLines="0" zoomScale="85" zoomScaleNormal="85" workbookViewId="0">
      <pane ySplit="3" topLeftCell="A4" activePane="bottomLeft" state="frozen"/>
      <selection activeCell="A4" sqref="A4"/>
      <selection pane="bottomLeft" activeCell="A4" sqref="A4"/>
    </sheetView>
  </sheetViews>
  <sheetFormatPr defaultRowHeight="12.75" x14ac:dyDescent="0.2"/>
  <cols>
    <col min="1" max="1" width="2.85546875" style="1" customWidth="1"/>
    <col min="2" max="2" width="7.5703125" style="1" customWidth="1"/>
    <col min="3" max="3" width="35.140625" style="70" customWidth="1"/>
    <col min="4" max="4" width="69.5703125" style="70" customWidth="1"/>
    <col min="5" max="5" width="118.28515625" style="1" customWidth="1"/>
    <col min="6" max="6" width="4.5703125" style="1" customWidth="1"/>
    <col min="7" max="7" width="43.42578125" style="1" customWidth="1"/>
    <col min="8" max="8" width="28.7109375" style="1" customWidth="1"/>
    <col min="9" max="9" width="18.42578125" style="1" customWidth="1"/>
    <col min="10" max="11" width="58.42578125" style="1" customWidth="1"/>
    <col min="12" max="16384" width="9.140625" style="1"/>
  </cols>
  <sheetData>
    <row r="2" spans="2:11" s="5" customFormat="1" ht="18" x14ac:dyDescent="0.2">
      <c r="B2" s="5" t="s">
        <v>57</v>
      </c>
      <c r="C2" s="69"/>
      <c r="D2" s="69"/>
    </row>
    <row r="3" spans="2:11" s="41" customFormat="1" x14ac:dyDescent="0.2">
      <c r="C3" s="70"/>
      <c r="D3" s="70"/>
    </row>
    <row r="4" spans="2:11" s="37" customFormat="1" x14ac:dyDescent="0.2">
      <c r="B4" s="37" t="s">
        <v>58</v>
      </c>
      <c r="C4" s="55"/>
      <c r="D4" s="55"/>
    </row>
    <row r="5" spans="2:11" s="41" customFormat="1" x14ac:dyDescent="0.2">
      <c r="C5" s="70"/>
      <c r="D5" s="70"/>
    </row>
    <row r="6" spans="2:11" s="41" customFormat="1" x14ac:dyDescent="0.2">
      <c r="B6" s="2" t="s">
        <v>88</v>
      </c>
      <c r="C6" s="70"/>
      <c r="D6" s="70"/>
    </row>
    <row r="7" spans="2:11" s="41" customFormat="1" x14ac:dyDescent="0.2">
      <c r="B7" s="2" t="s">
        <v>59</v>
      </c>
      <c r="C7" s="70"/>
      <c r="D7" s="70"/>
    </row>
    <row r="8" spans="2:11" x14ac:dyDescent="0.2">
      <c r="G8" s="41"/>
      <c r="H8" s="41"/>
      <c r="I8" s="41"/>
      <c r="J8" s="41"/>
      <c r="K8" s="41"/>
    </row>
    <row r="9" spans="2:11" s="41" customFormat="1" x14ac:dyDescent="0.2">
      <c r="B9" s="52" t="s">
        <v>28</v>
      </c>
      <c r="C9" s="71" t="s">
        <v>60</v>
      </c>
      <c r="D9" s="71" t="s">
        <v>61</v>
      </c>
      <c r="E9" s="52" t="s">
        <v>62</v>
      </c>
    </row>
    <row r="10" spans="2:11" s="41" customFormat="1" x14ac:dyDescent="0.2">
      <c r="B10" s="17"/>
      <c r="C10" s="72" t="s">
        <v>63</v>
      </c>
      <c r="D10" s="72" t="s">
        <v>64</v>
      </c>
      <c r="E10" s="17" t="s">
        <v>65</v>
      </c>
    </row>
    <row r="11" spans="2:11" x14ac:dyDescent="0.2">
      <c r="B11" s="18">
        <v>1</v>
      </c>
      <c r="C11" s="45" t="s">
        <v>115</v>
      </c>
      <c r="D11" s="45" t="s">
        <v>225</v>
      </c>
      <c r="E11" s="59" t="s">
        <v>226</v>
      </c>
      <c r="G11" s="41"/>
      <c r="H11" s="41"/>
      <c r="I11" s="41"/>
      <c r="J11" s="41"/>
      <c r="K11" s="41"/>
    </row>
    <row r="12" spans="2:11" s="41" customFormat="1" x14ac:dyDescent="0.2">
      <c r="B12" s="18">
        <v>2</v>
      </c>
      <c r="C12" s="45" t="s">
        <v>123</v>
      </c>
      <c r="D12" s="45" t="s">
        <v>244</v>
      </c>
      <c r="E12" s="59" t="s">
        <v>242</v>
      </c>
    </row>
    <row r="13" spans="2:11" s="41" customFormat="1" x14ac:dyDescent="0.2">
      <c r="B13" s="4">
        <v>3</v>
      </c>
      <c r="C13" s="45" t="s">
        <v>81</v>
      </c>
      <c r="D13" s="45"/>
      <c r="E13" s="59" t="s">
        <v>286</v>
      </c>
    </row>
    <row r="14" spans="2:11" s="41" customFormat="1" x14ac:dyDescent="0.2">
      <c r="B14" s="4">
        <v>4</v>
      </c>
      <c r="C14" s="45" t="s">
        <v>87</v>
      </c>
      <c r="D14" s="45"/>
      <c r="E14" s="59" t="s">
        <v>287</v>
      </c>
    </row>
    <row r="15" spans="2:11" s="41" customFormat="1" x14ac:dyDescent="0.2">
      <c r="B15" s="4">
        <v>5</v>
      </c>
      <c r="C15" s="45" t="s">
        <v>253</v>
      </c>
      <c r="D15" s="45"/>
      <c r="E15" s="59" t="s">
        <v>254</v>
      </c>
    </row>
    <row r="16" spans="2:11" s="41" customFormat="1" x14ac:dyDescent="0.2">
      <c r="B16" s="4">
        <v>6</v>
      </c>
      <c r="C16" s="45" t="s">
        <v>140</v>
      </c>
      <c r="D16" s="45"/>
      <c r="E16" s="100" t="s">
        <v>292</v>
      </c>
    </row>
    <row r="17" spans="2:11" s="41" customFormat="1" x14ac:dyDescent="0.2">
      <c r="B17" s="4">
        <v>7</v>
      </c>
      <c r="C17" s="47" t="s">
        <v>157</v>
      </c>
      <c r="D17" s="45" t="s">
        <v>289</v>
      </c>
      <c r="E17" s="100"/>
    </row>
    <row r="18" spans="2:11" x14ac:dyDescent="0.2">
      <c r="B18" s="4">
        <v>8</v>
      </c>
      <c r="C18" s="47" t="s">
        <v>158</v>
      </c>
      <c r="D18" s="8" t="s">
        <v>290</v>
      </c>
      <c r="E18" s="100"/>
      <c r="G18" s="41"/>
      <c r="H18" s="41"/>
      <c r="I18" s="41"/>
      <c r="J18" s="41"/>
      <c r="K18" s="41"/>
    </row>
    <row r="19" spans="2:11" s="41" customFormat="1" x14ac:dyDescent="0.2">
      <c r="B19" s="4">
        <v>9</v>
      </c>
      <c r="C19" s="47" t="s">
        <v>236</v>
      </c>
      <c r="D19" s="45"/>
      <c r="E19" s="100" t="s">
        <v>292</v>
      </c>
    </row>
    <row r="20" spans="2:11" x14ac:dyDescent="0.2">
      <c r="B20" s="18">
        <v>10</v>
      </c>
      <c r="C20" s="45" t="s">
        <v>237</v>
      </c>
      <c r="D20" s="45"/>
      <c r="E20" s="100" t="s">
        <v>292</v>
      </c>
      <c r="G20" s="41"/>
      <c r="H20" s="41"/>
      <c r="I20" s="41"/>
      <c r="J20" s="41"/>
      <c r="K20" s="41"/>
    </row>
    <row r="21" spans="2:11" s="41" customFormat="1" x14ac:dyDescent="0.2">
      <c r="B21" s="18">
        <v>11</v>
      </c>
      <c r="C21" s="45" t="s">
        <v>238</v>
      </c>
      <c r="D21" s="45"/>
      <c r="E21" s="100" t="s">
        <v>292</v>
      </c>
    </row>
    <row r="22" spans="2:11" x14ac:dyDescent="0.2">
      <c r="B22" s="4">
        <v>12</v>
      </c>
      <c r="C22" s="45" t="s">
        <v>239</v>
      </c>
      <c r="D22" s="45"/>
      <c r="E22" s="100" t="s">
        <v>292</v>
      </c>
      <c r="G22" s="41"/>
      <c r="H22" s="41"/>
      <c r="I22" s="41"/>
      <c r="J22" s="41"/>
      <c r="K22" s="41"/>
    </row>
    <row r="23" spans="2:11" x14ac:dyDescent="0.2">
      <c r="B23" s="4">
        <v>13</v>
      </c>
      <c r="C23" s="45" t="s">
        <v>240</v>
      </c>
      <c r="D23" s="45"/>
      <c r="E23" s="100" t="s">
        <v>292</v>
      </c>
      <c r="G23" s="41"/>
      <c r="H23" s="41"/>
      <c r="I23" s="41"/>
      <c r="J23" s="41"/>
      <c r="K23" s="41"/>
    </row>
    <row r="24" spans="2:11" s="41" customFormat="1" x14ac:dyDescent="0.2">
      <c r="B24" s="4">
        <v>14</v>
      </c>
      <c r="C24" s="45" t="s">
        <v>241</v>
      </c>
      <c r="D24" s="45"/>
      <c r="E24" s="100" t="s">
        <v>292</v>
      </c>
    </row>
    <row r="25" spans="2:11" s="41" customFormat="1" x14ac:dyDescent="0.2">
      <c r="B25" s="4">
        <v>15</v>
      </c>
      <c r="C25" s="45" t="s">
        <v>141</v>
      </c>
      <c r="D25" s="45" t="s">
        <v>248</v>
      </c>
      <c r="E25" s="59" t="s">
        <v>247</v>
      </c>
    </row>
    <row r="26" spans="2:11" s="41" customFormat="1" x14ac:dyDescent="0.2">
      <c r="B26" s="4">
        <v>16</v>
      </c>
      <c r="C26" s="45" t="s">
        <v>174</v>
      </c>
      <c r="D26" s="45" t="s">
        <v>246</v>
      </c>
      <c r="E26" s="59" t="s">
        <v>245</v>
      </c>
    </row>
    <row r="27" spans="2:11" s="41" customFormat="1" x14ac:dyDescent="0.2">
      <c r="B27" s="4">
        <v>17</v>
      </c>
      <c r="C27" s="45" t="s">
        <v>265</v>
      </c>
      <c r="D27" s="45"/>
      <c r="E27" s="100" t="s">
        <v>292</v>
      </c>
    </row>
    <row r="28" spans="2:11" x14ac:dyDescent="0.2">
      <c r="B28" s="45">
        <v>18</v>
      </c>
      <c r="C28" s="45" t="s">
        <v>274</v>
      </c>
      <c r="D28" s="4"/>
      <c r="E28" s="59" t="s">
        <v>273</v>
      </c>
      <c r="G28" s="41"/>
      <c r="H28" s="41"/>
      <c r="I28" s="41"/>
      <c r="J28" s="41"/>
      <c r="K28" s="41"/>
    </row>
    <row r="31" spans="2:11" s="41" customFormat="1" x14ac:dyDescent="0.2">
      <c r="C31" s="70"/>
      <c r="D31" s="70"/>
    </row>
    <row r="32" spans="2:11" s="41" customFormat="1" x14ac:dyDescent="0.2">
      <c r="C32" s="70"/>
      <c r="D32" s="70"/>
    </row>
    <row r="33" spans="3:4" s="41" customFormat="1" x14ac:dyDescent="0.2">
      <c r="C33" s="70"/>
      <c r="D33" s="70"/>
    </row>
    <row r="34" spans="3:4" s="41" customFormat="1" x14ac:dyDescent="0.2">
      <c r="C34" s="70"/>
      <c r="D34" s="70"/>
    </row>
  </sheetData>
  <hyperlinks>
    <hyperlink ref="E11" r:id="rId1"/>
    <hyperlink ref="E12" r:id="rId2"/>
    <hyperlink ref="E26" r:id="rId3"/>
    <hyperlink ref="E25" r:id="rId4"/>
  </hyperlinks>
  <pageMargins left="0.75" right="0.75" top="1" bottom="1" header="0.5" footer="0.5"/>
  <pageSetup paperSize="9" orientation="portrait" r:id="rId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
    <tabColor rgb="FFCCFFFF"/>
  </sheetPr>
  <dimension ref="A2:K47"/>
  <sheetViews>
    <sheetView showGridLines="0" zoomScale="85" zoomScaleNormal="85" workbookViewId="0">
      <pane xSplit="3" ySplit="8" topLeftCell="D9" activePane="bottomRight" state="frozen"/>
      <selection activeCell="Q51" sqref="Q51"/>
      <selection pane="topRight" activeCell="Q51" sqref="Q51"/>
      <selection pane="bottomLeft" activeCell="Q51" sqref="Q51"/>
      <selection pane="bottomRight" activeCell="D9" sqref="D9"/>
    </sheetView>
  </sheetViews>
  <sheetFormatPr defaultRowHeight="12.75" x14ac:dyDescent="0.2"/>
  <cols>
    <col min="1" max="1" width="2.7109375" style="41" customWidth="1"/>
    <col min="2" max="2" width="54.7109375" style="1" customWidth="1"/>
    <col min="3" max="3" width="13.7109375" style="1" customWidth="1"/>
    <col min="4" max="4" width="2.7109375" style="1" customWidth="1"/>
    <col min="5" max="5" width="13.7109375" style="1" customWidth="1"/>
    <col min="6" max="6" width="2.7109375" style="1" customWidth="1"/>
    <col min="7" max="8" width="13.7109375" style="1" customWidth="1"/>
    <col min="9" max="18" width="12.5703125" style="1" customWidth="1"/>
    <col min="19" max="21" width="2.7109375" style="1" customWidth="1"/>
    <col min="22" max="36" width="13.7109375" style="1" customWidth="1"/>
    <col min="37" max="16384" width="9.140625" style="1"/>
  </cols>
  <sheetData>
    <row r="2" spans="2:11" s="13" customFormat="1" ht="18" x14ac:dyDescent="0.2">
      <c r="B2" s="13" t="s">
        <v>47</v>
      </c>
    </row>
    <row r="4" spans="2:11" x14ac:dyDescent="0.2">
      <c r="B4" s="20" t="s">
        <v>66</v>
      </c>
    </row>
    <row r="5" spans="2:11" x14ac:dyDescent="0.2">
      <c r="B5" s="16" t="s">
        <v>131</v>
      </c>
      <c r="E5" s="14"/>
    </row>
    <row r="7" spans="2:11" s="37" customFormat="1" ht="38.25" x14ac:dyDescent="0.2">
      <c r="B7" s="37" t="s">
        <v>6</v>
      </c>
      <c r="C7" s="37" t="s">
        <v>10</v>
      </c>
      <c r="E7" s="37" t="s">
        <v>7</v>
      </c>
      <c r="G7" s="55" t="s">
        <v>97</v>
      </c>
      <c r="H7" s="55" t="s">
        <v>98</v>
      </c>
      <c r="I7" s="55" t="s">
        <v>99</v>
      </c>
      <c r="J7" s="55" t="s">
        <v>100</v>
      </c>
      <c r="K7" s="55" t="s">
        <v>101</v>
      </c>
    </row>
    <row r="9" spans="2:11" s="37" customFormat="1" x14ac:dyDescent="0.2">
      <c r="B9" s="37" t="s">
        <v>130</v>
      </c>
    </row>
    <row r="10" spans="2:11" s="41" customFormat="1" x14ac:dyDescent="0.2"/>
    <row r="11" spans="2:11" s="41" customFormat="1" x14ac:dyDescent="0.2">
      <c r="B11" s="41" t="s">
        <v>107</v>
      </c>
      <c r="C11" s="41" t="s">
        <v>4</v>
      </c>
      <c r="E11" s="65">
        <f>Parameters!E17</f>
        <v>7.0000000000000001E-3</v>
      </c>
    </row>
    <row r="12" spans="2:11" x14ac:dyDescent="0.2">
      <c r="B12" s="41" t="s">
        <v>129</v>
      </c>
      <c r="C12" s="41" t="s">
        <v>4</v>
      </c>
      <c r="E12" s="65">
        <f>Parameters!E18</f>
        <v>-3.3000000000000002E-2</v>
      </c>
    </row>
    <row r="13" spans="2:11" s="41" customFormat="1" x14ac:dyDescent="0.2"/>
    <row r="14" spans="2:11" s="41" customFormat="1" x14ac:dyDescent="0.2">
      <c r="B14" s="40" t="s">
        <v>220</v>
      </c>
    </row>
    <row r="15" spans="2:11" s="41" customFormat="1" x14ac:dyDescent="0.2">
      <c r="B15" s="41" t="s">
        <v>85</v>
      </c>
      <c r="C15" s="41" t="s">
        <v>126</v>
      </c>
      <c r="G15" s="42">
        <f>'Volume-effect 2019'!G25</f>
        <v>-112446.94144068309</v>
      </c>
      <c r="H15" s="42">
        <f>'Volume-effect 2019'!H25</f>
        <v>-39605.684088310809</v>
      </c>
      <c r="I15" s="42">
        <f>'Volume-effect 2019'!I25</f>
        <v>-167624.88735754677</v>
      </c>
      <c r="J15" s="42">
        <f>'Volume-effect 2019'!J25</f>
        <v>-22986.216917769489</v>
      </c>
      <c r="K15" s="42">
        <f>'Volume-effect 2019'!K25</f>
        <v>-759.17236799548118</v>
      </c>
    </row>
    <row r="16" spans="2:11" s="41" customFormat="1" x14ac:dyDescent="0.2">
      <c r="B16" s="41" t="s">
        <v>105</v>
      </c>
      <c r="C16" s="41" t="s">
        <v>126</v>
      </c>
      <c r="G16" s="42">
        <f>'Profit sharing 2019'!G47</f>
        <v>138972.9261575616</v>
      </c>
      <c r="H16" s="42">
        <f>'Profit sharing 2019'!H47</f>
        <v>-214458.81014107529</v>
      </c>
      <c r="I16" s="42">
        <f>'Profit sharing 2019'!I47</f>
        <v>48290.120990178431</v>
      </c>
      <c r="J16" s="42">
        <f>'Profit sharing 2019'!J47</f>
        <v>114441.36339903652</v>
      </c>
      <c r="K16" s="42">
        <f>'Profit sharing 2019'!K47</f>
        <v>374.26344871958827</v>
      </c>
    </row>
    <row r="17" spans="2:11" s="41" customFormat="1" x14ac:dyDescent="0.2">
      <c r="B17" s="41" t="s">
        <v>106</v>
      </c>
      <c r="C17" s="41" t="s">
        <v>126</v>
      </c>
      <c r="G17" s="58"/>
      <c r="H17" s="42">
        <f>'Network loss 2019'!H30</f>
        <v>16120.948220953549</v>
      </c>
      <c r="I17" s="58"/>
      <c r="J17" s="42">
        <f>'Network loss 2019'!J30</f>
        <v>46465.830258065289</v>
      </c>
      <c r="K17" s="58"/>
    </row>
    <row r="18" spans="2:11" s="41" customFormat="1" x14ac:dyDescent="0.2">
      <c r="B18" s="41" t="s">
        <v>172</v>
      </c>
      <c r="C18" s="41" t="s">
        <v>219</v>
      </c>
      <c r="G18" s="58"/>
      <c r="H18" s="58"/>
      <c r="I18" s="42">
        <f>'Energy cost corr. (incl. calc.)'!I26</f>
        <v>-12270.092110045036</v>
      </c>
      <c r="J18" s="58"/>
      <c r="K18" s="58"/>
    </row>
    <row r="19" spans="2:11" s="7" customFormat="1" x14ac:dyDescent="0.2">
      <c r="G19" s="90"/>
      <c r="H19" s="90"/>
      <c r="I19" s="79"/>
      <c r="J19" s="90"/>
      <c r="K19" s="90"/>
    </row>
    <row r="20" spans="2:11" s="41" customFormat="1" x14ac:dyDescent="0.2"/>
    <row r="21" spans="2:11" s="37" customFormat="1" x14ac:dyDescent="0.2">
      <c r="B21" s="37" t="s">
        <v>221</v>
      </c>
    </row>
    <row r="22" spans="2:11" s="41" customFormat="1" x14ac:dyDescent="0.2">
      <c r="K22" s="81"/>
    </row>
    <row r="23" spans="2:11" s="41" customFormat="1" x14ac:dyDescent="0.2">
      <c r="B23" s="40" t="s">
        <v>220</v>
      </c>
    </row>
    <row r="24" spans="2:11" s="41" customFormat="1" x14ac:dyDescent="0.2">
      <c r="B24" s="41" t="s">
        <v>85</v>
      </c>
      <c r="C24" s="41" t="s">
        <v>132</v>
      </c>
      <c r="G24" s="43">
        <f>(1+$E$11)*(1+$E$12)*G15</f>
        <v>-109497.34571975251</v>
      </c>
      <c r="H24" s="43">
        <f t="shared" ref="H24:K24" si="0">(1+$E$11)*(1+$E$12)*H15</f>
        <v>-38566.78738899032</v>
      </c>
      <c r="I24" s="43">
        <f t="shared" si="0"/>
        <v>-163227.91893727094</v>
      </c>
      <c r="J24" s="43">
        <f t="shared" si="0"/>
        <v>-22383.265461799474</v>
      </c>
      <c r="K24" s="43">
        <f t="shared" si="0"/>
        <v>-739.25851761059164</v>
      </c>
    </row>
    <row r="25" spans="2:11" s="41" customFormat="1" x14ac:dyDescent="0.2">
      <c r="B25" s="41" t="s">
        <v>105</v>
      </c>
      <c r="C25" s="41" t="s">
        <v>132</v>
      </c>
      <c r="G25" s="43">
        <f>(1+$E$11)*(1+$E$12)*G16</f>
        <v>135327.52733152258</v>
      </c>
      <c r="H25" s="43">
        <f t="shared" ref="H25:K26" si="1">(1+$E$11)*(1+$E$12)*H16</f>
        <v>-208833.34109226472</v>
      </c>
      <c r="I25" s="43">
        <f t="shared" si="1"/>
        <v>47023.422826485054</v>
      </c>
      <c r="J25" s="43">
        <f t="shared" si="1"/>
        <v>111439.45199571639</v>
      </c>
      <c r="K25" s="43">
        <f t="shared" si="1"/>
        <v>364.44614419622468</v>
      </c>
    </row>
    <row r="26" spans="2:11" s="41" customFormat="1" x14ac:dyDescent="0.2">
      <c r="B26" s="41" t="s">
        <v>106</v>
      </c>
      <c r="C26" s="41" t="s">
        <v>132</v>
      </c>
      <c r="G26" s="53"/>
      <c r="H26" s="43">
        <f t="shared" si="1"/>
        <v>15698.079628169715</v>
      </c>
      <c r="I26" s="53"/>
      <c r="J26" s="43">
        <f t="shared" si="1"/>
        <v>45246.985064565975</v>
      </c>
      <c r="K26" s="53"/>
    </row>
    <row r="27" spans="2:11" s="41" customFormat="1" x14ac:dyDescent="0.2">
      <c r="B27" s="41" t="s">
        <v>125</v>
      </c>
      <c r="C27" s="41" t="s">
        <v>132</v>
      </c>
      <c r="G27" s="53"/>
      <c r="H27" s="53"/>
      <c r="I27" s="43">
        <f>(1+$E$12)*I18</f>
        <v>-11865.179070413549</v>
      </c>
      <c r="J27" s="53"/>
      <c r="K27" s="53"/>
    </row>
    <row r="28" spans="2:11" s="41" customFormat="1" x14ac:dyDescent="0.2">
      <c r="B28" s="7"/>
    </row>
    <row r="29" spans="2:11" s="41" customFormat="1" x14ac:dyDescent="0.2"/>
    <row r="30" spans="2:11" s="41" customFormat="1" x14ac:dyDescent="0.2">
      <c r="B30" s="41" t="s">
        <v>116</v>
      </c>
    </row>
    <row r="31" spans="2:11" s="41" customFormat="1" x14ac:dyDescent="0.2"/>
    <row r="32" spans="2:11" s="41" customFormat="1" x14ac:dyDescent="0.2"/>
    <row r="33" s="41" customFormat="1" x14ac:dyDescent="0.2"/>
    <row r="34" s="41" customFormat="1" x14ac:dyDescent="0.2"/>
    <row r="35" s="41" customFormat="1" x14ac:dyDescent="0.2"/>
    <row r="36" s="41" customFormat="1" x14ac:dyDescent="0.2"/>
    <row r="37" s="41" customFormat="1" x14ac:dyDescent="0.2"/>
    <row r="38" s="41" customFormat="1" x14ac:dyDescent="0.2"/>
    <row r="39" s="41" customFormat="1" x14ac:dyDescent="0.2"/>
    <row r="40" s="41" customFormat="1" x14ac:dyDescent="0.2"/>
    <row r="41" s="41" customFormat="1" x14ac:dyDescent="0.2"/>
    <row r="42" s="41" customFormat="1" x14ac:dyDescent="0.2"/>
    <row r="43" s="41" customFormat="1" x14ac:dyDescent="0.2"/>
    <row r="44" s="41" customFormat="1" x14ac:dyDescent="0.2"/>
    <row r="45" s="41" customFormat="1" x14ac:dyDescent="0.2"/>
    <row r="46" s="41" customFormat="1" x14ac:dyDescent="0.2"/>
    <row r="47" s="41" customFormat="1" x14ac:dyDescent="0.2"/>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
    <tabColor theme="0" tint="-4.9989318521683403E-2"/>
  </sheetPr>
  <dimension ref="A1"/>
  <sheetViews>
    <sheetView showGridLines="0" zoomScale="85" zoomScaleNormal="85" workbookViewId="0"/>
  </sheetViews>
  <sheetFormatPr defaultRowHeight="12.75" x14ac:dyDescent="0.2"/>
  <cols>
    <col min="1" max="16384" width="9.140625" style="15"/>
  </cols>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sheetPr>
  <dimension ref="B2:O41"/>
  <sheetViews>
    <sheetView showGridLines="0" zoomScale="85" zoomScaleNormal="85" workbookViewId="0">
      <pane xSplit="3" ySplit="13" topLeftCell="D14" activePane="bottomRight" state="frozen"/>
      <selection pane="topRight" activeCell="G1" sqref="G1"/>
      <selection pane="bottomLeft" activeCell="A14" sqref="A14"/>
      <selection pane="bottomRight" activeCell="D14" sqref="D14"/>
    </sheetView>
  </sheetViews>
  <sheetFormatPr defaultRowHeight="12.75" x14ac:dyDescent="0.2"/>
  <cols>
    <col min="1" max="1" width="4" style="41" customWidth="1"/>
    <col min="2" max="2" width="50.7109375" style="41" customWidth="1"/>
    <col min="3" max="3" width="13.7109375" style="41" customWidth="1"/>
    <col min="4" max="4" width="2.7109375" style="41" customWidth="1"/>
    <col min="5" max="5" width="13.7109375" style="41" customWidth="1"/>
    <col min="6" max="6" width="2.7109375" style="41" customWidth="1"/>
    <col min="7" max="7" width="13.7109375" style="41" customWidth="1"/>
    <col min="8" max="11" width="13.42578125" style="41" customWidth="1"/>
    <col min="12" max="12" width="2.7109375" style="41" customWidth="1"/>
    <col min="13" max="13" width="17.140625" style="41" customWidth="1"/>
    <col min="14" max="14" width="2.7109375" style="41" customWidth="1"/>
    <col min="15" max="15" width="13.7109375" style="41" customWidth="1"/>
    <col min="16" max="16" width="2.7109375" style="41" customWidth="1"/>
    <col min="17" max="31" width="13.7109375" style="41" customWidth="1"/>
    <col min="32" max="16384" width="9.140625" style="41"/>
  </cols>
  <sheetData>
    <row r="2" spans="2:15" s="13" customFormat="1" ht="18" x14ac:dyDescent="0.2">
      <c r="B2" s="13" t="s">
        <v>114</v>
      </c>
    </row>
    <row r="4" spans="2:15" ht="15" x14ac:dyDescent="0.2">
      <c r="B4" s="20" t="s">
        <v>76</v>
      </c>
      <c r="L4" s="54"/>
    </row>
    <row r="5" spans="2:15" x14ac:dyDescent="0.2">
      <c r="B5" s="16" t="s">
        <v>216</v>
      </c>
      <c r="E5" s="14"/>
    </row>
    <row r="6" spans="2:15" x14ac:dyDescent="0.2">
      <c r="B6" s="16"/>
      <c r="E6" s="14"/>
    </row>
    <row r="7" spans="2:15" x14ac:dyDescent="0.2">
      <c r="B7" s="21" t="s">
        <v>33</v>
      </c>
      <c r="E7" s="14"/>
    </row>
    <row r="8" spans="2:15" x14ac:dyDescent="0.2">
      <c r="B8" s="16" t="s">
        <v>77</v>
      </c>
    </row>
    <row r="9" spans="2:15" x14ac:dyDescent="0.2">
      <c r="B9" s="16" t="s">
        <v>86</v>
      </c>
    </row>
    <row r="11" spans="2:15" x14ac:dyDescent="0.2">
      <c r="B11" s="2" t="s">
        <v>255</v>
      </c>
    </row>
    <row r="13" spans="2:15" s="37" customFormat="1" ht="38.25" x14ac:dyDescent="0.2">
      <c r="B13" s="37" t="s">
        <v>36</v>
      </c>
      <c r="C13" s="37" t="s">
        <v>70</v>
      </c>
      <c r="E13" s="37" t="s">
        <v>7</v>
      </c>
      <c r="G13" s="55" t="s">
        <v>97</v>
      </c>
      <c r="H13" s="55" t="s">
        <v>98</v>
      </c>
      <c r="I13" s="55" t="s">
        <v>99</v>
      </c>
      <c r="J13" s="55" t="s">
        <v>100</v>
      </c>
      <c r="K13" s="55" t="s">
        <v>101</v>
      </c>
      <c r="M13" s="37" t="s">
        <v>8</v>
      </c>
      <c r="O13" s="37" t="s">
        <v>78</v>
      </c>
    </row>
    <row r="15" spans="2:15" s="37" customFormat="1" x14ac:dyDescent="0.2">
      <c r="B15" s="37" t="s">
        <v>79</v>
      </c>
    </row>
    <row r="17" spans="2:15" x14ac:dyDescent="0.2">
      <c r="B17" s="41" t="s">
        <v>107</v>
      </c>
      <c r="C17" s="41" t="s">
        <v>4</v>
      </c>
      <c r="E17" s="63">
        <v>7.0000000000000001E-3</v>
      </c>
      <c r="M17" s="41" t="s">
        <v>113</v>
      </c>
    </row>
    <row r="18" spans="2:15" x14ac:dyDescent="0.2">
      <c r="B18" s="41" t="s">
        <v>129</v>
      </c>
      <c r="C18" s="41" t="s">
        <v>4</v>
      </c>
      <c r="E18" s="63">
        <v>-3.3000000000000002E-2</v>
      </c>
      <c r="M18" s="41" t="s">
        <v>113</v>
      </c>
    </row>
    <row r="20" spans="2:15" s="37" customFormat="1" x14ac:dyDescent="0.2">
      <c r="B20" s="37" t="s">
        <v>80</v>
      </c>
      <c r="E20" s="55"/>
      <c r="L20" s="55"/>
    </row>
    <row r="22" spans="2:15" x14ac:dyDescent="0.2">
      <c r="B22" s="41" t="s">
        <v>133</v>
      </c>
      <c r="C22" s="41" t="s">
        <v>4</v>
      </c>
      <c r="E22" s="29">
        <v>6.5799999999999997E-2</v>
      </c>
      <c r="M22" s="46" t="s">
        <v>81</v>
      </c>
    </row>
    <row r="24" spans="2:15" s="37" customFormat="1" x14ac:dyDescent="0.2">
      <c r="B24" s="37" t="s">
        <v>17</v>
      </c>
    </row>
    <row r="26" spans="2:15" x14ac:dyDescent="0.2">
      <c r="B26" s="41" t="s">
        <v>67</v>
      </c>
      <c r="C26" s="41" t="s">
        <v>4</v>
      </c>
      <c r="E26" s="64">
        <v>0.5</v>
      </c>
      <c r="M26" s="41" t="s">
        <v>87</v>
      </c>
    </row>
    <row r="28" spans="2:15" s="37" customFormat="1" x14ac:dyDescent="0.2">
      <c r="B28" s="37" t="s">
        <v>92</v>
      </c>
    </row>
    <row r="30" spans="2:15" x14ac:dyDescent="0.2">
      <c r="B30" s="41" t="s">
        <v>134</v>
      </c>
      <c r="C30" s="41" t="s">
        <v>4</v>
      </c>
      <c r="G30" s="93">
        <v>0.19410125059831115</v>
      </c>
      <c r="H30" s="93">
        <v>0.27580884597893079</v>
      </c>
      <c r="I30" s="93">
        <v>0.12889013723645187</v>
      </c>
      <c r="J30" s="93">
        <v>0.30232576550308171</v>
      </c>
      <c r="K30" s="93">
        <v>0.30232576550308171</v>
      </c>
      <c r="O30" s="41" t="s">
        <v>108</v>
      </c>
    </row>
    <row r="31" spans="2:15" x14ac:dyDescent="0.2">
      <c r="B31" s="41" t="s">
        <v>135</v>
      </c>
      <c r="C31" s="41" t="s">
        <v>4</v>
      </c>
      <c r="G31" s="93">
        <v>0</v>
      </c>
      <c r="H31" s="93">
        <v>0.5</v>
      </c>
      <c r="I31" s="93">
        <v>0</v>
      </c>
      <c r="J31" s="93">
        <v>0.5</v>
      </c>
      <c r="K31" s="93">
        <v>0.5</v>
      </c>
      <c r="O31" s="41" t="s">
        <v>109</v>
      </c>
    </row>
    <row r="33" spans="2:13" s="37" customFormat="1" x14ac:dyDescent="0.2">
      <c r="B33" s="37" t="s">
        <v>103</v>
      </c>
    </row>
    <row r="35" spans="2:13" x14ac:dyDescent="0.2">
      <c r="B35" s="40" t="s">
        <v>136</v>
      </c>
    </row>
    <row r="36" spans="2:13" x14ac:dyDescent="0.2">
      <c r="B36" s="16" t="s">
        <v>137</v>
      </c>
      <c r="C36" s="41" t="s">
        <v>95</v>
      </c>
      <c r="E36" s="73">
        <v>120285.65000000001</v>
      </c>
      <c r="M36" s="41" t="s">
        <v>140</v>
      </c>
    </row>
    <row r="37" spans="2:13" x14ac:dyDescent="0.2">
      <c r="B37" s="16" t="s">
        <v>138</v>
      </c>
      <c r="C37" s="41" t="s">
        <v>95</v>
      </c>
      <c r="E37" s="73">
        <v>1928.15</v>
      </c>
      <c r="M37" s="41" t="s">
        <v>140</v>
      </c>
    </row>
    <row r="38" spans="2:13" x14ac:dyDescent="0.2">
      <c r="B38" s="41" t="s">
        <v>139</v>
      </c>
      <c r="C38" s="41" t="s">
        <v>4</v>
      </c>
      <c r="E38" s="74">
        <f>E37/(E36+E37)</f>
        <v>1.5776859896345585E-2</v>
      </c>
    </row>
    <row r="41" spans="2:13" x14ac:dyDescent="0.2">
      <c r="B41" s="41" t="s">
        <v>116</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
    <tabColor rgb="FFCCFFCC"/>
  </sheetPr>
  <dimension ref="A2:O33"/>
  <sheetViews>
    <sheetView showGridLines="0" zoomScale="85" zoomScaleNormal="85" workbookViewId="0">
      <pane xSplit="3" ySplit="8" topLeftCell="D9" activePane="bottomRight" state="frozen"/>
      <selection pane="topRight" activeCell="D1" sqref="D1"/>
      <selection pane="bottomLeft" activeCell="A8" sqref="A8"/>
      <selection pane="bottomRight" activeCell="D9" sqref="D9"/>
    </sheetView>
  </sheetViews>
  <sheetFormatPr defaultRowHeight="12.75" x14ac:dyDescent="0.2"/>
  <cols>
    <col min="1" max="1" width="4.5703125" style="41" customWidth="1"/>
    <col min="2" max="2" width="50.7109375" style="1" customWidth="1"/>
    <col min="3" max="3" width="13.7109375" style="1" customWidth="1"/>
    <col min="4" max="4" width="2.7109375" style="1" customWidth="1"/>
    <col min="5" max="5" width="13.7109375" style="41" customWidth="1"/>
    <col min="6" max="6" width="2.7109375" style="41" customWidth="1"/>
    <col min="7" max="7" width="13.7109375" style="41" customWidth="1"/>
    <col min="8" max="8" width="13.7109375" style="1" customWidth="1"/>
    <col min="9" max="11" width="13.7109375" style="41" customWidth="1"/>
    <col min="12" max="12" width="2.7109375" style="1" customWidth="1"/>
    <col min="13" max="13" width="30.7109375" style="1" customWidth="1"/>
    <col min="14" max="14" width="2.7109375" style="1" customWidth="1"/>
    <col min="15" max="15" width="30.7109375" style="1" customWidth="1"/>
    <col min="16" max="16" width="2.7109375" style="1" customWidth="1"/>
    <col min="17" max="31" width="13.7109375" style="1" customWidth="1"/>
    <col min="32" max="16384" width="9.140625" style="1"/>
  </cols>
  <sheetData>
    <row r="2" spans="1:15" s="13" customFormat="1" ht="18" x14ac:dyDescent="0.2">
      <c r="B2" s="13" t="s">
        <v>142</v>
      </c>
    </row>
    <row r="4" spans="1:15" x14ac:dyDescent="0.2">
      <c r="B4" s="20" t="s">
        <v>2</v>
      </c>
    </row>
    <row r="5" spans="1:15" x14ac:dyDescent="0.2">
      <c r="B5" s="16" t="s">
        <v>217</v>
      </c>
      <c r="H5" s="14"/>
      <c r="I5" s="14"/>
      <c r="J5" s="14"/>
      <c r="K5" s="14"/>
    </row>
    <row r="6" spans="1:15" s="41" customFormat="1" x14ac:dyDescent="0.2">
      <c r="B6" s="16" t="s">
        <v>93</v>
      </c>
      <c r="H6" s="14"/>
      <c r="I6" s="14"/>
      <c r="J6" s="14"/>
      <c r="K6" s="14"/>
    </row>
    <row r="8" spans="1:15" s="6" customFormat="1" ht="38.25" x14ac:dyDescent="0.2">
      <c r="A8" s="37"/>
      <c r="B8" s="6" t="s">
        <v>6</v>
      </c>
      <c r="C8" s="6" t="s">
        <v>10</v>
      </c>
      <c r="E8" s="6" t="s">
        <v>7</v>
      </c>
      <c r="F8" s="37"/>
      <c r="G8" s="55" t="s">
        <v>97</v>
      </c>
      <c r="H8" s="55" t="s">
        <v>98</v>
      </c>
      <c r="I8" s="55" t="s">
        <v>99</v>
      </c>
      <c r="J8" s="55" t="s">
        <v>100</v>
      </c>
      <c r="K8" s="55" t="s">
        <v>101</v>
      </c>
      <c r="M8" s="6" t="s">
        <v>8</v>
      </c>
      <c r="O8" s="6" t="s">
        <v>9</v>
      </c>
    </row>
    <row r="10" spans="1:15" s="6" customFormat="1" x14ac:dyDescent="0.2">
      <c r="A10" s="37"/>
      <c r="B10" s="6" t="s">
        <v>143</v>
      </c>
      <c r="E10" s="37"/>
      <c r="F10" s="37"/>
      <c r="G10" s="37"/>
      <c r="I10" s="37"/>
      <c r="J10" s="37"/>
      <c r="K10" s="37"/>
    </row>
    <row r="12" spans="1:15" x14ac:dyDescent="0.2">
      <c r="B12" s="20" t="s">
        <v>3</v>
      </c>
    </row>
    <row r="13" spans="1:15" x14ac:dyDescent="0.2">
      <c r="B13" s="1" t="s">
        <v>232</v>
      </c>
      <c r="C13" s="41" t="s">
        <v>126</v>
      </c>
      <c r="G13" s="30">
        <v>739323.10015756241</v>
      </c>
      <c r="H13" s="30">
        <v>260621.08376330388</v>
      </c>
      <c r="I13" s="30">
        <v>76421.804058798647</v>
      </c>
      <c r="J13" s="30">
        <v>64814.079038659009</v>
      </c>
      <c r="K13" s="30">
        <v>1322.7363069114083</v>
      </c>
      <c r="M13" s="41" t="s">
        <v>231</v>
      </c>
    </row>
    <row r="14" spans="1:15" x14ac:dyDescent="0.2">
      <c r="G14" s="80"/>
      <c r="H14" s="80"/>
      <c r="I14" s="80"/>
      <c r="J14" s="80"/>
      <c r="K14" s="80"/>
    </row>
    <row r="15" spans="1:15" x14ac:dyDescent="0.2">
      <c r="B15" s="20" t="s">
        <v>5</v>
      </c>
      <c r="G15" s="80"/>
      <c r="H15" s="80"/>
      <c r="I15" s="80"/>
      <c r="J15" s="80"/>
      <c r="K15" s="80"/>
    </row>
    <row r="16" spans="1:15" x14ac:dyDescent="0.2">
      <c r="B16" s="1" t="s">
        <v>144</v>
      </c>
      <c r="C16" s="1" t="s">
        <v>126</v>
      </c>
      <c r="G16" s="30">
        <v>1450492.4749971686</v>
      </c>
      <c r="H16" s="30">
        <v>1104635.6579862155</v>
      </c>
      <c r="I16" s="30">
        <v>375857.58409025898</v>
      </c>
      <c r="J16" s="30">
        <v>604067.65291372337</v>
      </c>
      <c r="K16" s="30">
        <v>12327.911283953539</v>
      </c>
      <c r="M16" s="41" t="s">
        <v>227</v>
      </c>
    </row>
    <row r="17" spans="1:13" x14ac:dyDescent="0.2">
      <c r="B17" s="1" t="s">
        <v>110</v>
      </c>
      <c r="C17" s="1" t="s">
        <v>126</v>
      </c>
      <c r="G17" s="30">
        <v>2600.3475137250634</v>
      </c>
      <c r="H17" s="30">
        <v>215525.5205693717</v>
      </c>
      <c r="I17" s="30">
        <v>266.58862293230663</v>
      </c>
      <c r="J17" s="30">
        <v>35087.986719880646</v>
      </c>
      <c r="K17" s="30">
        <v>716.08136163021732</v>
      </c>
      <c r="M17" s="41" t="s">
        <v>228</v>
      </c>
    </row>
    <row r="18" spans="1:13" s="41" customFormat="1" x14ac:dyDescent="0.2">
      <c r="B18" s="41" t="s">
        <v>102</v>
      </c>
      <c r="C18" s="41" t="s">
        <v>126</v>
      </c>
      <c r="G18" s="58"/>
      <c r="H18" s="30">
        <v>48249.659038115053</v>
      </c>
      <c r="I18" s="58"/>
      <c r="J18" s="30">
        <v>12218.725016449018</v>
      </c>
      <c r="K18" s="30">
        <v>249.3617350295718</v>
      </c>
      <c r="M18" s="41" t="s">
        <v>229</v>
      </c>
    </row>
    <row r="20" spans="1:13" s="6" customFormat="1" x14ac:dyDescent="0.2">
      <c r="A20" s="37"/>
      <c r="B20" s="44" t="s">
        <v>145</v>
      </c>
      <c r="E20" s="37"/>
      <c r="F20" s="37"/>
      <c r="G20" s="37"/>
      <c r="I20" s="37"/>
      <c r="J20" s="37"/>
      <c r="K20" s="37"/>
    </row>
    <row r="22" spans="1:13" s="41" customFormat="1" x14ac:dyDescent="0.2">
      <c r="B22" s="40" t="s">
        <v>69</v>
      </c>
    </row>
    <row r="23" spans="1:13" s="21" customFormat="1" x14ac:dyDescent="0.2">
      <c r="A23" s="41"/>
      <c r="B23" s="21" t="s">
        <v>70</v>
      </c>
      <c r="C23" s="21" t="s">
        <v>71</v>
      </c>
      <c r="G23" s="21" t="s">
        <v>11</v>
      </c>
      <c r="H23" s="21" t="s">
        <v>72</v>
      </c>
      <c r="I23" s="21" t="s">
        <v>95</v>
      </c>
      <c r="J23" s="21" t="s">
        <v>94</v>
      </c>
      <c r="K23" s="21" t="s">
        <v>95</v>
      </c>
    </row>
    <row r="24" spans="1:13" s="41" customFormat="1" x14ac:dyDescent="0.2">
      <c r="B24" s="41" t="s">
        <v>146</v>
      </c>
      <c r="C24" s="41" t="s">
        <v>71</v>
      </c>
      <c r="G24" s="30">
        <v>14144390.099999996</v>
      </c>
      <c r="H24" s="30">
        <v>15608.599999999999</v>
      </c>
      <c r="I24" s="30">
        <v>88686.474000000002</v>
      </c>
      <c r="J24" s="30">
        <v>773</v>
      </c>
      <c r="K24" s="30">
        <v>1773.72948</v>
      </c>
      <c r="M24" s="41" t="s">
        <v>233</v>
      </c>
    </row>
    <row r="25" spans="1:13" s="41" customFormat="1" x14ac:dyDescent="0.2"/>
    <row r="26" spans="1:13" s="41" customFormat="1" x14ac:dyDescent="0.2">
      <c r="B26" s="41" t="s">
        <v>147</v>
      </c>
      <c r="C26" s="41" t="s">
        <v>4</v>
      </c>
      <c r="G26" s="53"/>
      <c r="H26" s="29">
        <v>0.1234</v>
      </c>
      <c r="I26" s="53"/>
      <c r="J26" s="29">
        <v>0.14000000000000001</v>
      </c>
      <c r="K26" s="53"/>
      <c r="M26" s="41" t="s">
        <v>115</v>
      </c>
    </row>
    <row r="28" spans="1:13" x14ac:dyDescent="0.2">
      <c r="B28" s="1" t="s">
        <v>148</v>
      </c>
      <c r="C28" s="1" t="s">
        <v>12</v>
      </c>
      <c r="G28" s="36">
        <v>0.26330547591159242</v>
      </c>
      <c r="H28" s="53"/>
      <c r="I28" s="53"/>
      <c r="J28" s="53"/>
      <c r="K28" s="53"/>
      <c r="M28" s="41" t="s">
        <v>235</v>
      </c>
    </row>
    <row r="29" spans="1:13" x14ac:dyDescent="0.2">
      <c r="B29" s="41" t="s">
        <v>149</v>
      </c>
      <c r="C29" s="41" t="s">
        <v>12</v>
      </c>
      <c r="G29" s="36">
        <v>0.26493369294551833</v>
      </c>
      <c r="H29" s="53"/>
      <c r="I29" s="53"/>
      <c r="J29" s="53"/>
      <c r="K29" s="53"/>
      <c r="M29" s="41" t="s">
        <v>243</v>
      </c>
    </row>
    <row r="30" spans="1:13" x14ac:dyDescent="0.2">
      <c r="B30" s="1" t="s">
        <v>150</v>
      </c>
      <c r="C30" s="1" t="s">
        <v>96</v>
      </c>
      <c r="G30" s="53"/>
      <c r="H30" s="53"/>
      <c r="I30" s="36">
        <v>6.7721909002364606</v>
      </c>
      <c r="J30" s="53"/>
      <c r="K30" s="53"/>
      <c r="M30" s="41" t="s">
        <v>234</v>
      </c>
    </row>
    <row r="33" spans="2:2" x14ac:dyDescent="0.2">
      <c r="B33" s="41" t="s">
        <v>116</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
    <tabColor rgb="FFCCFFCC"/>
  </sheetPr>
  <dimension ref="A2:O48"/>
  <sheetViews>
    <sheetView showGridLines="0" zoomScale="85" zoomScaleNormal="85" workbookViewId="0">
      <pane xSplit="3" ySplit="10" topLeftCell="D11" activePane="bottomRight" state="frozen"/>
      <selection pane="topRight" activeCell="D1" sqref="D1"/>
      <selection pane="bottomLeft" activeCell="A8" sqref="A8"/>
      <selection pane="bottomRight" activeCell="D11" sqref="D11"/>
    </sheetView>
  </sheetViews>
  <sheetFormatPr defaultRowHeight="12.75" x14ac:dyDescent="0.2"/>
  <cols>
    <col min="1" max="1" width="4.5703125" style="41" customWidth="1"/>
    <col min="2" max="2" width="50.7109375" style="1" customWidth="1"/>
    <col min="3" max="3" width="13.7109375" style="1" customWidth="1"/>
    <col min="4" max="4" width="2.7109375" style="41" customWidth="1"/>
    <col min="5" max="5" width="13.7109375" style="41" customWidth="1"/>
    <col min="6" max="6" width="2.7109375" style="41" customWidth="1"/>
    <col min="7" max="8" width="13.7109375" style="1" customWidth="1"/>
    <col min="9" max="11" width="13.7109375" style="41" customWidth="1"/>
    <col min="12" max="12" width="2.7109375" style="1" customWidth="1"/>
    <col min="13" max="13" width="30.7109375" style="1" customWidth="1"/>
    <col min="14" max="14" width="2.7109375" style="1" customWidth="1"/>
    <col min="15" max="15" width="30.7109375" style="1" customWidth="1"/>
    <col min="16" max="16" width="2.7109375" style="1" customWidth="1"/>
    <col min="17" max="31" width="13.7109375" style="1" customWidth="1"/>
    <col min="32" max="16384" width="9.140625" style="1"/>
  </cols>
  <sheetData>
    <row r="2" spans="1:15" s="13" customFormat="1" ht="18" x14ac:dyDescent="0.2">
      <c r="B2" s="13" t="s">
        <v>151</v>
      </c>
    </row>
    <row r="4" spans="1:15" x14ac:dyDescent="0.2">
      <c r="B4" s="20" t="s">
        <v>2</v>
      </c>
    </row>
    <row r="5" spans="1:15" x14ac:dyDescent="0.2">
      <c r="B5" s="16" t="s">
        <v>152</v>
      </c>
      <c r="H5" s="14"/>
      <c r="I5" s="14"/>
      <c r="J5" s="14"/>
      <c r="K5" s="14"/>
    </row>
    <row r="6" spans="1:15" s="41" customFormat="1" x14ac:dyDescent="0.2">
      <c r="B6" s="16"/>
      <c r="H6" s="14"/>
      <c r="I6" s="14"/>
      <c r="J6" s="14"/>
      <c r="K6" s="14"/>
    </row>
    <row r="7" spans="1:15" s="41" customFormat="1" x14ac:dyDescent="0.2">
      <c r="B7" s="21" t="s">
        <v>33</v>
      </c>
      <c r="H7" s="14"/>
      <c r="I7" s="14"/>
      <c r="J7" s="14"/>
      <c r="K7" s="14"/>
    </row>
    <row r="8" spans="1:15" s="41" customFormat="1" x14ac:dyDescent="0.2">
      <c r="B8" s="21" t="s">
        <v>275</v>
      </c>
      <c r="H8" s="14"/>
      <c r="I8" s="14"/>
      <c r="J8" s="14"/>
      <c r="K8" s="14"/>
    </row>
    <row r="9" spans="1:15" s="41" customFormat="1" x14ac:dyDescent="0.2"/>
    <row r="10" spans="1:15" s="6" customFormat="1" ht="38.25" x14ac:dyDescent="0.2">
      <c r="A10" s="37"/>
      <c r="B10" s="6" t="s">
        <v>6</v>
      </c>
      <c r="C10" s="6" t="s">
        <v>10</v>
      </c>
      <c r="D10" s="37"/>
      <c r="E10" s="37" t="s">
        <v>7</v>
      </c>
      <c r="F10" s="37"/>
      <c r="G10" s="55" t="s">
        <v>97</v>
      </c>
      <c r="H10" s="55" t="s">
        <v>98</v>
      </c>
      <c r="I10" s="55" t="s">
        <v>99</v>
      </c>
      <c r="J10" s="55" t="s">
        <v>100</v>
      </c>
      <c r="K10" s="55" t="s">
        <v>101</v>
      </c>
      <c r="M10" s="6" t="s">
        <v>8</v>
      </c>
      <c r="O10" s="6" t="s">
        <v>9</v>
      </c>
    </row>
    <row r="11" spans="1:15" x14ac:dyDescent="0.2">
      <c r="D11" s="67"/>
    </row>
    <row r="12" spans="1:15" s="6" customFormat="1" x14ac:dyDescent="0.2">
      <c r="A12" s="37"/>
      <c r="B12" s="6" t="s">
        <v>153</v>
      </c>
      <c r="D12" s="37"/>
      <c r="E12" s="37"/>
      <c r="F12" s="37"/>
      <c r="I12" s="37"/>
      <c r="J12" s="37"/>
      <c r="K12" s="37"/>
    </row>
    <row r="14" spans="1:15" x14ac:dyDescent="0.2">
      <c r="B14" s="20" t="s">
        <v>3</v>
      </c>
    </row>
    <row r="15" spans="1:15" x14ac:dyDescent="0.2">
      <c r="B15" s="41" t="s">
        <v>154</v>
      </c>
      <c r="C15" s="41" t="s">
        <v>126</v>
      </c>
      <c r="G15" s="91">
        <v>2949735.6692770356</v>
      </c>
      <c r="H15" s="91">
        <v>1412121.1811824446</v>
      </c>
      <c r="I15" s="91">
        <v>390276.50393205974</v>
      </c>
      <c r="J15" s="91">
        <v>672111.93690272106</v>
      </c>
      <c r="K15" s="75"/>
      <c r="M15" s="1" t="s">
        <v>157</v>
      </c>
    </row>
    <row r="16" spans="1:15" x14ac:dyDescent="0.2">
      <c r="B16" s="1" t="s">
        <v>155</v>
      </c>
      <c r="C16" s="41" t="s">
        <v>126</v>
      </c>
      <c r="G16" s="92">
        <v>321792.80314421421</v>
      </c>
      <c r="H16" s="92">
        <v>145818.62407679949</v>
      </c>
      <c r="I16" s="92">
        <v>44626.098002628001</v>
      </c>
      <c r="J16" s="92">
        <v>70027.271160551521</v>
      </c>
      <c r="K16" s="76"/>
      <c r="M16" s="1" t="s">
        <v>157</v>
      </c>
    </row>
    <row r="17" spans="1:15" x14ac:dyDescent="0.2">
      <c r="G17" s="80"/>
      <c r="H17" s="80"/>
      <c r="I17" s="80"/>
      <c r="J17" s="80"/>
    </row>
    <row r="18" spans="1:15" x14ac:dyDescent="0.2">
      <c r="B18" s="20" t="s">
        <v>5</v>
      </c>
      <c r="G18" s="80"/>
      <c r="H18" s="80"/>
      <c r="I18" s="80"/>
      <c r="J18" s="80"/>
      <c r="M18" s="14"/>
    </row>
    <row r="19" spans="1:15" x14ac:dyDescent="0.2">
      <c r="B19" s="1" t="s">
        <v>276</v>
      </c>
      <c r="C19" s="1" t="s">
        <v>126</v>
      </c>
      <c r="G19" s="91">
        <v>1966220.8857719731</v>
      </c>
      <c r="H19" s="91">
        <v>672506.51434126054</v>
      </c>
      <c r="I19" s="91">
        <v>498513.18691059848</v>
      </c>
      <c r="J19" s="91">
        <v>821928.27297616727</v>
      </c>
      <c r="K19" s="75"/>
      <c r="M19" s="16" t="s">
        <v>158</v>
      </c>
      <c r="O19" s="19"/>
    </row>
    <row r="20" spans="1:15" x14ac:dyDescent="0.2">
      <c r="B20" s="1" t="s">
        <v>156</v>
      </c>
      <c r="C20" s="1" t="s">
        <v>126</v>
      </c>
      <c r="G20" s="91">
        <v>332.40516183827208</v>
      </c>
      <c r="H20" s="91">
        <v>116427.32801930938</v>
      </c>
      <c r="I20" s="91">
        <v>104.75536367377158</v>
      </c>
      <c r="J20" s="91">
        <v>28454.091455178568</v>
      </c>
      <c r="K20" s="76"/>
      <c r="M20" s="16" t="s">
        <v>158</v>
      </c>
      <c r="O20" s="41"/>
    </row>
    <row r="21" spans="1:15" s="41" customFormat="1" x14ac:dyDescent="0.2">
      <c r="B21" s="41" t="s">
        <v>277</v>
      </c>
      <c r="C21" s="41" t="s">
        <v>126</v>
      </c>
      <c r="G21" s="38">
        <f>G19-G20</f>
        <v>1965888.4806101348</v>
      </c>
      <c r="H21" s="38">
        <f>H19-H20</f>
        <v>556079.18632195122</v>
      </c>
      <c r="I21" s="38">
        <f>I19-I20</f>
        <v>498408.43154692469</v>
      </c>
      <c r="J21" s="38">
        <f>J19-J20</f>
        <v>793474.1815209887</v>
      </c>
      <c r="K21" s="76"/>
      <c r="M21" s="16"/>
    </row>
    <row r="23" spans="1:15" s="6" customFormat="1" x14ac:dyDescent="0.2">
      <c r="A23" s="37"/>
      <c r="B23" s="6" t="s">
        <v>159</v>
      </c>
      <c r="D23" s="37"/>
      <c r="E23" s="37"/>
      <c r="F23" s="37"/>
      <c r="I23" s="37"/>
      <c r="J23" s="37"/>
      <c r="K23" s="37"/>
    </row>
    <row r="25" spans="1:15" s="41" customFormat="1" x14ac:dyDescent="0.2">
      <c r="B25" s="40" t="s">
        <v>69</v>
      </c>
    </row>
    <row r="26" spans="1:15" s="21" customFormat="1" x14ac:dyDescent="0.2">
      <c r="A26" s="41"/>
      <c r="B26" s="21" t="s">
        <v>70</v>
      </c>
      <c r="C26" s="21" t="s">
        <v>71</v>
      </c>
      <c r="G26" s="21" t="s">
        <v>11</v>
      </c>
      <c r="H26" s="21" t="s">
        <v>72</v>
      </c>
      <c r="I26" s="21" t="s">
        <v>95</v>
      </c>
      <c r="J26" s="21" t="s">
        <v>94</v>
      </c>
      <c r="K26" s="21" t="s">
        <v>95</v>
      </c>
    </row>
    <row r="27" spans="1:15" s="41" customFormat="1" x14ac:dyDescent="0.2">
      <c r="B27" s="41" t="s">
        <v>160</v>
      </c>
      <c r="C27" s="41" t="s">
        <v>71</v>
      </c>
      <c r="G27" s="30">
        <v>14979000</v>
      </c>
      <c r="H27" s="30">
        <v>16505.24666666667</v>
      </c>
      <c r="I27" s="30">
        <v>125523</v>
      </c>
      <c r="J27" s="30">
        <v>838.41666666666663</v>
      </c>
      <c r="K27" s="82">
        <f>Parameters!E37</f>
        <v>1928.15</v>
      </c>
      <c r="M27" s="41" t="s">
        <v>162</v>
      </c>
    </row>
    <row r="28" spans="1:15" s="41" customFormat="1" x14ac:dyDescent="0.2">
      <c r="M28" s="16"/>
    </row>
    <row r="29" spans="1:15" s="41" customFormat="1" x14ac:dyDescent="0.2">
      <c r="B29" s="41" t="s">
        <v>161</v>
      </c>
      <c r="C29" s="41" t="s">
        <v>4</v>
      </c>
      <c r="G29" s="53"/>
      <c r="H29" s="29">
        <v>0.13154961612924801</v>
      </c>
      <c r="I29" s="53"/>
      <c r="J29" s="29">
        <v>0.249322912932291</v>
      </c>
      <c r="K29" s="53"/>
      <c r="M29" s="41" t="s">
        <v>163</v>
      </c>
    </row>
    <row r="30" spans="1:15" s="41" customFormat="1" x14ac:dyDescent="0.2"/>
    <row r="31" spans="1:15" s="37" customFormat="1" x14ac:dyDescent="0.2">
      <c r="B31" s="37" t="s">
        <v>256</v>
      </c>
    </row>
    <row r="32" spans="1:15" s="41" customFormat="1" x14ac:dyDescent="0.2"/>
    <row r="33" spans="2:13" s="41" customFormat="1" x14ac:dyDescent="0.2">
      <c r="B33" s="20" t="s">
        <v>98</v>
      </c>
    </row>
    <row r="34" spans="2:13" s="41" customFormat="1" x14ac:dyDescent="0.2">
      <c r="B34" s="41" t="s">
        <v>266</v>
      </c>
      <c r="C34" s="41" t="s">
        <v>269</v>
      </c>
      <c r="G34" s="53"/>
      <c r="H34" s="30">
        <v>292</v>
      </c>
      <c r="I34" s="53"/>
      <c r="J34" s="53"/>
      <c r="K34" s="53"/>
      <c r="M34" s="41" t="s">
        <v>233</v>
      </c>
    </row>
    <row r="35" spans="2:13" s="41" customFormat="1" x14ac:dyDescent="0.2">
      <c r="B35" s="41" t="s">
        <v>267</v>
      </c>
      <c r="C35" s="41" t="s">
        <v>269</v>
      </c>
      <c r="G35" s="53"/>
      <c r="H35" s="30">
        <v>260.25</v>
      </c>
      <c r="I35" s="53"/>
      <c r="J35" s="53"/>
      <c r="K35" s="53"/>
      <c r="M35" s="41" t="s">
        <v>237</v>
      </c>
    </row>
    <row r="36" spans="2:13" s="41" customFormat="1" x14ac:dyDescent="0.2">
      <c r="B36" s="41" t="s">
        <v>268</v>
      </c>
      <c r="C36" s="41" t="s">
        <v>190</v>
      </c>
      <c r="G36" s="53"/>
      <c r="H36" s="94">
        <v>14.7</v>
      </c>
      <c r="I36" s="53"/>
      <c r="J36" s="53"/>
      <c r="K36" s="53"/>
      <c r="M36" s="41" t="s">
        <v>274</v>
      </c>
    </row>
    <row r="37" spans="2:13" s="41" customFormat="1" x14ac:dyDescent="0.2">
      <c r="B37" s="41" t="s">
        <v>270</v>
      </c>
      <c r="C37" s="41" t="s">
        <v>269</v>
      </c>
      <c r="G37" s="53"/>
      <c r="H37" s="30">
        <v>1324</v>
      </c>
      <c r="I37" s="53"/>
      <c r="J37" s="53"/>
      <c r="K37" s="53"/>
      <c r="M37" s="41" t="s">
        <v>233</v>
      </c>
    </row>
    <row r="38" spans="2:13" s="41" customFormat="1" x14ac:dyDescent="0.2">
      <c r="B38" s="41" t="s">
        <v>271</v>
      </c>
      <c r="C38" s="41" t="s">
        <v>269</v>
      </c>
      <c r="G38" s="53"/>
      <c r="H38" s="30">
        <v>1357.6666666666667</v>
      </c>
      <c r="I38" s="53"/>
      <c r="J38" s="53"/>
      <c r="K38" s="53"/>
      <c r="M38" s="41" t="s">
        <v>237</v>
      </c>
    </row>
    <row r="39" spans="2:13" s="41" customFormat="1" x14ac:dyDescent="0.2">
      <c r="B39" s="41" t="s">
        <v>272</v>
      </c>
      <c r="C39" s="41" t="s">
        <v>190</v>
      </c>
      <c r="G39" s="53"/>
      <c r="H39" s="94">
        <v>22.43</v>
      </c>
      <c r="I39" s="53"/>
      <c r="J39" s="53"/>
      <c r="K39" s="53"/>
      <c r="M39" s="41" t="s">
        <v>274</v>
      </c>
    </row>
    <row r="40" spans="2:13" s="41" customFormat="1" x14ac:dyDescent="0.2">
      <c r="B40" s="41" t="s">
        <v>261</v>
      </c>
      <c r="C40" s="41" t="s">
        <v>126</v>
      </c>
      <c r="G40" s="53"/>
      <c r="H40" s="38">
        <f>(H35-H34)*H36*12+(H38-H37)*H39*12</f>
        <v>3461.0200000000195</v>
      </c>
      <c r="I40" s="53"/>
      <c r="J40" s="53"/>
      <c r="K40" s="53"/>
    </row>
    <row r="41" spans="2:13" s="41" customFormat="1" x14ac:dyDescent="0.2"/>
    <row r="42" spans="2:13" s="41" customFormat="1" x14ac:dyDescent="0.2">
      <c r="B42" s="20" t="s">
        <v>100</v>
      </c>
    </row>
    <row r="43" spans="2:13" s="41" customFormat="1" x14ac:dyDescent="0.2">
      <c r="B43" s="41" t="s">
        <v>259</v>
      </c>
      <c r="C43" s="41" t="s">
        <v>126</v>
      </c>
      <c r="G43" s="53"/>
      <c r="H43" s="53"/>
      <c r="I43" s="53"/>
      <c r="J43" s="30">
        <v>458502</v>
      </c>
      <c r="K43" s="53"/>
      <c r="M43" s="41" t="s">
        <v>265</v>
      </c>
    </row>
    <row r="44" spans="2:13" s="41" customFormat="1" x14ac:dyDescent="0.2">
      <c r="B44" s="41" t="s">
        <v>258</v>
      </c>
      <c r="C44" s="41" t="s">
        <v>257</v>
      </c>
      <c r="G44" s="53"/>
      <c r="H44" s="53"/>
      <c r="I44" s="53"/>
      <c r="J44" s="30">
        <v>815</v>
      </c>
      <c r="K44" s="53"/>
      <c r="M44" s="41" t="s">
        <v>265</v>
      </c>
    </row>
    <row r="45" spans="2:13" s="41" customFormat="1" x14ac:dyDescent="0.2">
      <c r="B45" s="41" t="s">
        <v>260</v>
      </c>
      <c r="C45" s="41" t="s">
        <v>190</v>
      </c>
      <c r="G45" s="53"/>
      <c r="H45" s="53"/>
      <c r="I45" s="53"/>
      <c r="J45" s="56">
        <f>J43/J44/12</f>
        <v>46.881595092024533</v>
      </c>
      <c r="K45" s="53"/>
    </row>
    <row r="46" spans="2:13" s="41" customFormat="1" x14ac:dyDescent="0.2">
      <c r="B46" s="41" t="s">
        <v>261</v>
      </c>
      <c r="C46" s="41" t="s">
        <v>126</v>
      </c>
      <c r="G46" s="53"/>
      <c r="H46" s="53"/>
      <c r="I46" s="53"/>
      <c r="J46" s="38">
        <f>(J27-J44)*J45*12</f>
        <v>13173.728220858871</v>
      </c>
      <c r="K46" s="53"/>
    </row>
    <row r="47" spans="2:13" s="41" customFormat="1" x14ac:dyDescent="0.2"/>
    <row r="48" spans="2:13" x14ac:dyDescent="0.2">
      <c r="B48" s="41" t="s">
        <v>116</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sheetPr>
  <dimension ref="B2:O28"/>
  <sheetViews>
    <sheetView showGridLines="0" zoomScale="85" zoomScaleNormal="85" workbookViewId="0">
      <pane xSplit="3" ySplit="10" topLeftCell="D11" activePane="bottomRight" state="frozen"/>
      <selection pane="topRight" activeCell="D1" sqref="D1"/>
      <selection pane="bottomLeft" activeCell="A8" sqref="A8"/>
      <selection pane="bottomRight" activeCell="D11" sqref="D11"/>
    </sheetView>
  </sheetViews>
  <sheetFormatPr defaultRowHeight="12.75" x14ac:dyDescent="0.2"/>
  <cols>
    <col min="1" max="1" width="4.5703125" style="41" customWidth="1"/>
    <col min="2" max="2" width="66.42578125" style="41" customWidth="1"/>
    <col min="3" max="3" width="17.28515625" style="41" customWidth="1"/>
    <col min="4" max="4" width="2.7109375" style="41" customWidth="1"/>
    <col min="5" max="5" width="13.7109375" style="41" customWidth="1"/>
    <col min="6" max="6" width="2.7109375" style="41" customWidth="1"/>
    <col min="7" max="11" width="13.7109375" style="41" customWidth="1"/>
    <col min="12" max="12" width="2.7109375" style="41" customWidth="1"/>
    <col min="13" max="13" width="30.7109375" style="41" customWidth="1"/>
    <col min="14" max="14" width="2.7109375" style="41" customWidth="1"/>
    <col min="15" max="15" width="30.7109375" style="41" customWidth="1"/>
    <col min="16" max="16" width="2.7109375" style="41" customWidth="1"/>
    <col min="17" max="31" width="13.7109375" style="41" customWidth="1"/>
    <col min="32" max="16384" width="9.140625" style="41"/>
  </cols>
  <sheetData>
    <row r="2" spans="2:15" s="13" customFormat="1" ht="18" x14ac:dyDescent="0.2">
      <c r="B2" s="13" t="s">
        <v>121</v>
      </c>
    </row>
    <row r="4" spans="2:15" x14ac:dyDescent="0.2">
      <c r="B4" s="20" t="s">
        <v>2</v>
      </c>
    </row>
    <row r="5" spans="2:15" x14ac:dyDescent="0.2">
      <c r="B5" s="16" t="s">
        <v>164</v>
      </c>
      <c r="H5" s="14"/>
      <c r="I5" s="14"/>
      <c r="J5" s="14"/>
      <c r="K5" s="14"/>
    </row>
    <row r="6" spans="2:15" x14ac:dyDescent="0.2">
      <c r="B6" s="16" t="s">
        <v>223</v>
      </c>
      <c r="H6" s="14"/>
      <c r="I6" s="14"/>
      <c r="J6" s="14"/>
      <c r="K6" s="14"/>
    </row>
    <row r="7" spans="2:15" x14ac:dyDescent="0.2">
      <c r="B7" s="16" t="s">
        <v>117</v>
      </c>
      <c r="H7" s="14"/>
      <c r="I7" s="14"/>
      <c r="J7" s="14"/>
      <c r="K7" s="14"/>
    </row>
    <row r="8" spans="2:15" x14ac:dyDescent="0.2">
      <c r="B8" s="16" t="s">
        <v>222</v>
      </c>
      <c r="H8" s="14"/>
      <c r="I8" s="14"/>
      <c r="J8" s="14"/>
      <c r="K8" s="14"/>
    </row>
    <row r="10" spans="2:15" s="37" customFormat="1" ht="38.25" x14ac:dyDescent="0.2">
      <c r="B10" s="37" t="s">
        <v>6</v>
      </c>
      <c r="C10" s="37" t="s">
        <v>10</v>
      </c>
      <c r="E10" s="37" t="s">
        <v>7</v>
      </c>
      <c r="G10" s="55" t="s">
        <v>97</v>
      </c>
      <c r="H10" s="55" t="s">
        <v>98</v>
      </c>
      <c r="I10" s="55" t="s">
        <v>99</v>
      </c>
      <c r="J10" s="55" t="s">
        <v>100</v>
      </c>
      <c r="K10" s="55" t="s">
        <v>101</v>
      </c>
      <c r="M10" s="37" t="s">
        <v>8</v>
      </c>
      <c r="O10" s="37" t="s">
        <v>9</v>
      </c>
    </row>
    <row r="11" spans="2:15" x14ac:dyDescent="0.2">
      <c r="D11" s="67"/>
    </row>
    <row r="12" spans="2:15" s="37" customFormat="1" x14ac:dyDescent="0.2">
      <c r="B12" s="37" t="s">
        <v>118</v>
      </c>
    </row>
    <row r="14" spans="2:15" x14ac:dyDescent="0.2">
      <c r="B14" s="40" t="s">
        <v>119</v>
      </c>
    </row>
    <row r="15" spans="2:15" x14ac:dyDescent="0.2">
      <c r="B15" s="41" t="s">
        <v>165</v>
      </c>
      <c r="C15" s="41" t="s">
        <v>95</v>
      </c>
      <c r="G15" s="10"/>
      <c r="H15" s="10"/>
      <c r="I15" s="73">
        <v>126717.87799999998</v>
      </c>
      <c r="J15" s="10"/>
      <c r="K15" s="10"/>
      <c r="M15" s="41" t="s">
        <v>249</v>
      </c>
    </row>
    <row r="16" spans="2:15" x14ac:dyDescent="0.2">
      <c r="B16" s="41" t="s">
        <v>166</v>
      </c>
      <c r="C16" s="41" t="s">
        <v>168</v>
      </c>
      <c r="G16" s="10"/>
      <c r="H16" s="10"/>
      <c r="I16" s="84">
        <v>0.30181546815775034</v>
      </c>
      <c r="J16" s="10"/>
      <c r="K16" s="10"/>
      <c r="M16" s="41" t="s">
        <v>251</v>
      </c>
    </row>
    <row r="17" spans="2:13" x14ac:dyDescent="0.2">
      <c r="B17" s="41" t="s">
        <v>167</v>
      </c>
      <c r="C17" s="41" t="s">
        <v>168</v>
      </c>
      <c r="G17" s="10"/>
      <c r="H17" s="10"/>
      <c r="I17" s="84">
        <v>0.24498149662646171</v>
      </c>
      <c r="J17" s="10"/>
      <c r="K17" s="10"/>
      <c r="M17" s="41" t="s">
        <v>252</v>
      </c>
    </row>
    <row r="18" spans="2:13" x14ac:dyDescent="0.2">
      <c r="B18" s="41" t="s">
        <v>169</v>
      </c>
      <c r="C18" s="41" t="s">
        <v>120</v>
      </c>
      <c r="G18" s="10"/>
      <c r="H18" s="10"/>
      <c r="I18" s="83">
        <v>3.4074690632852711</v>
      </c>
      <c r="J18" s="10"/>
      <c r="K18" s="10"/>
      <c r="M18" s="41" t="s">
        <v>250</v>
      </c>
    </row>
    <row r="19" spans="2:13" x14ac:dyDescent="0.2">
      <c r="B19" s="41" t="s">
        <v>170</v>
      </c>
      <c r="C19" s="41" t="s">
        <v>4</v>
      </c>
      <c r="G19" s="10"/>
      <c r="H19" s="10"/>
      <c r="I19" s="85">
        <v>0.5</v>
      </c>
      <c r="J19" s="10"/>
      <c r="K19" s="10"/>
      <c r="M19" s="16" t="s">
        <v>122</v>
      </c>
    </row>
    <row r="20" spans="2:13" s="7" customFormat="1" x14ac:dyDescent="0.2">
      <c r="I20" s="86"/>
      <c r="M20" s="87"/>
    </row>
    <row r="21" spans="2:13" s="37" customFormat="1" x14ac:dyDescent="0.2">
      <c r="B21" s="37" t="s">
        <v>124</v>
      </c>
    </row>
    <row r="22" spans="2:13" s="7" customFormat="1" x14ac:dyDescent="0.2">
      <c r="I22" s="86"/>
      <c r="M22" s="87"/>
    </row>
    <row r="23" spans="2:13" s="7" customFormat="1" x14ac:dyDescent="0.2">
      <c r="B23" s="41" t="s">
        <v>218</v>
      </c>
      <c r="C23" s="41" t="s">
        <v>168</v>
      </c>
      <c r="G23" s="10"/>
      <c r="H23" s="10"/>
      <c r="I23" s="88">
        <f>I17-I16</f>
        <v>-5.6833971531288635E-2</v>
      </c>
      <c r="J23" s="10"/>
      <c r="K23" s="10"/>
      <c r="M23" s="87"/>
    </row>
    <row r="24" spans="2:13" s="7" customFormat="1" x14ac:dyDescent="0.2">
      <c r="B24" s="7" t="s">
        <v>171</v>
      </c>
      <c r="C24" s="7" t="s">
        <v>11</v>
      </c>
      <c r="G24" s="10"/>
      <c r="H24" s="10"/>
      <c r="I24" s="89">
        <f>I15*I19*I18</f>
        <v>215893.6245250786</v>
      </c>
      <c r="J24" s="10"/>
      <c r="K24" s="10"/>
      <c r="M24" s="87"/>
    </row>
    <row r="25" spans="2:13" s="7" customFormat="1" x14ac:dyDescent="0.2">
      <c r="I25" s="86"/>
      <c r="M25" s="87"/>
    </row>
    <row r="26" spans="2:13" s="7" customFormat="1" x14ac:dyDescent="0.2">
      <c r="B26" s="7" t="s">
        <v>172</v>
      </c>
      <c r="C26" s="7" t="s">
        <v>173</v>
      </c>
      <c r="G26" s="10"/>
      <c r="H26" s="10"/>
      <c r="I26" s="43">
        <f>I24*I23</f>
        <v>-12270.092110045036</v>
      </c>
      <c r="J26" s="10"/>
      <c r="K26" s="10"/>
      <c r="M26" s="87"/>
    </row>
    <row r="28" spans="2:13" x14ac:dyDescent="0.2">
      <c r="B28" s="41" t="s">
        <v>116</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20B76403CB6F24694D915B3C168C0E6" ma:contentTypeVersion="0" ma:contentTypeDescription="Een nieuw document maken." ma:contentTypeScope="" ma:versionID="bf02a18621bcb6325d2ad5de47f96fac">
  <xsd:schema xmlns:xsd="http://www.w3.org/2001/XMLSchema" xmlns:xs="http://www.w3.org/2001/XMLSchema" xmlns:p="http://schemas.microsoft.com/office/2006/metadata/properties" targetNamespace="http://schemas.microsoft.com/office/2006/metadata/properties" ma:root="true" ma:fieldsID="a17e5968c79d9fe2fc9f8835eee23f58">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1BDC70D-3516-47CA-A74A-26D77D0F6E3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5AD5E579-EDEB-42CD-B662-5E3E21C16D27}">
  <ds:schemaRefs>
    <ds:schemaRef ds:uri="http://schemas.microsoft.com/sharepoint/v3/contenttype/forms"/>
  </ds:schemaRefs>
</ds:datastoreItem>
</file>

<file path=customXml/itemProps3.xml><?xml version="1.0" encoding="utf-8"?>
<ds:datastoreItem xmlns:ds="http://schemas.openxmlformats.org/officeDocument/2006/customXml" ds:itemID="{9CDAB9D1-B815-4B0E-93E7-4496A7FE99F6}">
  <ds:schemaRefs>
    <ds:schemaRef ds:uri="http://purl.org/dc/terms/"/>
    <ds:schemaRef ds:uri="http://purl.org/dc/elements/1.1/"/>
    <ds:schemaRef ds:uri="http://schemas.microsoft.com/office/2006/documentManagement/types"/>
    <ds:schemaRef ds:uri="http://purl.org/dc/dcmitype/"/>
    <ds:schemaRef ds:uri="http://schemas.microsoft.com/office/infopath/2007/PartnerControls"/>
    <ds:schemaRef ds:uri="http://schemas.openxmlformats.org/package/2006/metadata/core-properties"/>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14</vt:i4>
      </vt:variant>
    </vt:vector>
  </HeadingPairs>
  <TitlesOfParts>
    <vt:vector size="14" baseType="lpstr">
      <vt:lpstr>Cover sheet</vt:lpstr>
      <vt:lpstr>Explanation</vt:lpstr>
      <vt:lpstr>Sources and applications</vt:lpstr>
      <vt:lpstr>Result</vt:lpstr>
      <vt:lpstr>Input --&gt;</vt:lpstr>
      <vt:lpstr>Parameters</vt:lpstr>
      <vt:lpstr>Estimation for 2019</vt:lpstr>
      <vt:lpstr>Realization of 2019</vt:lpstr>
      <vt:lpstr>Energy cost corr. (incl. calc.)</vt:lpstr>
      <vt:lpstr>Calculations 2019 --&gt;</vt:lpstr>
      <vt:lpstr>Fixed-variable costs 2019</vt:lpstr>
      <vt:lpstr>Volume-effect 2019</vt:lpstr>
      <vt:lpstr>Profit sharing 2019</vt:lpstr>
      <vt:lpstr>Network loss 2019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2018-05-15T11:27:11Z</dcterms:created>
  <dcterms:modified xsi:type="dcterms:W3CDTF">2020-12-15T14:23:28Z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0x010100E20B76403CB6F24694D915B3C168C0E6</vt:lpwstr>
  </property>
</Properties>
</file>