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19980" windowHeight="7560" tabRatio="924"/>
  </bookViews>
  <sheets>
    <sheet name="Cover sheet" sheetId="9" r:id="rId1"/>
    <sheet name="Explanation" sheetId="10" r:id="rId2"/>
    <sheet name="Sources and applications" sheetId="11" r:id="rId3"/>
    <sheet name="Result" sheetId="21" r:id="rId4"/>
    <sheet name="Input --&gt;" sheetId="13" r:id="rId5"/>
    <sheet name="Parameters" sheetId="28" r:id="rId6"/>
    <sheet name="Estimation for 2019" sheetId="18" r:id="rId7"/>
    <sheet name="Realization of 2019" sheetId="23" r:id="rId8"/>
    <sheet name="Calculations 2019 --&gt;" sheetId="15" r:id="rId9"/>
    <sheet name="Fixed-variable costs 2017" sheetId="27" r:id="rId10"/>
    <sheet name="Volume-effect 2019" sheetId="22" r:id="rId11"/>
    <sheet name="Profit sharing 2019" sheetId="24" r:id="rId12"/>
    <sheet name="Network loss 2019" sheetId="36" r:id="rId13"/>
  </sheets>
  <calcPr calcId="145621"/>
</workbook>
</file>

<file path=xl/calcChain.xml><?xml version="1.0" encoding="utf-8"?>
<calcChain xmlns="http://schemas.openxmlformats.org/spreadsheetml/2006/main">
  <c r="H27" i="27" l="1"/>
  <c r="G27" i="27"/>
  <c r="E17" i="28" l="1"/>
  <c r="G20" i="18"/>
  <c r="H20" i="18"/>
  <c r="E11" i="21" l="1"/>
  <c r="E12" i="21"/>
  <c r="E13" i="21"/>
  <c r="E14" i="21"/>
  <c r="H20" i="27" l="1"/>
  <c r="G20" i="27"/>
  <c r="H19" i="27"/>
  <c r="G19" i="27"/>
  <c r="H22" i="27" l="1"/>
  <c r="H33" i="27" s="1"/>
  <c r="H23" i="27"/>
  <c r="G23" i="27"/>
  <c r="G22" i="27"/>
  <c r="G33" i="27" s="1"/>
  <c r="H32" i="27" l="1"/>
  <c r="G32" i="27"/>
  <c r="H15" i="22"/>
  <c r="G15" i="22"/>
  <c r="H28" i="24" l="1"/>
  <c r="G28" i="24"/>
  <c r="E14" i="27" l="1"/>
  <c r="G16" i="36"/>
  <c r="H21" i="36"/>
  <c r="H20" i="36"/>
  <c r="G18" i="36"/>
  <c r="G15" i="36"/>
  <c r="G17" i="36" l="1"/>
  <c r="H26" i="36"/>
  <c r="H25" i="36"/>
  <c r="H28" i="36" s="1"/>
  <c r="E12" i="24"/>
  <c r="E12" i="36" l="1"/>
  <c r="H30" i="36" s="1"/>
  <c r="H19" i="21" l="1"/>
  <c r="H23" i="21" s="1"/>
  <c r="E15" i="24" l="1"/>
  <c r="E13" i="24" l="1"/>
  <c r="H16" i="22" l="1"/>
  <c r="G16" i="22"/>
  <c r="H23" i="24"/>
  <c r="H22" i="24"/>
  <c r="G23" i="24"/>
  <c r="G22" i="24"/>
  <c r="G38" i="24" l="1"/>
  <c r="H38" i="24"/>
  <c r="E14" i="24" l="1"/>
  <c r="H18" i="23"/>
  <c r="H24" i="24" s="1"/>
  <c r="H39" i="24" s="1"/>
  <c r="H40" i="24" s="1"/>
  <c r="G18" i="23"/>
  <c r="G24" i="24" s="1"/>
  <c r="G39" i="24" s="1"/>
  <c r="G40" i="24" s="1"/>
  <c r="H18" i="27" l="1"/>
  <c r="G18" i="27"/>
  <c r="H17" i="27"/>
  <c r="G17" i="27"/>
  <c r="H37" i="27" l="1"/>
  <c r="G34" i="27"/>
  <c r="G37" i="27"/>
  <c r="H34" i="27"/>
  <c r="G39" i="27" l="1"/>
  <c r="G40" i="27" s="1"/>
  <c r="G44" i="27" s="1"/>
  <c r="G19" i="24" s="1"/>
  <c r="G34" i="24" s="1"/>
  <c r="G38" i="27"/>
  <c r="G43" i="27" s="1"/>
  <c r="G18" i="24" s="1"/>
  <c r="G33" i="24" s="1"/>
  <c r="H39" i="27"/>
  <c r="H40" i="27" s="1"/>
  <c r="H44" i="27" s="1"/>
  <c r="H19" i="24" s="1"/>
  <c r="H34" i="24" s="1"/>
  <c r="H38" i="27"/>
  <c r="H43" i="27" s="1"/>
  <c r="H18" i="24" s="1"/>
  <c r="H33" i="24" s="1"/>
  <c r="B14" i="10"/>
  <c r="B21" i="10" s="1"/>
  <c r="B15" i="10" l="1"/>
  <c r="B16" i="10" s="1"/>
  <c r="B20" i="10" s="1"/>
  <c r="G35" i="24"/>
  <c r="G43" i="24" s="1"/>
  <c r="G45" i="24" s="1"/>
  <c r="G11" i="22"/>
  <c r="G21" i="22" s="1"/>
  <c r="H35" i="24"/>
  <c r="H43" i="24" s="1"/>
  <c r="H45" i="24" s="1"/>
  <c r="H11" i="22"/>
  <c r="G22" i="22" l="1"/>
  <c r="H21" i="22"/>
  <c r="H22" i="22" s="1"/>
  <c r="H17" i="21" s="1"/>
  <c r="H21" i="21" s="1"/>
  <c r="H18" i="21"/>
  <c r="H22" i="21" s="1"/>
  <c r="G17" i="21" l="1"/>
  <c r="G21" i="21" s="1"/>
  <c r="G18" i="21"/>
  <c r="G22" i="21" s="1"/>
</calcChain>
</file>

<file path=xl/comments1.xml><?xml version="1.0" encoding="utf-8"?>
<comments xmlns="http://schemas.openxmlformats.org/spreadsheetml/2006/main">
  <authors>
    <author>Auteur</author>
  </authors>
  <commentList>
    <comment ref="B20"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<sst xmlns="http://schemas.openxmlformats.org/spreadsheetml/2006/main" count="453" uniqueCount="255">
  <si>
    <t>Data</t>
  </si>
  <si>
    <t>Input --&gt;</t>
  </si>
  <si>
    <t xml:space="preserve">Description data </t>
  </si>
  <si>
    <t>Capital cost</t>
  </si>
  <si>
    <t>%</t>
  </si>
  <si>
    <t>Operational cost</t>
  </si>
  <si>
    <t xml:space="preserve">Description </t>
  </si>
  <si>
    <t>Constant</t>
  </si>
  <si>
    <t>Source</t>
  </si>
  <si>
    <t>Remarks</t>
  </si>
  <si>
    <t xml:space="preserve">Unit </t>
  </si>
  <si>
    <t>kWh</t>
  </si>
  <si>
    <t>USD/kWh</t>
  </si>
  <si>
    <t xml:space="preserve">Description calculation </t>
  </si>
  <si>
    <t>Estimated costs</t>
  </si>
  <si>
    <t>Profit sharing</t>
  </si>
  <si>
    <t>Relevant data for profit sharing  correction</t>
  </si>
  <si>
    <t>About this file</t>
  </si>
  <si>
    <t>Case number</t>
  </si>
  <si>
    <t>Title</t>
  </si>
  <si>
    <t>Coherence with other calculation files</t>
  </si>
  <si>
    <t>Other remarks</t>
  </si>
  <si>
    <t>About the status of this file</t>
  </si>
  <si>
    <t>Final version?</t>
  </si>
  <si>
    <t>No</t>
  </si>
  <si>
    <t>Published?</t>
  </si>
  <si>
    <t>Is this file legally part of the decision(s) listed above?</t>
  </si>
  <si>
    <t>Contains business confidential information?</t>
  </si>
  <si>
    <t>Possibilities of objection and appeal are open against the decision which this file is a part of.</t>
  </si>
  <si>
    <t>Explanation to this file</t>
  </si>
  <si>
    <t>Explanatory notes</t>
  </si>
  <si>
    <t>Legend to cell coloring</t>
  </si>
  <si>
    <t>Cellcolor numbers</t>
  </si>
  <si>
    <t>Description</t>
  </si>
  <si>
    <t>Data and input (source required)</t>
  </si>
  <si>
    <t>Value that is drawn from another sheet or cell without calculation</t>
  </si>
  <si>
    <t>Calculated value</t>
  </si>
  <si>
    <t>Result/calculated value that is referred to on another sheet</t>
  </si>
  <si>
    <t>Empty cell (not zero) used in a formula range</t>
  </si>
  <si>
    <t>Exceptional cells</t>
  </si>
  <si>
    <t>Value or calculation that needs special attention or explanation</t>
  </si>
  <si>
    <t>Input or calculation that is not yet up to date, pro memori or work in progress</t>
  </si>
  <si>
    <t>Sheet colors</t>
  </si>
  <si>
    <t>Model sheets</t>
  </si>
  <si>
    <t>Result</t>
  </si>
  <si>
    <t>Sheet with result/output</t>
  </si>
  <si>
    <t>Sheet with input</t>
  </si>
  <si>
    <t>Calculation</t>
  </si>
  <si>
    <t>Sheet with calculations</t>
  </si>
  <si>
    <t>Sheet that is not yet up to date/work in progress</t>
  </si>
  <si>
    <t>Explanatory sheets</t>
  </si>
  <si>
    <t>Empty sheet used for indexing</t>
  </si>
  <si>
    <t>Explanation</t>
  </si>
  <si>
    <t>Standardized sheets with information on the file</t>
  </si>
  <si>
    <t>Source overview and specifications</t>
  </si>
  <si>
    <t>List of sources</t>
  </si>
  <si>
    <t>Each input sheet contains a column 'Source', in which the sources are referred to by their shortened name. These sources are further explained in the table below.</t>
  </si>
  <si>
    <t>Shortened name</t>
  </si>
  <si>
    <t>External file name</t>
  </si>
  <si>
    <t>Additional information on this source</t>
  </si>
  <si>
    <t>As referred to in Source column</t>
  </si>
  <si>
    <t>Exact file name</t>
  </si>
  <si>
    <t>Date received, email, file location</t>
  </si>
  <si>
    <t>Description result</t>
  </si>
  <si>
    <t>Profit sharing-percentage</t>
  </si>
  <si>
    <t>Estimated inflation 2018</t>
  </si>
  <si>
    <t>Volume</t>
  </si>
  <si>
    <t>Unit</t>
  </si>
  <si>
    <t>(see column)</t>
  </si>
  <si>
    <t>kVA</t>
  </si>
  <si>
    <t>Input volumes</t>
  </si>
  <si>
    <t>Relevant data</t>
  </si>
  <si>
    <t>Description data</t>
  </si>
  <si>
    <t xml:space="preserve">The development of the CPI of Q3 year T and Q3 year T-1 will be used as the estimated inflation for the year T+1. The estimated inflation is rounded to one decimal. </t>
  </si>
  <si>
    <t xml:space="preserve">CPI </t>
  </si>
  <si>
    <t>Estimated inflation 2019</t>
  </si>
  <si>
    <t xml:space="preserve">WACC </t>
  </si>
  <si>
    <t xml:space="preserve">WACC 2019 </t>
  </si>
  <si>
    <t>USD, pl 2017</t>
  </si>
  <si>
    <t>Parameters</t>
  </si>
  <si>
    <t>Volume-effect</t>
  </si>
  <si>
    <t>On this sheet, an overview can be found in which ACM describes the sources used for data and calculations in this file.</t>
  </si>
  <si>
    <t>On this sheet ACM calculates the profit sharing correction.</t>
  </si>
  <si>
    <t>Fixed/variable costs</t>
  </si>
  <si>
    <t>Estimated inflation 2020</t>
  </si>
  <si>
    <t>CPI CBS</t>
  </si>
  <si>
    <t>Electricity production</t>
  </si>
  <si>
    <t>Electricity distribution</t>
  </si>
  <si>
    <t>Profit sharing: regular costs</t>
  </si>
  <si>
    <t>Profit sharing: network losses</t>
  </si>
  <si>
    <t>This sheet shows percentages used for the CPI, WACC, profit sharing and fixed/variable costs.</t>
  </si>
  <si>
    <t>Based on analysis by ACM on fixed/variable costs in the Caribbean Netherlands</t>
  </si>
  <si>
    <t>RAB-value ultimo 2017</t>
  </si>
  <si>
    <t>Depreciation 2017</t>
  </si>
  <si>
    <t>Other income 2017</t>
  </si>
  <si>
    <t xml:space="preserve">ACM determined the maximum tariffs by estimating the costs and the volume of SEC. On this tab the data used in this estimation is depicted. </t>
  </si>
  <si>
    <t>ACM assumes the percentage of variable costs to be equal for the RAB-value and the depreciation.</t>
  </si>
  <si>
    <t>ACM assumes other income is not related with volume and therefore it is 0% variable.</t>
  </si>
  <si>
    <t>USD, pl 2017 / #</t>
  </si>
  <si>
    <t>Costs are estimated on a t-2 basis.</t>
  </si>
  <si>
    <t>Capital cost 2017 (RAB*WACC+ depreciation)</t>
  </si>
  <si>
    <t xml:space="preserve">Negative amount indicates realized costs were higher than estimated. </t>
  </si>
  <si>
    <t>On this sheet ACM the calculates the correction for the volume-effect.</t>
  </si>
  <si>
    <t>This correction includes the cost of bad debt.</t>
  </si>
  <si>
    <t>Based on assumption by ACM on fixed/variable costs in the Caribbean Netherlands</t>
  </si>
  <si>
    <t>Net operational costs 2017</t>
  </si>
  <si>
    <t>This file uses information from the OPEX and RAB calculation. The result of this file is used in the tariff calculation</t>
  </si>
  <si>
    <t>Berekening profit sharing correcties voor tarieven SEC 2021</t>
  </si>
  <si>
    <t>Beschikking productieprijs elektriciteit 2021 SEC
Beschikking distributietarieven elektriciteit 2021 SEC</t>
  </si>
  <si>
    <t>On this sheet the corrections for volume changes, the profit sharing for regular costs and for network losses as calculated by ACM are summarized in price level 2021. These corrections will be included in the tariffs of 2021.</t>
  </si>
  <si>
    <t>Results of corrections on income in 2021</t>
  </si>
  <si>
    <t>Estimated inflation 2021</t>
  </si>
  <si>
    <t>Corrections 2019</t>
  </si>
  <si>
    <t>USD, pl 2021</t>
  </si>
  <si>
    <t>USD, pl 2019</t>
  </si>
  <si>
    <t>Profit sharing correction for network losses will be applied to the variable usage tariff in 2021.</t>
  </si>
  <si>
    <t>Volume-effect correction will be applied to the production price resp. fixed usage tariff in 2021.</t>
  </si>
  <si>
    <t>Profit sharing correction for regular costs will be applied to the production price resp. fixed usage tariff in 2021.</t>
  </si>
  <si>
    <t>Data on the estimation for 2019</t>
  </si>
  <si>
    <t>Cost data for the estimation of the income of 2019</t>
  </si>
  <si>
    <t>Data on production price and distribution volume for 2019</t>
  </si>
  <si>
    <t>Estimated volume 2019</t>
  </si>
  <si>
    <t>Estimated network losses 2019</t>
  </si>
  <si>
    <t>Production price incl fuel (Jan-June 2019)</t>
  </si>
  <si>
    <t>Production price incl fuel (July-Dec 2019)</t>
  </si>
  <si>
    <t>Data on the realizations of 2019</t>
  </si>
  <si>
    <t>The annual account of SEC presents the realized costs in 2019. With the use of the RAB-sheet and the OPEX-sheet, ACM calculated the RAB and operational costs. The results can be found here.</t>
  </si>
  <si>
    <t>Data on the realized income and costs in 2019</t>
  </si>
  <si>
    <t>RAB-value ultimo 2019</t>
  </si>
  <si>
    <t>Depreciation 2019</t>
  </si>
  <si>
    <t>Operational costs (excl fuel) 2019</t>
  </si>
  <si>
    <t>Other income 2019</t>
  </si>
  <si>
    <t>Net operational costs 2019</t>
  </si>
  <si>
    <t>Data on realized production volume in 2019</t>
  </si>
  <si>
    <t>Realized volume 2019</t>
  </si>
  <si>
    <t>Realized network losses 2019</t>
  </si>
  <si>
    <t>Calculation Fixed vs. Variable costs 2017</t>
  </si>
  <si>
    <t>WACC 2019</t>
  </si>
  <si>
    <t>Operational costs 2017 (excl fuel costs)</t>
  </si>
  <si>
    <t>Variable part of operational costs 2017 (excl fuel costs)</t>
  </si>
  <si>
    <t>Variable part of capital costs 2017</t>
  </si>
  <si>
    <t>Calculation fixed-variable part of costs 2017</t>
  </si>
  <si>
    <t>Fixed/variable operational costs 2017</t>
  </si>
  <si>
    <t>Estimated fixed operational costs 2017</t>
  </si>
  <si>
    <t>Estimated variable operational costs 2017</t>
  </si>
  <si>
    <t>Estimated variable operational costs 2017 per unit</t>
  </si>
  <si>
    <t>Fixed/variable capital costs 2017</t>
  </si>
  <si>
    <t>Estimated fixed capital costs 2017</t>
  </si>
  <si>
    <t>Estimated variable capital costs 2017</t>
  </si>
  <si>
    <t>Estimated variable capital costs 2017 per unit</t>
  </si>
  <si>
    <t>Calculation fixed costs 2017</t>
  </si>
  <si>
    <t>Total estimated fixed costs 2017</t>
  </si>
  <si>
    <t>Total estimated variable costs 2017 per unit</t>
  </si>
  <si>
    <t>Calculation volume-effect correction 2019</t>
  </si>
  <si>
    <t>Relevant data for volume-effect correction  2019</t>
  </si>
  <si>
    <t>Total estimated fixed costs for 2019</t>
  </si>
  <si>
    <t>Calculation coverage of fixed costs 2019</t>
  </si>
  <si>
    <t>Realized income to cover fixed costs 2019</t>
  </si>
  <si>
    <t>Volume-effect correction 2019</t>
  </si>
  <si>
    <t>Calculation profit sharing: correction for regular costs 2019</t>
  </si>
  <si>
    <t>Estimated costs 2019</t>
  </si>
  <si>
    <t>Estimated variable costs 2019 per unit</t>
  </si>
  <si>
    <t>Estimated fixed costs 2019</t>
  </si>
  <si>
    <t>USD, pl 2017/ #</t>
  </si>
  <si>
    <t>Realized costs 2019</t>
  </si>
  <si>
    <t>Calculation profit sharing correction 2019</t>
  </si>
  <si>
    <t>Estimated costs for 2019</t>
  </si>
  <si>
    <t>Total estimated costs for 2019 adjusted for realized volume</t>
  </si>
  <si>
    <t>USD, pl 2019 / #</t>
  </si>
  <si>
    <t>Realized costs for 2019</t>
  </si>
  <si>
    <t>Capital cost 2019 (RAB*WACC+ depreciation)</t>
  </si>
  <si>
    <t>Operational costs 2019</t>
  </si>
  <si>
    <t>Total realized costs for 2019</t>
  </si>
  <si>
    <t>Realized profit (loss) over 2019 for profit sharing</t>
  </si>
  <si>
    <t>Profit sharing correction 2019</t>
  </si>
  <si>
    <t>On this sheet ACM calculates the profit sharing for the difference between the estimated and realized network losses for distribution in 2019.</t>
  </si>
  <si>
    <t>Calculation profit sharing: network losses correction 2019</t>
  </si>
  <si>
    <t>Input 2019</t>
  </si>
  <si>
    <t>Production price incl fuel Jan-June 2019</t>
  </si>
  <si>
    <t>Production price incl fuel July-Dec 2019</t>
  </si>
  <si>
    <t>Average production price incl fuel 2019</t>
  </si>
  <si>
    <t>Calculation profit sharing of network losses 2019</t>
  </si>
  <si>
    <t>Estimated costs of network losses 2019</t>
  </si>
  <si>
    <t>Realized costs of network losses 2019</t>
  </si>
  <si>
    <t>Realized profit (loss) over network losses 2019</t>
  </si>
  <si>
    <t>Profit sharing add-on for network losses 2019</t>
  </si>
  <si>
    <t>In the tariff decisions of 2019, a distribution of 50/50 was assumed for production throughout the year.</t>
  </si>
  <si>
    <t>In this file, ACM calculates the profit sharing and volume corrections for SEC for the year 2019. The results will be added to the income of 2021.</t>
  </si>
  <si>
    <t>Variable part of operational costs 2017</t>
  </si>
  <si>
    <t>Operational costs (excluding fuel costs) 2017</t>
  </si>
  <si>
    <t>As a result of profit sharing, the income in 2021 will be decreased (increased) by 50% of realized profit (loss).</t>
  </si>
  <si>
    <t>Cover sheet</t>
  </si>
  <si>
    <t>Rekenmodel SEC 2019</t>
  </si>
  <si>
    <t xml:space="preserve">https://www.acm.nl/nl/publicaties/beschikking-productieprijzen-elektriciteit-2019-saba-caribisch-nederland </t>
  </si>
  <si>
    <t>Cost of bad debts</t>
  </si>
  <si>
    <t>Tariff decision 2019-1, sheet "Data on costs", row 20</t>
  </si>
  <si>
    <t>Tariff decision 2019-1, sheet "Data on costs", row 21</t>
  </si>
  <si>
    <t>Tariff decision 2019-1, sheet "Data on costs", row 13</t>
  </si>
  <si>
    <t>Tariff decision 2019-1, sheet "Data on costs", row 14</t>
  </si>
  <si>
    <t>Tariff decision 2019-1, sheet "Data on costs", row 17</t>
  </si>
  <si>
    <t>Tariff decision 2019-1, sheet "Data on volumes and tariffs", row 14; Tariff decision 2019, sheet "Tariffs", row 69</t>
  </si>
  <si>
    <t>Tariff decision 2019-1, sheet "Data on volumes and tariffs", row 19</t>
  </si>
  <si>
    <t>Tariff decision 2019-1, sheet "Tariffs", row 60</t>
  </si>
  <si>
    <t>Tariff decision 2019-1</t>
  </si>
  <si>
    <t>https://www.acm.nl/nl/publicaties/beschikking-variabel-tarief-elektriciteit-1-juli-2019-saba-caribisch-nederland</t>
  </si>
  <si>
    <t>Calculation variable usage tariff electricity SEC as of July 1 2019</t>
  </si>
  <si>
    <t>Tariff decision 2019-2</t>
  </si>
  <si>
    <t>Tariff decision 2019-2, sheet "New estimated production price", row 31</t>
  </si>
  <si>
    <t>As of the development of the CPI between Q3 2018 and Q3 2019, the 2017 = 100 serie is used. For earlier years, the 2010 = 100 serie is used.</t>
  </si>
  <si>
    <t>https://opendata.cbs.nl/statline/#/CBS/nl/dataset/84046NED/table?fromstatweb</t>
  </si>
  <si>
    <t>Caribisch Nederland; consumentenprijsindex (CPI) 2017=100</t>
  </si>
  <si>
    <t>ACM WACC decision 2016</t>
  </si>
  <si>
    <t>https://www.acm.nl/sites/default/files/old_publication/publicaties/16601_wacc-determination-caribbean-netherlands.pdf</t>
  </si>
  <si>
    <t>Calculating the WACC for energy and water companies in the Caribbean Netherlands 2017-2019</t>
  </si>
  <si>
    <t>ACM method decision 2016</t>
  </si>
  <si>
    <t>https://www.acm.nl/sites/default/files/old_publication/publicaties/16390_methodebesluit-caribisch-nederland.pdf</t>
  </si>
  <si>
    <t>Methodebesluit elektriciteit en drinkwater Caribisch Nederland 2017-2019</t>
  </si>
  <si>
    <t>RAB-model 2021, sheet "Output", row 22</t>
  </si>
  <si>
    <t>RAB-model 2021</t>
  </si>
  <si>
    <t>RAB-model SEC t.b.v. tarieven 2021</t>
  </si>
  <si>
    <t>RAB-model 2021, sheet "Output", row 33</t>
  </si>
  <si>
    <t>OPEX-model 2021, sheet "Output", row 22</t>
  </si>
  <si>
    <t>OPEX-model 2021, sheet "Output", row 25</t>
  </si>
  <si>
    <t>OPEX-model 2021</t>
  </si>
  <si>
    <t>OPEX-model SEC t.b.v. tarieven 2021</t>
  </si>
  <si>
    <t>Historical data 2019, sheet "KFP Monthly", row 26</t>
  </si>
  <si>
    <t>Historical data 2019</t>
  </si>
  <si>
    <t>ACM Historical data 2019</t>
  </si>
  <si>
    <t xml:space="preserve"> </t>
  </si>
  <si>
    <t>Realized volume 2017</t>
  </si>
  <si>
    <t>Profit sharing model 2019</t>
  </si>
  <si>
    <t>In December 2018, ACM determined the production price and tariffs (decision reference number ACM/18/033334). In June 2019, ACM made a new estimation of the production price including fuel (decison reference number ACM/19/035491).</t>
  </si>
  <si>
    <t>Profit sharing model 2020</t>
  </si>
  <si>
    <t>https://www.acm.nl/nl/publicaties/beschikking-distributietarieven-elektriciteit-2020-saba-sec-caribisch-nederland</t>
  </si>
  <si>
    <t>Profit sharing model SEC 2020</t>
  </si>
  <si>
    <t>Profit sharing model SEC 2019</t>
  </si>
  <si>
    <t>Profit sharing model SEC 2019, sheet "Realization of 2017", row 23; Profit sharing model SEC 2020, sheet "Realization of 2017", row 25</t>
  </si>
  <si>
    <t>Historical data 2019, sheet "Net losses", row 14; kVA overview</t>
  </si>
  <si>
    <t>kVA overview</t>
  </si>
  <si>
    <t>overview</t>
  </si>
  <si>
    <t>As a result of profit sharing, the income in 2021 will be increased by 50% of the difference between the realized and estimated costs.</t>
  </si>
  <si>
    <t>Negative amount indicates an overcoverage of fixed costs in 2019, which will be substracted from the income in 2021.</t>
  </si>
  <si>
    <t>Last update input CBS: October 21, 2020</t>
  </si>
  <si>
    <t>ACM/20/040017</t>
  </si>
  <si>
    <t>ACM/UIT/544863
ACM/UIT/544893</t>
  </si>
  <si>
    <t>Belongs to decision(s)</t>
  </si>
  <si>
    <t>Reference number of decision(s)</t>
  </si>
  <si>
    <t>On this sheet ACM makes a split of the 2017 costs per department in a fixed and a variable part. These costs were used as an estimation of the costs in 2019.</t>
  </si>
  <si>
    <t>Explanation of the use of specific Excel-applications and other details</t>
  </si>
  <si>
    <t xml:space="preserve">In its calculation files, ACM seeks to use simple and easy-to-follow calculations as much as possible, and seeks to avoid the use of complex formulas or specific applications. </t>
  </si>
  <si>
    <t xml:space="preserve">If ACM does use cell or range references, macros, or other more complex functions in Excel, these will be explained on this sheet. </t>
  </si>
  <si>
    <t>Yes</t>
  </si>
  <si>
    <t>Disclaimer</t>
  </si>
  <si>
    <t xml:space="preserve">If there are any substantive differences between the calculation in this file and the calculation that follows from the relevant decision, the decision's calculation is authentic. </t>
  </si>
  <si>
    <t>E-mail SEC to ACM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</si>
</sst>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0.0%"/>
  </numFmts>
  <fonts count="30"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u/>
      <sz val="10"/>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65">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8" fillId="5" borderId="1">
      <alignment vertical="top"/>
    </xf>
    <xf numFmtId="49" fontId="7" fillId="21" borderId="1">
      <alignment vertical="top"/>
    </xf>
    <xf numFmtId="49" fontId="7" fillId="0" borderId="0">
      <alignment vertical="top"/>
    </xf>
    <xf numFmtId="43" fontId="6" fillId="14" borderId="0">
      <alignment vertical="top"/>
    </xf>
    <xf numFmtId="43" fontId="6" fillId="13" borderId="0">
      <alignment vertical="top"/>
    </xf>
    <xf numFmtId="43" fontId="6" fillId="11" borderId="0">
      <alignment vertical="top"/>
    </xf>
    <xf numFmtId="43" fontId="6" fillId="6" borderId="0">
      <alignment vertical="top"/>
    </xf>
    <xf numFmtId="43" fontId="6" fillId="8" borderId="0">
      <alignment vertical="top"/>
    </xf>
    <xf numFmtId="43" fontId="6" fillId="15" borderId="0">
      <alignment vertical="top"/>
    </xf>
    <xf numFmtId="49" fontId="10" fillId="0" borderId="0">
      <alignment vertical="top"/>
    </xf>
    <xf numFmtId="49" fontId="9" fillId="0" borderId="0">
      <alignment vertical="top"/>
    </xf>
    <xf numFmtId="0" fontId="15" fillId="17" borderId="3" applyNumberFormat="0" applyAlignment="0" applyProtection="0"/>
    <xf numFmtId="0" fontId="16" fillId="18" borderId="4" applyNumberFormat="0" applyAlignment="0" applyProtection="0"/>
    <xf numFmtId="0" fontId="17" fillId="18" borderId="3" applyNumberFormat="0" applyAlignment="0" applyProtection="0"/>
    <xf numFmtId="0" fontId="18" fillId="0" borderId="5" applyNumberFormat="0" applyFill="0" applyAlignment="0" applyProtection="0"/>
    <xf numFmtId="0" fontId="12" fillId="19" borderId="6" applyNumberFormat="0" applyAlignment="0" applyProtection="0"/>
    <xf numFmtId="0" fontId="14" fillId="20"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7" fillId="45"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6" fillId="46" borderId="0" applyNumberFormat="0">
      <alignment vertical="top"/>
    </xf>
    <xf numFmtId="43" fontId="6" fillId="13" borderId="0" applyFont="0" applyFill="0" applyBorder="0" applyAlignment="0" applyProtection="0">
      <alignment vertical="top"/>
    </xf>
    <xf numFmtId="0" fontId="1" fillId="0" borderId="0"/>
  </cellStyleXfs>
  <cellXfs count="80">
    <xf numFmtId="0" fontId="0" fillId="0" borderId="0" xfId="0">
      <alignment vertical="top"/>
    </xf>
    <xf numFmtId="0" fontId="6" fillId="0" borderId="0" xfId="4">
      <alignment vertical="top"/>
    </xf>
    <xf numFmtId="0" fontId="9" fillId="0" borderId="0" xfId="4" applyFont="1">
      <alignment vertical="top"/>
    </xf>
    <xf numFmtId="0" fontId="10" fillId="0" borderId="0" xfId="4" applyFont="1">
      <alignment vertical="top"/>
    </xf>
    <xf numFmtId="0" fontId="6" fillId="0" borderId="2" xfId="4" applyBorder="1">
      <alignment vertical="top"/>
    </xf>
    <xf numFmtId="49" fontId="8" fillId="5" borderId="1" xfId="5">
      <alignment vertical="top"/>
    </xf>
    <xf numFmtId="49" fontId="7" fillId="21" borderId="1" xfId="6">
      <alignment vertical="top"/>
    </xf>
    <xf numFmtId="0" fontId="6" fillId="0" borderId="0" xfId="4" applyFill="1">
      <alignment vertical="top"/>
    </xf>
    <xf numFmtId="0" fontId="6" fillId="0" borderId="2" xfId="4" applyBorder="1" applyAlignment="1">
      <alignment horizontal="left" vertical="top" wrapText="1"/>
    </xf>
    <xf numFmtId="0" fontId="10" fillId="0" borderId="0" xfId="4" applyFont="1" applyFill="1">
      <alignment vertical="top"/>
    </xf>
    <xf numFmtId="0" fontId="6" fillId="7" borderId="0" xfId="4" applyFill="1">
      <alignment vertical="top"/>
    </xf>
    <xf numFmtId="2" fontId="6" fillId="12" borderId="0" xfId="4" applyNumberFormat="1" applyFill="1">
      <alignment vertical="top"/>
    </xf>
    <xf numFmtId="1" fontId="6" fillId="0" borderId="0" xfId="4" applyNumberFormat="1" applyFill="1">
      <alignment vertical="top"/>
    </xf>
    <xf numFmtId="0" fontId="8" fillId="5" borderId="1" xfId="5" applyNumberFormat="1">
      <alignment vertical="top"/>
    </xf>
    <xf numFmtId="0" fontId="13" fillId="0" borderId="0" xfId="4" applyFont="1">
      <alignment vertical="top"/>
    </xf>
    <xf numFmtId="0" fontId="6" fillId="16" borderId="0" xfId="4" applyFill="1">
      <alignment vertical="top"/>
    </xf>
    <xf numFmtId="0" fontId="6" fillId="0" borderId="0" xfId="4" applyFont="1">
      <alignment vertical="top"/>
    </xf>
    <xf numFmtId="49" fontId="6" fillId="21" borderId="2" xfId="6" applyFont="1" applyBorder="1">
      <alignment vertical="top"/>
    </xf>
    <xf numFmtId="0" fontId="6" fillId="0" borderId="2" xfId="4" applyFont="1" applyBorder="1">
      <alignment vertical="top"/>
    </xf>
    <xf numFmtId="49" fontId="10" fillId="0" borderId="0" xfId="14">
      <alignment vertical="top"/>
    </xf>
    <xf numFmtId="49" fontId="7" fillId="0" borderId="0" xfId="7">
      <alignment vertical="top"/>
    </xf>
    <xf numFmtId="49" fontId="9" fillId="0" borderId="0" xfId="15">
      <alignment vertical="top"/>
    </xf>
    <xf numFmtId="0" fontId="6" fillId="0" borderId="2" xfId="4" applyFont="1" applyBorder="1" applyAlignment="1">
      <alignment horizontal="left" vertical="top" wrapText="1"/>
    </xf>
    <xf numFmtId="43" fontId="6" fillId="14" borderId="0" xfId="8">
      <alignment vertical="top"/>
    </xf>
    <xf numFmtId="43" fontId="6" fillId="13" borderId="0" xfId="63" applyFill="1">
      <alignment vertical="top"/>
    </xf>
    <xf numFmtId="43" fontId="6" fillId="6" borderId="0" xfId="63" applyFill="1">
      <alignment vertical="top"/>
    </xf>
    <xf numFmtId="43" fontId="6" fillId="15" borderId="0" xfId="63" applyFill="1">
      <alignment vertical="top"/>
    </xf>
    <xf numFmtId="43" fontId="6" fillId="11" borderId="0" xfId="10">
      <alignment vertical="top"/>
    </xf>
    <xf numFmtId="43" fontId="6" fillId="8" borderId="0" xfId="12">
      <alignment vertical="top"/>
    </xf>
    <xf numFmtId="10" fontId="6" fillId="6" borderId="0" xfId="11" applyNumberFormat="1">
      <alignment vertical="top"/>
    </xf>
    <xf numFmtId="164" fontId="6" fillId="6" borderId="0" xfId="11" applyNumberFormat="1">
      <alignment vertical="top"/>
    </xf>
    <xf numFmtId="164" fontId="6" fillId="6" borderId="0" xfId="12" applyNumberFormat="1" applyFill="1">
      <alignment vertical="top"/>
    </xf>
    <xf numFmtId="164" fontId="6" fillId="13" borderId="0" xfId="9" applyNumberFormat="1">
      <alignment vertical="top"/>
    </xf>
    <xf numFmtId="164" fontId="6" fillId="15" borderId="0" xfId="13" applyNumberFormat="1">
      <alignment vertical="top"/>
    </xf>
    <xf numFmtId="49" fontId="6" fillId="0" borderId="0" xfId="7" applyFont="1">
      <alignment vertical="top"/>
    </xf>
    <xf numFmtId="10" fontId="6" fillId="15" borderId="0" xfId="13" applyNumberFormat="1">
      <alignment vertical="top"/>
    </xf>
    <xf numFmtId="165" fontId="6" fillId="6" borderId="0" xfId="11" applyNumberFormat="1">
      <alignment vertical="top"/>
    </xf>
    <xf numFmtId="49" fontId="7" fillId="21" borderId="1" xfId="6">
      <alignment vertical="top"/>
    </xf>
    <xf numFmtId="164" fontId="6" fillId="13" borderId="0" xfId="9" applyNumberFormat="1">
      <alignment vertical="top"/>
    </xf>
    <xf numFmtId="0" fontId="0" fillId="0" borderId="0" xfId="0">
      <alignment vertical="top"/>
    </xf>
    <xf numFmtId="0" fontId="7" fillId="0" borderId="0" xfId="4" applyFont="1">
      <alignment vertical="top"/>
    </xf>
    <xf numFmtId="0" fontId="6" fillId="0" borderId="0" xfId="4">
      <alignment vertical="top"/>
    </xf>
    <xf numFmtId="164" fontId="6" fillId="15" borderId="0" xfId="13" applyNumberFormat="1">
      <alignment vertical="top"/>
    </xf>
    <xf numFmtId="164" fontId="6" fillId="14" borderId="0" xfId="8" applyNumberFormat="1">
      <alignment vertical="top"/>
    </xf>
    <xf numFmtId="49" fontId="7" fillId="21" borderId="1" xfId="6" applyFont="1">
      <alignment vertical="top"/>
    </xf>
    <xf numFmtId="0" fontId="6" fillId="0" borderId="0" xfId="4" applyFont="1" applyFill="1" applyBorder="1" applyAlignment="1">
      <alignment horizontal="left" vertical="top" wrapText="1"/>
    </xf>
    <xf numFmtId="0" fontId="6" fillId="0" borderId="12" xfId="4" applyBorder="1" applyAlignment="1">
      <alignment horizontal="left" vertical="top" wrapText="1"/>
    </xf>
    <xf numFmtId="0" fontId="6" fillId="0" borderId="0" xfId="4" applyFont="1" applyFill="1" applyBorder="1" applyAlignment="1">
      <alignment horizontal="left" vertical="top"/>
    </xf>
    <xf numFmtId="0" fontId="6" fillId="10" borderId="0" xfId="4" applyFont="1" applyFill="1">
      <alignment vertical="top"/>
    </xf>
    <xf numFmtId="0" fontId="6" fillId="9" borderId="0" xfId="4" applyFont="1" applyFill="1">
      <alignment vertical="top"/>
    </xf>
    <xf numFmtId="0" fontId="6" fillId="13" borderId="0" xfId="4" applyFont="1" applyFill="1">
      <alignment vertical="top"/>
    </xf>
    <xf numFmtId="49" fontId="6" fillId="21" borderId="0" xfId="6" applyFont="1" applyBorder="1">
      <alignment vertical="top"/>
    </xf>
    <xf numFmtId="49" fontId="12" fillId="5" borderId="1" xfId="5" applyFont="1">
      <alignment vertical="top"/>
    </xf>
    <xf numFmtId="0" fontId="6" fillId="46" borderId="0" xfId="62" applyNumberFormat="1">
      <alignment vertical="top"/>
    </xf>
    <xf numFmtId="0" fontId="1" fillId="0" borderId="0" xfId="64" applyAlignment="1">
      <alignment vertical="top"/>
    </xf>
    <xf numFmtId="49" fontId="7" fillId="21" borderId="1" xfId="6" applyAlignment="1">
      <alignment vertical="top" wrapText="1"/>
    </xf>
    <xf numFmtId="43" fontId="6" fillId="13" borderId="0" xfId="9" applyNumberFormat="1">
      <alignment vertical="top"/>
    </xf>
    <xf numFmtId="43" fontId="6" fillId="15" borderId="0" xfId="13" applyNumberFormat="1">
      <alignment vertical="top"/>
    </xf>
    <xf numFmtId="164" fontId="6" fillId="46" borderId="0" xfId="62" applyNumberFormat="1">
      <alignment vertical="top"/>
    </xf>
    <xf numFmtId="49" fontId="7" fillId="0" borderId="0" xfId="4" applyNumberFormat="1" applyFont="1">
      <alignment vertical="top"/>
    </xf>
    <xf numFmtId="165" fontId="6" fillId="15" borderId="0" xfId="13" applyNumberFormat="1">
      <alignment vertical="top"/>
    </xf>
    <xf numFmtId="165" fontId="6" fillId="13" borderId="0" xfId="9" applyNumberFormat="1">
      <alignment vertical="top"/>
    </xf>
    <xf numFmtId="166" fontId="6" fillId="6" borderId="0" xfId="11" applyNumberFormat="1">
      <alignment vertical="top"/>
    </xf>
    <xf numFmtId="9" fontId="6" fillId="6" borderId="0" xfId="11" applyNumberFormat="1">
      <alignment vertical="top"/>
    </xf>
    <xf numFmtId="166" fontId="6" fillId="15" borderId="0" xfId="13" applyNumberFormat="1">
      <alignment vertical="top"/>
    </xf>
    <xf numFmtId="9" fontId="6" fillId="15" borderId="0" xfId="13" applyNumberFormat="1">
      <alignment vertical="top"/>
    </xf>
    <xf numFmtId="0" fontId="6" fillId="0" borderId="0" xfId="4" applyAlignment="1">
      <alignment horizontal="left" vertical="top" indent="1"/>
    </xf>
    <xf numFmtId="43" fontId="6" fillId="13" borderId="0" xfId="9">
      <alignment vertical="top"/>
    </xf>
    <xf numFmtId="165" fontId="6" fillId="14" borderId="0" xfId="8" applyNumberFormat="1">
      <alignment vertical="top"/>
    </xf>
    <xf numFmtId="49" fontId="9" fillId="0" borderId="0" xfId="15" applyFont="1">
      <alignment vertical="top"/>
    </xf>
    <xf numFmtId="0" fontId="6" fillId="0" borderId="2" xfId="4" applyFont="1" applyBorder="1" applyAlignment="1">
      <alignment vertical="top" wrapText="1"/>
    </xf>
    <xf numFmtId="49" fontId="29" fillId="0" borderId="2" xfId="61" applyFont="1" applyBorder="1" applyAlignment="1">
      <alignment vertical="top"/>
    </xf>
    <xf numFmtId="0" fontId="6" fillId="0" borderId="2" xfId="0" applyFont="1" applyBorder="1">
      <alignment vertical="top"/>
    </xf>
    <xf numFmtId="0" fontId="6" fillId="0" borderId="2" xfId="0" applyFont="1" applyBorder="1" applyAlignment="1">
      <alignment vertical="top" wrapText="1"/>
    </xf>
    <xf numFmtId="164" fontId="6" fillId="6" borderId="0" xfId="11" applyNumberFormat="1" applyAlignment="1">
      <alignment vertical="top" wrapText="1"/>
    </xf>
    <xf numFmtId="49" fontId="20" fillId="0" borderId="2" xfId="61" applyBorder="1" applyAlignment="1">
      <alignment vertical="top" wrapText="1"/>
    </xf>
    <xf numFmtId="49" fontId="20" fillId="0" borderId="2" xfId="61" applyBorder="1" applyAlignment="1">
      <alignment vertical="top"/>
    </xf>
    <xf numFmtId="164" fontId="6" fillId="6" borderId="0" xfId="12" applyNumberFormat="1" applyFill="1" applyAlignment="1">
      <alignment vertical="top" wrapText="1"/>
    </xf>
    <xf numFmtId="49" fontId="20" fillId="0" borderId="0" xfId="61" applyAlignment="1">
      <alignment vertical="top"/>
    </xf>
    <xf numFmtId="43" fontId="6" fillId="14" borderId="0" xfId="8" applyNumberFormat="1">
      <alignment vertical="top"/>
    </xf>
  </cellXfs>
  <cellStyles count="65">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Standaard" xfId="0" builtinId="0" customBuiltin="1"/>
    <cellStyle name="Standaard 2" xfId="64"/>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C8D9"/>
      <color rgb="FFFFCCFF"/>
      <color rgb="FFFFFFCC"/>
      <color rgb="FFCCFFCC"/>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twoCellAnchor editAs="oneCell">
    <xdr:from>
      <xdr:col>1</xdr:col>
      <xdr:colOff>66675</xdr:colOff>
      <xdr:row>3</xdr:row>
      <xdr:rowOff>133351</xdr:rowOff>
    </xdr:from>
    <xdr:to>
      <xdr:col>1</xdr:col>
      <xdr:colOff>1905000</xdr:colOff>
      <xdr:row>10</xdr:row>
      <xdr:rowOff>94480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opendata.cbs.nl/statline/" TargetMode="External"/><Relationship Id="rId7" Type="http://schemas.openxmlformats.org/officeDocument/2006/relationships/hyperlink" Target="https://www.acm.nl/nl/publicaties/beschikking-distributietarieven-elektriciteit-2020-saba-sec-caribisch-nederland" TargetMode="External"/><Relationship Id="rId2" Type="http://schemas.openxmlformats.org/officeDocument/2006/relationships/hyperlink" Target="https://www.acm.nl/nl/publicaties/beschikking-variabel-tarief-elektriciteit-1-juli-2019-saba-caribisch-nederland" TargetMode="External"/><Relationship Id="rId1" Type="http://schemas.openxmlformats.org/officeDocument/2006/relationships/hyperlink" Target="https://www.acm.nl/nl/publicaties/beschikking-productieprijzen-elektriciteit-2019-saba-caribisch-nederland" TargetMode="External"/><Relationship Id="rId6" Type="http://schemas.openxmlformats.org/officeDocument/2006/relationships/hyperlink" Target="https://www.acm.nl/nl/publicaties/beschikking-productieprijzen-elektriciteit-2019-saba-caribisch-nederland" TargetMode="External"/><Relationship Id="rId5" Type="http://schemas.openxmlformats.org/officeDocument/2006/relationships/hyperlink" Target="https://www.acm.nl/sites/default/files/old_publication/publicaties/16390_methodebesluit-caribisch-nederland.pdf" TargetMode="External"/><Relationship Id="rId4" Type="http://schemas.openxmlformats.org/officeDocument/2006/relationships/hyperlink" Target="https://www.acm.nl/sites/default/files/old_publication/publicaties/16601_wacc-determination-caribbean-netherland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CCC8D9"/>
  </sheetPr>
  <dimension ref="B2:D36"/>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41" customWidth="1"/>
    <col min="2" max="2" width="39.85546875" style="41" customWidth="1"/>
    <col min="3" max="3" width="81.140625" style="41" customWidth="1"/>
    <col min="4" max="16384" width="9.140625" style="41"/>
  </cols>
  <sheetData>
    <row r="2" spans="2:3" s="5" customFormat="1" ht="18" x14ac:dyDescent="0.2">
      <c r="B2" s="5" t="s">
        <v>191</v>
      </c>
    </row>
    <row r="6" spans="2:3" x14ac:dyDescent="0.2">
      <c r="B6" s="16"/>
    </row>
    <row r="13" spans="2:3" s="37" customFormat="1" x14ac:dyDescent="0.2">
      <c r="B13" s="37" t="s">
        <v>17</v>
      </c>
    </row>
    <row r="14" spans="2:3" s="7" customFormat="1" x14ac:dyDescent="0.2"/>
    <row r="15" spans="2:3" x14ac:dyDescent="0.2">
      <c r="B15" s="22" t="s">
        <v>18</v>
      </c>
      <c r="C15" s="8" t="s">
        <v>243</v>
      </c>
    </row>
    <row r="16" spans="2:3" x14ac:dyDescent="0.2">
      <c r="B16" s="22" t="s">
        <v>19</v>
      </c>
      <c r="C16" s="8" t="s">
        <v>107</v>
      </c>
    </row>
    <row r="17" spans="2:4" ht="25.5" x14ac:dyDescent="0.2">
      <c r="B17" s="22" t="s">
        <v>245</v>
      </c>
      <c r="C17" s="46" t="s">
        <v>108</v>
      </c>
    </row>
    <row r="18" spans="2:4" ht="25.5" x14ac:dyDescent="0.2">
      <c r="B18" s="22" t="s">
        <v>246</v>
      </c>
      <c r="C18" s="8" t="s">
        <v>244</v>
      </c>
    </row>
    <row r="19" spans="2:4" ht="25.5" x14ac:dyDescent="0.2">
      <c r="B19" s="22" t="s">
        <v>20</v>
      </c>
      <c r="C19" s="8" t="s">
        <v>106</v>
      </c>
    </row>
    <row r="20" spans="2:4" x14ac:dyDescent="0.2">
      <c r="B20" s="22" t="s">
        <v>21</v>
      </c>
      <c r="C20" s="8"/>
    </row>
    <row r="23" spans="2:4" s="37" customFormat="1" x14ac:dyDescent="0.2">
      <c r="B23" s="37" t="s">
        <v>22</v>
      </c>
    </row>
    <row r="25" spans="2:4" x14ac:dyDescent="0.2">
      <c r="B25" s="22" t="s">
        <v>23</v>
      </c>
      <c r="C25" s="8" t="s">
        <v>251</v>
      </c>
    </row>
    <row r="26" spans="2:4" x14ac:dyDescent="0.2">
      <c r="B26" s="22" t="s">
        <v>25</v>
      </c>
      <c r="C26" s="8" t="s">
        <v>251</v>
      </c>
    </row>
    <row r="27" spans="2:4" ht="25.5" x14ac:dyDescent="0.2">
      <c r="B27" s="22" t="s">
        <v>26</v>
      </c>
      <c r="C27" s="8" t="s">
        <v>251</v>
      </c>
    </row>
    <row r="28" spans="2:4" x14ac:dyDescent="0.2">
      <c r="B28" s="22" t="s">
        <v>27</v>
      </c>
      <c r="C28" s="8" t="s">
        <v>24</v>
      </c>
    </row>
    <row r="29" spans="2:4" x14ac:dyDescent="0.2">
      <c r="B29" s="22" t="s">
        <v>21</v>
      </c>
      <c r="C29" s="8"/>
    </row>
    <row r="31" spans="2:4" x14ac:dyDescent="0.2">
      <c r="B31" s="47" t="s">
        <v>28</v>
      </c>
      <c r="C31" s="45"/>
      <c r="D31" s="3"/>
    </row>
    <row r="34" spans="2:2" s="37" customFormat="1" x14ac:dyDescent="0.2">
      <c r="B34" s="37" t="s">
        <v>252</v>
      </c>
    </row>
    <row r="36" spans="2:2" x14ac:dyDescent="0.2">
      <c r="B36" s="41" t="s">
        <v>253</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4"/>
  <sheetViews>
    <sheetView showGridLines="0" zoomScale="85" zoomScaleNormal="85" workbookViewId="0">
      <pane xSplit="3" ySplit="10" topLeftCell="D11" activePane="bottomRight" state="frozen"/>
      <selection pane="topRight"/>
      <selection pane="bottomLeft"/>
      <selection pane="bottomRight" activeCell="D11" sqref="D11"/>
    </sheetView>
  </sheetViews>
  <sheetFormatPr defaultRowHeight="12.75" x14ac:dyDescent="0.2"/>
  <cols>
    <col min="1" max="1" width="4.5703125" style="41" customWidth="1"/>
    <col min="2" max="2" width="50.7109375" style="41" customWidth="1"/>
    <col min="3" max="3" width="15.5703125" style="41" customWidth="1"/>
    <col min="4" max="4" width="2.7109375" style="41" customWidth="1"/>
    <col min="5" max="5" width="13.7109375" style="41" customWidth="1"/>
    <col min="6" max="6" width="2.7109375" style="41" customWidth="1"/>
    <col min="7" max="7" width="21.7109375" style="41" customWidth="1"/>
    <col min="8" max="8" width="21.7109375" style="39" customWidth="1"/>
    <col min="9" max="9" width="2.7109375" style="41" customWidth="1"/>
    <col min="10" max="10" width="30.7109375" style="41" customWidth="1"/>
    <col min="11" max="11" width="2.7109375" style="41" customWidth="1"/>
    <col min="12" max="21" width="12.5703125" style="41" customWidth="1"/>
    <col min="22" max="24" width="2.7109375" style="41" customWidth="1"/>
    <col min="25" max="39" width="13.7109375" style="41" customWidth="1"/>
    <col min="40" max="16384" width="9.140625" style="41"/>
  </cols>
  <sheetData>
    <row r="2" spans="2:10" s="13" customFormat="1" ht="18" x14ac:dyDescent="0.2">
      <c r="B2" s="13" t="s">
        <v>136</v>
      </c>
    </row>
    <row r="4" spans="2:10" x14ac:dyDescent="0.2">
      <c r="B4" s="20" t="s">
        <v>13</v>
      </c>
    </row>
    <row r="5" spans="2:10" x14ac:dyDescent="0.2">
      <c r="B5" s="16" t="s">
        <v>247</v>
      </c>
      <c r="G5" s="14"/>
    </row>
    <row r="6" spans="2:10" x14ac:dyDescent="0.2">
      <c r="B6" s="16"/>
      <c r="G6" s="14"/>
    </row>
    <row r="7" spans="2:10" x14ac:dyDescent="0.2">
      <c r="B7" s="21" t="s">
        <v>30</v>
      </c>
      <c r="G7" s="14"/>
    </row>
    <row r="8" spans="2:10" x14ac:dyDescent="0.2">
      <c r="B8" s="21" t="s">
        <v>97</v>
      </c>
      <c r="G8" s="14"/>
    </row>
    <row r="10" spans="2:10" s="37" customFormat="1" x14ac:dyDescent="0.2">
      <c r="B10" s="37" t="s">
        <v>6</v>
      </c>
      <c r="C10" s="37" t="s">
        <v>10</v>
      </c>
      <c r="E10" s="37" t="s">
        <v>7</v>
      </c>
      <c r="G10" s="37" t="s">
        <v>86</v>
      </c>
      <c r="H10" s="37" t="s">
        <v>87</v>
      </c>
      <c r="J10" s="37" t="s">
        <v>9</v>
      </c>
    </row>
    <row r="12" spans="2:10" s="37" customFormat="1" x14ac:dyDescent="0.2">
      <c r="B12" s="37" t="s">
        <v>71</v>
      </c>
    </row>
    <row r="13" spans="2:10" x14ac:dyDescent="0.2">
      <c r="H13" s="41"/>
    </row>
    <row r="14" spans="2:10" x14ac:dyDescent="0.2">
      <c r="B14" s="41" t="s">
        <v>137</v>
      </c>
      <c r="C14" s="41" t="s">
        <v>4</v>
      </c>
      <c r="E14" s="35">
        <f>Parameters!E24</f>
        <v>6.4100000000000004E-2</v>
      </c>
      <c r="H14" s="41"/>
    </row>
    <row r="15" spans="2:10" x14ac:dyDescent="0.2">
      <c r="H15" s="41"/>
    </row>
    <row r="16" spans="2:10" x14ac:dyDescent="0.2">
      <c r="B16" s="20" t="s">
        <v>14</v>
      </c>
      <c r="H16" s="41"/>
    </row>
    <row r="17" spans="2:10" x14ac:dyDescent="0.2">
      <c r="B17" s="41" t="s">
        <v>92</v>
      </c>
      <c r="C17" s="41" t="s">
        <v>78</v>
      </c>
      <c r="G17" s="42">
        <f>'Estimation for 2019'!G13</f>
        <v>2418246.4801129899</v>
      </c>
      <c r="H17" s="42">
        <f>'Estimation for 2019'!H13</f>
        <v>4308786.8547856901</v>
      </c>
    </row>
    <row r="18" spans="2:10" x14ac:dyDescent="0.2">
      <c r="B18" s="41" t="s">
        <v>93</v>
      </c>
      <c r="C18" s="41" t="s">
        <v>78</v>
      </c>
      <c r="G18" s="42">
        <f>'Estimation for 2019'!G14</f>
        <v>109385.652054112</v>
      </c>
      <c r="H18" s="42">
        <f>'Estimation for 2019'!H14</f>
        <v>261389.786886141</v>
      </c>
    </row>
    <row r="19" spans="2:10" x14ac:dyDescent="0.2">
      <c r="B19" s="41" t="s">
        <v>138</v>
      </c>
      <c r="C19" s="41" t="s">
        <v>78</v>
      </c>
      <c r="G19" s="42">
        <f>'Estimation for 2019'!G17</f>
        <v>1043230.08150688</v>
      </c>
      <c r="H19" s="42">
        <f>'Estimation for 2019'!H17</f>
        <v>846221.79849312396</v>
      </c>
    </row>
    <row r="20" spans="2:10" x14ac:dyDescent="0.2">
      <c r="B20" s="41" t="s">
        <v>94</v>
      </c>
      <c r="C20" s="41" t="s">
        <v>78</v>
      </c>
      <c r="G20" s="42">
        <f>'Estimation for 2019'!G19</f>
        <v>368.09996360998502</v>
      </c>
      <c r="H20" s="42">
        <f>'Estimation for 2019'!H19</f>
        <v>76020.410036390007</v>
      </c>
    </row>
    <row r="21" spans="2:10" x14ac:dyDescent="0.2">
      <c r="H21" s="41"/>
    </row>
    <row r="22" spans="2:10" x14ac:dyDescent="0.2">
      <c r="B22" s="41" t="s">
        <v>139</v>
      </c>
      <c r="C22" s="41" t="s">
        <v>4</v>
      </c>
      <c r="G22" s="65">
        <f>Parameters!G32</f>
        <v>0.25</v>
      </c>
      <c r="H22" s="65">
        <f>Parameters!H32</f>
        <v>0.25</v>
      </c>
    </row>
    <row r="23" spans="2:10" x14ac:dyDescent="0.2">
      <c r="B23" s="41" t="s">
        <v>140</v>
      </c>
      <c r="C23" s="41" t="s">
        <v>4</v>
      </c>
      <c r="G23" s="65">
        <f>Parameters!G33</f>
        <v>0</v>
      </c>
      <c r="H23" s="65">
        <f>Parameters!H33</f>
        <v>0.5</v>
      </c>
      <c r="J23" s="16" t="s">
        <v>96</v>
      </c>
    </row>
    <row r="24" spans="2:10" x14ac:dyDescent="0.2">
      <c r="H24" s="41"/>
    </row>
    <row r="25" spans="2:10" x14ac:dyDescent="0.2">
      <c r="B25" s="40" t="s">
        <v>66</v>
      </c>
      <c r="H25" s="41"/>
    </row>
    <row r="26" spans="2:10" s="21" customFormat="1" x14ac:dyDescent="0.2">
      <c r="B26" s="21" t="s">
        <v>67</v>
      </c>
      <c r="C26" s="21" t="s">
        <v>68</v>
      </c>
      <c r="G26" s="21" t="s">
        <v>11</v>
      </c>
      <c r="H26" s="21" t="s">
        <v>69</v>
      </c>
    </row>
    <row r="27" spans="2:10" x14ac:dyDescent="0.2">
      <c r="B27" s="41" t="s">
        <v>229</v>
      </c>
      <c r="C27" s="41" t="s">
        <v>68</v>
      </c>
      <c r="G27" s="42">
        <f>'Estimation for 2019'!G26</f>
        <v>9217268</v>
      </c>
      <c r="H27" s="42">
        <f>'Estimation for 2019'!H26</f>
        <v>10380.699999999999</v>
      </c>
    </row>
    <row r="28" spans="2:10" x14ac:dyDescent="0.2">
      <c r="B28" s="39"/>
      <c r="C28" s="39"/>
      <c r="D28" s="39"/>
      <c r="E28" s="39"/>
      <c r="F28" s="39"/>
      <c r="H28" s="41"/>
    </row>
    <row r="29" spans="2:10" s="37" customFormat="1" x14ac:dyDescent="0.2">
      <c r="B29" s="37" t="s">
        <v>141</v>
      </c>
    </row>
    <row r="31" spans="2:10" x14ac:dyDescent="0.2">
      <c r="B31" s="40" t="s">
        <v>142</v>
      </c>
    </row>
    <row r="32" spans="2:10" x14ac:dyDescent="0.2">
      <c r="B32" s="41" t="s">
        <v>143</v>
      </c>
      <c r="C32" s="41" t="s">
        <v>78</v>
      </c>
      <c r="G32" s="38">
        <f>G19*(1-G22)-G20</f>
        <v>782054.46116655006</v>
      </c>
      <c r="H32" s="38">
        <f>H19*(1-H22)-H20</f>
        <v>558645.93883345299</v>
      </c>
    </row>
    <row r="33" spans="2:8" x14ac:dyDescent="0.2">
      <c r="B33" s="41" t="s">
        <v>144</v>
      </c>
      <c r="C33" s="41" t="s">
        <v>78</v>
      </c>
      <c r="G33" s="38">
        <f>G19*G22</f>
        <v>260807.52037672</v>
      </c>
      <c r="H33" s="38">
        <f>H19*H22</f>
        <v>211555.44962328099</v>
      </c>
    </row>
    <row r="34" spans="2:8" x14ac:dyDescent="0.2">
      <c r="B34" s="41" t="s">
        <v>145</v>
      </c>
      <c r="C34" s="41" t="s">
        <v>98</v>
      </c>
      <c r="G34" s="61">
        <f>G33/G27</f>
        <v>2.8295534032071107E-2</v>
      </c>
      <c r="H34" s="67">
        <f>H33/H27</f>
        <v>20.379690158012561</v>
      </c>
    </row>
    <row r="36" spans="2:8" x14ac:dyDescent="0.2">
      <c r="B36" s="40" t="s">
        <v>146</v>
      </c>
    </row>
    <row r="37" spans="2:8" x14ac:dyDescent="0.2">
      <c r="B37" s="41" t="s">
        <v>100</v>
      </c>
      <c r="C37" s="41" t="s">
        <v>78</v>
      </c>
      <c r="G37" s="38">
        <f>$E$14*G17+G18</f>
        <v>264395.25142935466</v>
      </c>
      <c r="H37" s="38">
        <f>$E$14*H17+H18</f>
        <v>537583.02427790372</v>
      </c>
    </row>
    <row r="38" spans="2:8" x14ac:dyDescent="0.2">
      <c r="B38" s="41" t="s">
        <v>147</v>
      </c>
      <c r="C38" s="41" t="s">
        <v>78</v>
      </c>
      <c r="G38" s="38">
        <f>G37*(1-G23)</f>
        <v>264395.25142935466</v>
      </c>
      <c r="H38" s="38">
        <f>H37*(1-H23)</f>
        <v>268791.51213895186</v>
      </c>
    </row>
    <row r="39" spans="2:8" x14ac:dyDescent="0.2">
      <c r="B39" s="41" t="s">
        <v>148</v>
      </c>
      <c r="C39" s="41" t="s">
        <v>78</v>
      </c>
      <c r="G39" s="38">
        <f>G37*G23</f>
        <v>0</v>
      </c>
      <c r="H39" s="38">
        <f>H37*H23</f>
        <v>268791.51213895186</v>
      </c>
    </row>
    <row r="40" spans="2:8" x14ac:dyDescent="0.2">
      <c r="B40" s="41" t="s">
        <v>149</v>
      </c>
      <c r="C40" s="41" t="s">
        <v>98</v>
      </c>
      <c r="G40" s="56">
        <f>G39/G27</f>
        <v>0</v>
      </c>
      <c r="H40" s="56">
        <f>H39/H27</f>
        <v>25.893389861854391</v>
      </c>
    </row>
    <row r="42" spans="2:8" x14ac:dyDescent="0.2">
      <c r="B42" s="40" t="s">
        <v>150</v>
      </c>
    </row>
    <row r="43" spans="2:8" x14ac:dyDescent="0.2">
      <c r="B43" s="41" t="s">
        <v>151</v>
      </c>
      <c r="C43" s="41" t="s">
        <v>78</v>
      </c>
      <c r="G43" s="43">
        <f>G32+G38</f>
        <v>1046449.7125959047</v>
      </c>
      <c r="H43" s="43">
        <f>H32+H38</f>
        <v>827437.4509724048</v>
      </c>
    </row>
    <row r="44" spans="2:8" x14ac:dyDescent="0.2">
      <c r="B44" s="41" t="s">
        <v>152</v>
      </c>
      <c r="C44" s="41" t="s">
        <v>98</v>
      </c>
      <c r="G44" s="68">
        <f>G34+G40</f>
        <v>2.8295534032071107E-2</v>
      </c>
      <c r="H44" s="79">
        <f>H34+H40</f>
        <v>46.273080019866953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FFFFCC"/>
  </sheetPr>
  <dimension ref="A2:J22"/>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1" customWidth="1"/>
    <col min="2" max="2" width="50.7109375" style="1" customWidth="1"/>
    <col min="3" max="3" width="13.7109375" style="1" customWidth="1"/>
    <col min="4" max="4" width="2.7109375" style="41" customWidth="1"/>
    <col min="5" max="5" width="13.7109375" style="41" customWidth="1"/>
    <col min="6" max="6" width="2.7109375" style="1" customWidth="1"/>
    <col min="7" max="7" width="21.7109375" style="1" customWidth="1"/>
    <col min="8" max="8" width="21.7109375" customWidth="1"/>
    <col min="9" max="9" width="2.7109375" style="1" customWidth="1"/>
    <col min="10" max="10" width="30.7109375" style="1" customWidth="1"/>
    <col min="11" max="11" width="2.7109375" style="1" customWidth="1"/>
    <col min="12" max="21" width="12.5703125" style="1" customWidth="1"/>
    <col min="22" max="24" width="2.7109375" style="1" customWidth="1"/>
    <col min="25" max="39" width="13.7109375" style="1" customWidth="1"/>
    <col min="40" max="16384" width="9.140625" style="1"/>
  </cols>
  <sheetData>
    <row r="2" spans="1:10" s="13" customFormat="1" ht="18" x14ac:dyDescent="0.2">
      <c r="B2" s="13" t="s">
        <v>153</v>
      </c>
    </row>
    <row r="4" spans="1:10" x14ac:dyDescent="0.2">
      <c r="B4" s="20" t="s">
        <v>13</v>
      </c>
    </row>
    <row r="5" spans="1:10" x14ac:dyDescent="0.2">
      <c r="B5" s="16" t="s">
        <v>102</v>
      </c>
      <c r="G5" s="14"/>
    </row>
    <row r="7" spans="1:10" s="6" customFormat="1" x14ac:dyDescent="0.2">
      <c r="A7" s="37"/>
      <c r="B7" s="6" t="s">
        <v>6</v>
      </c>
      <c r="C7" s="6" t="s">
        <v>10</v>
      </c>
      <c r="D7" s="37"/>
      <c r="E7" s="37" t="s">
        <v>7</v>
      </c>
      <c r="G7" s="37" t="s">
        <v>86</v>
      </c>
      <c r="H7" s="37" t="s">
        <v>87</v>
      </c>
      <c r="J7" s="6" t="s">
        <v>9</v>
      </c>
    </row>
    <row r="9" spans="1:10" s="6" customFormat="1" x14ac:dyDescent="0.2">
      <c r="A9" s="37"/>
      <c r="B9" s="6" t="s">
        <v>154</v>
      </c>
      <c r="D9" s="37"/>
      <c r="E9" s="37"/>
    </row>
    <row r="11" spans="1:10" s="41" customFormat="1" x14ac:dyDescent="0.2">
      <c r="B11" s="41" t="s">
        <v>155</v>
      </c>
      <c r="C11" s="41" t="s">
        <v>78</v>
      </c>
      <c r="G11" s="42">
        <f>'Fixed-variable costs 2017'!G43</f>
        <v>1046449.7125959047</v>
      </c>
      <c r="H11" s="42">
        <f>'Fixed-variable costs 2017'!H43</f>
        <v>827437.4509724048</v>
      </c>
    </row>
    <row r="13" spans="1:10" s="41" customFormat="1" x14ac:dyDescent="0.2">
      <c r="B13" s="40" t="s">
        <v>70</v>
      </c>
    </row>
    <row r="14" spans="1:10" s="21" customFormat="1" x14ac:dyDescent="0.2">
      <c r="B14" s="21" t="s">
        <v>67</v>
      </c>
      <c r="C14" s="21" t="s">
        <v>68</v>
      </c>
      <c r="G14" s="21" t="s">
        <v>11</v>
      </c>
      <c r="H14" s="21" t="s">
        <v>69</v>
      </c>
    </row>
    <row r="15" spans="1:10" s="41" customFormat="1" x14ac:dyDescent="0.2">
      <c r="A15" s="7"/>
      <c r="B15" s="41" t="s">
        <v>121</v>
      </c>
      <c r="C15" s="41" t="s">
        <v>68</v>
      </c>
      <c r="G15" s="42">
        <f>'Estimation for 2019'!G27</f>
        <v>8998557.7699999996</v>
      </c>
      <c r="H15" s="42">
        <f>'Estimation for 2019'!H27</f>
        <v>11302.499999999998</v>
      </c>
    </row>
    <row r="16" spans="1:10" s="41" customFormat="1" x14ac:dyDescent="0.2">
      <c r="B16" s="41" t="s">
        <v>134</v>
      </c>
      <c r="C16" s="41" t="s">
        <v>68</v>
      </c>
      <c r="G16" s="42">
        <f>'Realization of 2019'!G24</f>
        <v>9137706.3000000007</v>
      </c>
      <c r="H16" s="42">
        <f>'Realization of 2019'!H24</f>
        <v>11528.715384615381</v>
      </c>
    </row>
    <row r="18" spans="1:10" s="6" customFormat="1" x14ac:dyDescent="0.2">
      <c r="A18" s="37"/>
      <c r="B18" s="6" t="s">
        <v>153</v>
      </c>
      <c r="D18" s="37"/>
      <c r="E18" s="37"/>
    </row>
    <row r="20" spans="1:10" x14ac:dyDescent="0.2">
      <c r="B20" s="20" t="s">
        <v>156</v>
      </c>
    </row>
    <row r="21" spans="1:10" x14ac:dyDescent="0.2">
      <c r="B21" s="1" t="s">
        <v>157</v>
      </c>
      <c r="C21" s="1" t="s">
        <v>78</v>
      </c>
      <c r="G21" s="32">
        <f>G11/G15*G16</f>
        <v>1062631.4100354761</v>
      </c>
      <c r="H21" s="38">
        <f>H11/H15*H16</f>
        <v>843998.30752775923</v>
      </c>
    </row>
    <row r="22" spans="1:10" x14ac:dyDescent="0.2">
      <c r="B22" s="34" t="s">
        <v>158</v>
      </c>
      <c r="C22" s="1" t="s">
        <v>78</v>
      </c>
      <c r="G22" s="43">
        <f>G11-G21</f>
        <v>-16181.697439571377</v>
      </c>
      <c r="H22" s="43">
        <f>H11-H21</f>
        <v>-16560.856555354432</v>
      </c>
      <c r="J22" s="16" t="s">
        <v>241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FFFFCC"/>
  </sheetPr>
  <dimension ref="A2:J45"/>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1" customWidth="1"/>
    <col min="2" max="2" width="50.7109375" style="1" customWidth="1"/>
    <col min="3" max="3" width="13.7109375" style="1" customWidth="1"/>
    <col min="4" max="4" width="2.7109375" style="41" customWidth="1"/>
    <col min="5" max="5" width="13.7109375" style="41" customWidth="1"/>
    <col min="6" max="6" width="2.7109375" style="1" customWidth="1"/>
    <col min="7" max="7" width="21.7109375" style="1" customWidth="1"/>
    <col min="8" max="8" width="21.7109375" style="41" customWidth="1"/>
    <col min="9" max="9" width="2.7109375" style="1" customWidth="1"/>
    <col min="10" max="10" width="30.7109375" style="1" customWidth="1"/>
    <col min="11" max="14" width="12.5703125" style="1" customWidth="1"/>
    <col min="15" max="17" width="2.7109375" style="1" customWidth="1"/>
    <col min="18" max="32" width="13.7109375" style="1" customWidth="1"/>
    <col min="33" max="16384" width="9.140625" style="1"/>
  </cols>
  <sheetData>
    <row r="2" spans="1:10" s="13" customFormat="1" ht="18" x14ac:dyDescent="0.2">
      <c r="B2" s="13" t="s">
        <v>159</v>
      </c>
    </row>
    <row r="4" spans="1:10" x14ac:dyDescent="0.2">
      <c r="B4" s="20" t="s">
        <v>13</v>
      </c>
    </row>
    <row r="5" spans="1:10" x14ac:dyDescent="0.2">
      <c r="B5" s="16" t="s">
        <v>82</v>
      </c>
      <c r="G5" s="14"/>
      <c r="H5" s="14"/>
    </row>
    <row r="7" spans="1:10" s="6" customFormat="1" x14ac:dyDescent="0.2">
      <c r="A7" s="37"/>
      <c r="B7" s="6" t="s">
        <v>6</v>
      </c>
      <c r="C7" s="6" t="s">
        <v>10</v>
      </c>
      <c r="D7" s="37"/>
      <c r="E7" s="37" t="s">
        <v>7</v>
      </c>
      <c r="G7" s="37" t="s">
        <v>86</v>
      </c>
      <c r="H7" s="37" t="s">
        <v>87</v>
      </c>
      <c r="J7" s="6" t="s">
        <v>9</v>
      </c>
    </row>
    <row r="9" spans="1:10" s="6" customFormat="1" x14ac:dyDescent="0.2">
      <c r="A9" s="37"/>
      <c r="B9" s="6" t="s">
        <v>16</v>
      </c>
      <c r="D9" s="37"/>
      <c r="E9" s="37"/>
      <c r="H9" s="37"/>
    </row>
    <row r="10" spans="1:10" x14ac:dyDescent="0.2">
      <c r="B10" s="20"/>
    </row>
    <row r="11" spans="1:10" x14ac:dyDescent="0.2">
      <c r="B11" s="20" t="s">
        <v>79</v>
      </c>
    </row>
    <row r="12" spans="1:10" x14ac:dyDescent="0.2">
      <c r="B12" s="1" t="s">
        <v>137</v>
      </c>
      <c r="C12" s="1" t="s">
        <v>4</v>
      </c>
      <c r="E12" s="35">
        <f>Parameters!E24</f>
        <v>6.4100000000000004E-2</v>
      </c>
    </row>
    <row r="13" spans="1:10" x14ac:dyDescent="0.2">
      <c r="B13" s="1" t="s">
        <v>65</v>
      </c>
      <c r="C13" s="1" t="s">
        <v>4</v>
      </c>
      <c r="E13" s="64">
        <f>Parameters!E17</f>
        <v>-1.3000000000000001E-2</v>
      </c>
    </row>
    <row r="14" spans="1:10" x14ac:dyDescent="0.2">
      <c r="B14" s="41" t="s">
        <v>75</v>
      </c>
      <c r="C14" s="1" t="s">
        <v>4</v>
      </c>
      <c r="E14" s="64">
        <f>Parameters!E18</f>
        <v>4.3999999999999997E-2</v>
      </c>
    </row>
    <row r="15" spans="1:10" x14ac:dyDescent="0.2">
      <c r="B15" s="1" t="s">
        <v>64</v>
      </c>
      <c r="C15" s="1" t="s">
        <v>4</v>
      </c>
      <c r="E15" s="65">
        <f>Parameters!E28</f>
        <v>0.5</v>
      </c>
    </row>
    <row r="17" spans="1:10" x14ac:dyDescent="0.2">
      <c r="B17" s="20" t="s">
        <v>160</v>
      </c>
      <c r="J17" s="16" t="s">
        <v>99</v>
      </c>
    </row>
    <row r="18" spans="1:10" x14ac:dyDescent="0.2">
      <c r="B18" s="41" t="s">
        <v>162</v>
      </c>
      <c r="C18" s="41" t="s">
        <v>78</v>
      </c>
      <c r="G18" s="42">
        <f>'Fixed-variable costs 2017'!G43</f>
        <v>1046449.7125959047</v>
      </c>
      <c r="H18" s="42">
        <f>'Fixed-variable costs 2017'!H43</f>
        <v>827437.4509724048</v>
      </c>
      <c r="J18" s="16"/>
    </row>
    <row r="19" spans="1:10" x14ac:dyDescent="0.2">
      <c r="B19" s="41" t="s">
        <v>161</v>
      </c>
      <c r="C19" s="41" t="s">
        <v>163</v>
      </c>
      <c r="G19" s="60">
        <f>'Fixed-variable costs 2017'!G44</f>
        <v>2.8295534032071107E-2</v>
      </c>
      <c r="H19" s="57">
        <f>'Fixed-variable costs 2017'!H44</f>
        <v>46.273080019866953</v>
      </c>
      <c r="J19" s="16"/>
    </row>
    <row r="20" spans="1:10" x14ac:dyDescent="0.2">
      <c r="J20" s="16"/>
    </row>
    <row r="21" spans="1:10" x14ac:dyDescent="0.2">
      <c r="B21" s="20" t="s">
        <v>164</v>
      </c>
      <c r="J21" s="16"/>
    </row>
    <row r="22" spans="1:10" x14ac:dyDescent="0.2">
      <c r="B22" s="41" t="s">
        <v>128</v>
      </c>
      <c r="C22" s="41" t="s">
        <v>114</v>
      </c>
      <c r="G22" s="33">
        <f>'Realization of 2019'!G12</f>
        <v>2435322.9712092979</v>
      </c>
      <c r="H22" s="42">
        <f>'Realization of 2019'!H12</f>
        <v>3930704.97591291</v>
      </c>
      <c r="J22" s="16"/>
    </row>
    <row r="23" spans="1:10" x14ac:dyDescent="0.2">
      <c r="B23" s="1" t="s">
        <v>129</v>
      </c>
      <c r="C23" s="1" t="s">
        <v>114</v>
      </c>
      <c r="G23" s="33">
        <f>'Realization of 2019'!G13</f>
        <v>112482.70404425287</v>
      </c>
      <c r="H23" s="42">
        <f>'Realization of 2019'!H13</f>
        <v>264522.66101660288</v>
      </c>
      <c r="J23" s="16"/>
    </row>
    <row r="24" spans="1:10" x14ac:dyDescent="0.2">
      <c r="B24" s="41" t="s">
        <v>132</v>
      </c>
      <c r="C24" s="41" t="s">
        <v>114</v>
      </c>
      <c r="G24" s="33">
        <f>'Realization of 2019'!G18</f>
        <v>1376058.92</v>
      </c>
      <c r="H24" s="42">
        <f>'Realization of 2019'!H18</f>
        <v>780819.85</v>
      </c>
      <c r="J24" s="16"/>
    </row>
    <row r="25" spans="1:10" s="41" customFormat="1" x14ac:dyDescent="0.2">
      <c r="J25" s="16"/>
    </row>
    <row r="26" spans="1:10" s="41" customFormat="1" x14ac:dyDescent="0.2">
      <c r="B26" s="40" t="s">
        <v>66</v>
      </c>
      <c r="J26" s="16"/>
    </row>
    <row r="27" spans="1:10" s="21" customFormat="1" x14ac:dyDescent="0.2">
      <c r="B27" s="21" t="s">
        <v>67</v>
      </c>
      <c r="C27" s="21" t="s">
        <v>68</v>
      </c>
      <c r="G27" s="21" t="s">
        <v>11</v>
      </c>
      <c r="H27" s="21" t="s">
        <v>69</v>
      </c>
      <c r="J27" s="69"/>
    </row>
    <row r="28" spans="1:10" s="41" customFormat="1" x14ac:dyDescent="0.2">
      <c r="B28" s="41" t="s">
        <v>134</v>
      </c>
      <c r="C28" s="41" t="s">
        <v>68</v>
      </c>
      <c r="G28" s="42">
        <f>'Realization of 2019'!G24</f>
        <v>9137706.3000000007</v>
      </c>
      <c r="H28" s="42">
        <f>'Realization of 2019'!H24</f>
        <v>11528.715384615381</v>
      </c>
      <c r="J28" s="16"/>
    </row>
    <row r="29" spans="1:10" x14ac:dyDescent="0.2">
      <c r="J29" s="16"/>
    </row>
    <row r="30" spans="1:10" s="6" customFormat="1" x14ac:dyDescent="0.2">
      <c r="A30" s="37"/>
      <c r="B30" s="6" t="s">
        <v>165</v>
      </c>
      <c r="D30" s="37"/>
      <c r="E30" s="37"/>
      <c r="H30" s="37"/>
      <c r="J30" s="44"/>
    </row>
    <row r="31" spans="1:10" x14ac:dyDescent="0.2">
      <c r="J31" s="16"/>
    </row>
    <row r="32" spans="1:10" x14ac:dyDescent="0.2">
      <c r="B32" s="20" t="s">
        <v>166</v>
      </c>
      <c r="J32" s="16"/>
    </row>
    <row r="33" spans="2:10" x14ac:dyDescent="0.2">
      <c r="B33" s="41" t="s">
        <v>162</v>
      </c>
      <c r="C33" s="41" t="s">
        <v>114</v>
      </c>
      <c r="G33" s="38">
        <f>(1+$E$13)*(1+$E$14)*G18</f>
        <v>1078291.084450773</v>
      </c>
      <c r="H33" s="38">
        <f>(1+$E$13)*(1+$E$14)*H18</f>
        <v>852614.71773059329</v>
      </c>
      <c r="J33" s="16"/>
    </row>
    <row r="34" spans="2:10" x14ac:dyDescent="0.2">
      <c r="B34" s="41" t="s">
        <v>161</v>
      </c>
      <c r="C34" s="41" t="s">
        <v>168</v>
      </c>
      <c r="G34" s="61">
        <f>(1+$E$13)*(1+$E$14)*G19</f>
        <v>2.9156510541598971E-2</v>
      </c>
      <c r="H34" s="56">
        <f>(1+$E$13)*(1+$E$14)*H19</f>
        <v>47.681077298711472</v>
      </c>
      <c r="J34" s="16"/>
    </row>
    <row r="35" spans="2:10" x14ac:dyDescent="0.2">
      <c r="B35" s="41" t="s">
        <v>167</v>
      </c>
      <c r="C35" s="1" t="s">
        <v>114</v>
      </c>
      <c r="G35" s="32">
        <f>G28*G34+G33</f>
        <v>1344714.7145127584</v>
      </c>
      <c r="H35" s="38">
        <f>H28*H34+H33</f>
        <v>1402316.2871392835</v>
      </c>
      <c r="J35" s="16"/>
    </row>
    <row r="36" spans="2:10" x14ac:dyDescent="0.2">
      <c r="J36" s="16"/>
    </row>
    <row r="37" spans="2:10" x14ac:dyDescent="0.2">
      <c r="B37" s="20" t="s">
        <v>169</v>
      </c>
      <c r="J37" s="16"/>
    </row>
    <row r="38" spans="2:10" x14ac:dyDescent="0.2">
      <c r="B38" s="41" t="s">
        <v>170</v>
      </c>
      <c r="C38" s="1" t="s">
        <v>114</v>
      </c>
      <c r="G38" s="32">
        <f>(G22*$E$12)+G23</f>
        <v>268586.90649876883</v>
      </c>
      <c r="H38" s="38">
        <f>(H22*$E$12)+H23</f>
        <v>516480.84997262043</v>
      </c>
      <c r="J38" s="16"/>
    </row>
    <row r="39" spans="2:10" s="41" customFormat="1" x14ac:dyDescent="0.2">
      <c r="B39" s="41" t="s">
        <v>171</v>
      </c>
      <c r="C39" s="41" t="s">
        <v>114</v>
      </c>
      <c r="G39" s="42">
        <f>G24</f>
        <v>1376058.92</v>
      </c>
      <c r="H39" s="42">
        <f>H24</f>
        <v>780819.85</v>
      </c>
      <c r="J39" s="16"/>
    </row>
    <row r="40" spans="2:10" x14ac:dyDescent="0.2">
      <c r="B40" s="1" t="s">
        <v>172</v>
      </c>
      <c r="C40" s="1" t="s">
        <v>114</v>
      </c>
      <c r="G40" s="38">
        <f>G38+G39</f>
        <v>1644645.8264987688</v>
      </c>
      <c r="H40" s="38">
        <f>H38+H39</f>
        <v>1297300.6999726205</v>
      </c>
      <c r="J40" s="16"/>
    </row>
    <row r="41" spans="2:10" x14ac:dyDescent="0.2">
      <c r="J41" s="16"/>
    </row>
    <row r="42" spans="2:10" x14ac:dyDescent="0.2">
      <c r="B42" s="20" t="s">
        <v>15</v>
      </c>
      <c r="J42" s="16"/>
    </row>
    <row r="43" spans="2:10" x14ac:dyDescent="0.2">
      <c r="B43" s="41" t="s">
        <v>173</v>
      </c>
      <c r="C43" s="1" t="s">
        <v>114</v>
      </c>
      <c r="G43" s="38">
        <f>G35-G40</f>
        <v>-299931.11198601034</v>
      </c>
      <c r="H43" s="38">
        <f>H35-H40</f>
        <v>105015.58716666303</v>
      </c>
      <c r="J43" s="16" t="s">
        <v>101</v>
      </c>
    </row>
    <row r="44" spans="2:10" s="41" customFormat="1" x14ac:dyDescent="0.2">
      <c r="J44" s="16"/>
    </row>
    <row r="45" spans="2:10" x14ac:dyDescent="0.2">
      <c r="B45" s="16" t="s">
        <v>174</v>
      </c>
      <c r="C45" s="1" t="s">
        <v>114</v>
      </c>
      <c r="G45" s="43">
        <f>$E$15*G43*(-1)</f>
        <v>149965.55599300517</v>
      </c>
      <c r="H45" s="43">
        <f>$E$15*H43*(-1)</f>
        <v>-52507.793583331513</v>
      </c>
      <c r="J45" s="16" t="s">
        <v>190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2"/>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1" customWidth="1"/>
    <col min="2" max="2" width="50.7109375" style="41" customWidth="1"/>
    <col min="3" max="3" width="13.7109375" style="41" customWidth="1"/>
    <col min="4" max="4" width="2.7109375" style="41" customWidth="1"/>
    <col min="5" max="5" width="13.7109375" style="41" customWidth="1"/>
    <col min="6" max="6" width="2.7109375" style="41" customWidth="1"/>
    <col min="7" max="7" width="21.7109375" style="41" customWidth="1"/>
    <col min="8" max="8" width="21.7109375" style="39" customWidth="1"/>
    <col min="9" max="9" width="2.7109375" style="41" customWidth="1"/>
    <col min="10" max="10" width="30.7109375" style="41" customWidth="1"/>
    <col min="11" max="11" width="2.7109375" style="41" customWidth="1"/>
    <col min="12" max="21" width="12.5703125" style="41" customWidth="1"/>
    <col min="22" max="24" width="2.7109375" style="41" customWidth="1"/>
    <col min="25" max="39" width="13.7109375" style="41" customWidth="1"/>
    <col min="40" max="16384" width="9.140625" style="41"/>
  </cols>
  <sheetData>
    <row r="2" spans="2:10" s="13" customFormat="1" ht="18" x14ac:dyDescent="0.2">
      <c r="B2" s="13" t="s">
        <v>176</v>
      </c>
    </row>
    <row r="4" spans="2:10" x14ac:dyDescent="0.2">
      <c r="B4" s="20" t="s">
        <v>13</v>
      </c>
    </row>
    <row r="5" spans="2:10" x14ac:dyDescent="0.2">
      <c r="B5" s="16" t="s">
        <v>175</v>
      </c>
      <c r="G5" s="14"/>
    </row>
    <row r="7" spans="2:10" s="37" customFormat="1" x14ac:dyDescent="0.2">
      <c r="B7" s="37" t="s">
        <v>6</v>
      </c>
      <c r="C7" s="37" t="s">
        <v>10</v>
      </c>
      <c r="E7" s="37" t="s">
        <v>7</v>
      </c>
      <c r="G7" s="37" t="s">
        <v>86</v>
      </c>
      <c r="H7" s="37" t="s">
        <v>87</v>
      </c>
      <c r="J7" s="37" t="s">
        <v>9</v>
      </c>
    </row>
    <row r="9" spans="2:10" s="37" customFormat="1" x14ac:dyDescent="0.2">
      <c r="B9" s="37" t="s">
        <v>71</v>
      </c>
    </row>
    <row r="10" spans="2:10" x14ac:dyDescent="0.2">
      <c r="H10" s="41"/>
    </row>
    <row r="11" spans="2:10" x14ac:dyDescent="0.2">
      <c r="B11" s="40" t="s">
        <v>79</v>
      </c>
      <c r="H11" s="41"/>
    </row>
    <row r="12" spans="2:10" x14ac:dyDescent="0.2">
      <c r="B12" s="41" t="s">
        <v>64</v>
      </c>
      <c r="C12" s="41" t="s">
        <v>4</v>
      </c>
      <c r="E12" s="65">
        <f>Parameters!E28</f>
        <v>0.5</v>
      </c>
      <c r="H12" s="41"/>
    </row>
    <row r="13" spans="2:10" x14ac:dyDescent="0.2">
      <c r="H13" s="41"/>
    </row>
    <row r="14" spans="2:10" x14ac:dyDescent="0.2">
      <c r="B14" s="59" t="s">
        <v>177</v>
      </c>
      <c r="H14" s="41"/>
    </row>
    <row r="15" spans="2:10" x14ac:dyDescent="0.2">
      <c r="B15" s="41" t="s">
        <v>178</v>
      </c>
      <c r="C15" s="41" t="s">
        <v>12</v>
      </c>
      <c r="G15" s="60">
        <f>'Estimation for 2019'!G31</f>
        <v>0.31677632322763116</v>
      </c>
      <c r="H15" s="53"/>
    </row>
    <row r="16" spans="2:10" x14ac:dyDescent="0.2">
      <c r="B16" s="41" t="s">
        <v>179</v>
      </c>
      <c r="C16" s="41" t="s">
        <v>12</v>
      </c>
      <c r="G16" s="60">
        <f>'Estimation for 2019'!G32</f>
        <v>0.3093416117591648</v>
      </c>
      <c r="H16" s="53"/>
    </row>
    <row r="17" spans="2:10" x14ac:dyDescent="0.2">
      <c r="B17" s="41" t="s">
        <v>180</v>
      </c>
      <c r="C17" s="41" t="s">
        <v>12</v>
      </c>
      <c r="G17" s="61">
        <f>(G15+G16)/2</f>
        <v>0.31305896749339801</v>
      </c>
      <c r="H17" s="53"/>
      <c r="J17" s="16" t="s">
        <v>186</v>
      </c>
    </row>
    <row r="18" spans="2:10" x14ac:dyDescent="0.2">
      <c r="B18" s="41" t="s">
        <v>134</v>
      </c>
      <c r="C18" s="41" t="s">
        <v>11</v>
      </c>
      <c r="G18" s="42">
        <f>'Realization of 2019'!G24</f>
        <v>9137706.3000000007</v>
      </c>
      <c r="H18" s="53"/>
      <c r="J18" s="16"/>
    </row>
    <row r="19" spans="2:10" x14ac:dyDescent="0.2">
      <c r="H19" s="41"/>
      <c r="J19" s="16"/>
    </row>
    <row r="20" spans="2:10" x14ac:dyDescent="0.2">
      <c r="B20" s="41" t="s">
        <v>122</v>
      </c>
      <c r="C20" s="41" t="s">
        <v>4</v>
      </c>
      <c r="G20" s="53"/>
      <c r="H20" s="35">
        <f>'Estimation for 2019'!H29</f>
        <v>6.0999999999999999E-2</v>
      </c>
      <c r="J20" s="16"/>
    </row>
    <row r="21" spans="2:10" x14ac:dyDescent="0.2">
      <c r="B21" s="41" t="s">
        <v>135</v>
      </c>
      <c r="C21" s="41" t="s">
        <v>4</v>
      </c>
      <c r="G21" s="53"/>
      <c r="H21" s="35">
        <f>'Realization of 2019'!H26</f>
        <v>7.9277824895729043E-2</v>
      </c>
      <c r="J21" s="16"/>
    </row>
    <row r="22" spans="2:10" x14ac:dyDescent="0.2">
      <c r="H22" s="41"/>
      <c r="J22" s="16"/>
    </row>
    <row r="23" spans="2:10" s="37" customFormat="1" x14ac:dyDescent="0.2">
      <c r="B23" s="37" t="s">
        <v>181</v>
      </c>
      <c r="J23" s="44"/>
    </row>
    <row r="24" spans="2:10" x14ac:dyDescent="0.2">
      <c r="H24" s="41"/>
      <c r="J24" s="16"/>
    </row>
    <row r="25" spans="2:10" x14ac:dyDescent="0.2">
      <c r="B25" s="41" t="s">
        <v>182</v>
      </c>
      <c r="C25" s="41" t="s">
        <v>114</v>
      </c>
      <c r="G25" s="53"/>
      <c r="H25" s="38">
        <f>$G$17*$G$18*H20</f>
        <v>174499.09487169102</v>
      </c>
      <c r="J25" s="16"/>
    </row>
    <row r="26" spans="2:10" x14ac:dyDescent="0.2">
      <c r="B26" s="41" t="s">
        <v>183</v>
      </c>
      <c r="C26" s="41" t="s">
        <v>114</v>
      </c>
      <c r="G26" s="53"/>
      <c r="H26" s="38">
        <f>$G$17*$G$18*H21</f>
        <v>226785.38832296937</v>
      </c>
      <c r="J26" s="16"/>
    </row>
    <row r="27" spans="2:10" x14ac:dyDescent="0.2">
      <c r="H27" s="41"/>
      <c r="J27" s="16"/>
    </row>
    <row r="28" spans="2:10" x14ac:dyDescent="0.2">
      <c r="B28" s="41" t="s">
        <v>184</v>
      </c>
      <c r="C28" s="41" t="s">
        <v>114</v>
      </c>
      <c r="G28" s="53"/>
      <c r="H28" s="38">
        <f>H25-H26</f>
        <v>-52286.293451278354</v>
      </c>
      <c r="J28" s="16" t="s">
        <v>101</v>
      </c>
    </row>
    <row r="29" spans="2:10" x14ac:dyDescent="0.2">
      <c r="H29" s="41"/>
      <c r="J29" s="16"/>
    </row>
    <row r="30" spans="2:10" x14ac:dyDescent="0.2">
      <c r="B30" s="41" t="s">
        <v>185</v>
      </c>
      <c r="C30" s="41" t="s">
        <v>114</v>
      </c>
      <c r="G30" s="53"/>
      <c r="H30" s="43">
        <f>E12*H28*(-1)</f>
        <v>26143.146725639177</v>
      </c>
      <c r="J30" s="16" t="s">
        <v>240</v>
      </c>
    </row>
    <row r="31" spans="2:10" x14ac:dyDescent="0.2">
      <c r="H31" s="41"/>
    </row>
    <row r="32" spans="2:10" x14ac:dyDescent="0.2">
      <c r="H32" s="41"/>
    </row>
    <row r="33" spans="8:8" x14ac:dyDescent="0.2">
      <c r="H33" s="41"/>
    </row>
    <row r="34" spans="8:8" x14ac:dyDescent="0.2">
      <c r="H34" s="41"/>
    </row>
    <row r="35" spans="8:8" x14ac:dyDescent="0.2">
      <c r="H35" s="41"/>
    </row>
    <row r="36" spans="8:8" x14ac:dyDescent="0.2">
      <c r="H36" s="41"/>
    </row>
    <row r="37" spans="8:8" x14ac:dyDescent="0.2">
      <c r="H37" s="41"/>
    </row>
    <row r="38" spans="8:8" x14ac:dyDescent="0.2">
      <c r="H38" s="41"/>
    </row>
    <row r="39" spans="8:8" x14ac:dyDescent="0.2">
      <c r="H39" s="41"/>
    </row>
    <row r="40" spans="8:8" ht="12.75" customHeight="1" x14ac:dyDescent="0.2">
      <c r="H40" s="41"/>
    </row>
    <row r="41" spans="8:8" ht="12.75" customHeight="1" x14ac:dyDescent="0.2">
      <c r="H41" s="41"/>
    </row>
    <row r="42" spans="8:8" ht="12.75" customHeight="1" x14ac:dyDescent="0.2">
      <c r="H42"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CCC8D9"/>
  </sheetPr>
  <dimension ref="B2:F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41" customWidth="1"/>
    <col min="2" max="2" width="19.140625" style="41" customWidth="1"/>
    <col min="3" max="3" width="20.7109375" style="41" customWidth="1"/>
    <col min="4" max="4" width="56.85546875" style="41" customWidth="1"/>
    <col min="5" max="5" width="29.85546875" style="41" customWidth="1"/>
    <col min="6" max="6" width="24.7109375" style="41" customWidth="1"/>
    <col min="7" max="7" width="37.28515625" style="41" customWidth="1"/>
    <col min="8" max="16384" width="9.140625" style="41"/>
  </cols>
  <sheetData>
    <row r="2" spans="2:6" s="5" customFormat="1" ht="18" x14ac:dyDescent="0.2">
      <c r="B2" s="5" t="s">
        <v>29</v>
      </c>
    </row>
    <row r="4" spans="2:6" s="37" customFormat="1" x14ac:dyDescent="0.2">
      <c r="B4" s="37" t="s">
        <v>30</v>
      </c>
    </row>
    <row r="6" spans="2:6" x14ac:dyDescent="0.2">
      <c r="B6" s="16" t="s">
        <v>187</v>
      </c>
    </row>
    <row r="9" spans="2:6" s="37" customFormat="1" x14ac:dyDescent="0.2">
      <c r="B9" s="37" t="s">
        <v>31</v>
      </c>
    </row>
    <row r="10" spans="2:6" x14ac:dyDescent="0.2">
      <c r="C10" s="7"/>
    </row>
    <row r="11" spans="2:6" x14ac:dyDescent="0.2">
      <c r="B11" s="20" t="s">
        <v>32</v>
      </c>
      <c r="C11" s="7"/>
      <c r="D11" s="20" t="s">
        <v>33</v>
      </c>
      <c r="F11" s="9"/>
    </row>
    <row r="12" spans="2:6" x14ac:dyDescent="0.2">
      <c r="C12" s="7"/>
    </row>
    <row r="13" spans="2:6" x14ac:dyDescent="0.2">
      <c r="B13" s="25">
        <v>123</v>
      </c>
      <c r="C13" s="7"/>
      <c r="D13" s="16" t="s">
        <v>34</v>
      </c>
    </row>
    <row r="14" spans="2:6" x14ac:dyDescent="0.2">
      <c r="B14" s="26">
        <f>B13</f>
        <v>123</v>
      </c>
      <c r="C14" s="7"/>
      <c r="D14" s="41" t="s">
        <v>35</v>
      </c>
    </row>
    <row r="15" spans="2:6" x14ac:dyDescent="0.2">
      <c r="B15" s="24">
        <f>B14+B13</f>
        <v>246</v>
      </c>
      <c r="C15" s="7"/>
      <c r="D15" s="41" t="s">
        <v>36</v>
      </c>
    </row>
    <row r="16" spans="2:6" x14ac:dyDescent="0.2">
      <c r="B16" s="23">
        <f>B14+B15</f>
        <v>369</v>
      </c>
      <c r="C16" s="7"/>
      <c r="D16" s="16" t="s">
        <v>37</v>
      </c>
      <c r="E16" s="9"/>
      <c r="F16" s="3"/>
    </row>
    <row r="17" spans="2:5" x14ac:dyDescent="0.2">
      <c r="B17" s="10"/>
      <c r="C17" s="7"/>
      <c r="D17" s="16" t="s">
        <v>38</v>
      </c>
      <c r="E17" s="9"/>
    </row>
    <row r="18" spans="2:5" x14ac:dyDescent="0.2">
      <c r="B18" s="7"/>
      <c r="C18" s="7"/>
    </row>
    <row r="19" spans="2:5" x14ac:dyDescent="0.2">
      <c r="B19" s="21" t="s">
        <v>39</v>
      </c>
      <c r="C19" s="7"/>
    </row>
    <row r="20" spans="2:5" x14ac:dyDescent="0.2">
      <c r="B20" s="27">
        <f>B16+16</f>
        <v>385</v>
      </c>
      <c r="C20" s="7"/>
      <c r="D20" s="41" t="s">
        <v>40</v>
      </c>
    </row>
    <row r="21" spans="2:5" x14ac:dyDescent="0.2">
      <c r="B21" s="28">
        <f>B14*PI()</f>
        <v>386.41589639154455</v>
      </c>
      <c r="C21" s="12"/>
      <c r="D21" s="41" t="s">
        <v>41</v>
      </c>
    </row>
    <row r="22" spans="2:5" x14ac:dyDescent="0.2">
      <c r="B22" s="12"/>
      <c r="C22" s="12"/>
    </row>
    <row r="24" spans="2:5" x14ac:dyDescent="0.2">
      <c r="B24" s="20" t="s">
        <v>42</v>
      </c>
    </row>
    <row r="25" spans="2:5" x14ac:dyDescent="0.2">
      <c r="B25" s="40"/>
    </row>
    <row r="26" spans="2:5" x14ac:dyDescent="0.2">
      <c r="B26" s="21" t="s">
        <v>43</v>
      </c>
    </row>
    <row r="27" spans="2:5" x14ac:dyDescent="0.2">
      <c r="B27" s="48" t="s">
        <v>44</v>
      </c>
      <c r="C27" s="7"/>
      <c r="D27" s="16" t="s">
        <v>45</v>
      </c>
    </row>
    <row r="28" spans="2:5" x14ac:dyDescent="0.2">
      <c r="B28" s="49" t="s">
        <v>0</v>
      </c>
      <c r="C28" s="7"/>
      <c r="D28" s="16" t="s">
        <v>46</v>
      </c>
    </row>
    <row r="29" spans="2:5" x14ac:dyDescent="0.2">
      <c r="B29" s="50" t="s">
        <v>47</v>
      </c>
      <c r="C29" s="7"/>
      <c r="D29" s="16" t="s">
        <v>48</v>
      </c>
    </row>
    <row r="30" spans="2:5" x14ac:dyDescent="0.2">
      <c r="B30" s="11" t="s">
        <v>47</v>
      </c>
      <c r="C30" s="7"/>
      <c r="D30" s="16" t="s">
        <v>49</v>
      </c>
    </row>
    <row r="31" spans="2:5" x14ac:dyDescent="0.2">
      <c r="C31" s="7"/>
      <c r="D31" s="16"/>
    </row>
    <row r="32" spans="2:5" x14ac:dyDescent="0.2">
      <c r="B32" s="21" t="s">
        <v>50</v>
      </c>
      <c r="C32" s="7"/>
      <c r="D32" s="16"/>
    </row>
    <row r="33" spans="2:4" x14ac:dyDescent="0.2">
      <c r="B33" s="15" t="s">
        <v>1</v>
      </c>
      <c r="C33" s="7"/>
      <c r="D33" s="16" t="s">
        <v>51</v>
      </c>
    </row>
    <row r="34" spans="2:4" x14ac:dyDescent="0.2">
      <c r="B34" s="51" t="s">
        <v>52</v>
      </c>
      <c r="D34" s="16" t="s">
        <v>53</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CCC8D9"/>
  </sheetPr>
  <dimension ref="B2:K29"/>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1" customWidth="1"/>
    <col min="2" max="2" width="7.5703125" style="1" customWidth="1"/>
    <col min="3" max="3" width="35.140625" style="1" customWidth="1"/>
    <col min="4" max="4" width="54.42578125" style="1" customWidth="1"/>
    <col min="5" max="5" width="118.28515625" style="1" customWidth="1"/>
    <col min="6" max="6" width="4.5703125" style="1" customWidth="1"/>
    <col min="7" max="7" width="43.42578125" style="1" customWidth="1"/>
    <col min="8" max="8" width="28.7109375" style="1" customWidth="1"/>
    <col min="9" max="9" width="18.42578125" style="1" customWidth="1"/>
    <col min="10" max="11" width="58.42578125" style="1" customWidth="1"/>
    <col min="12" max="16384" width="9.140625" style="1"/>
  </cols>
  <sheetData>
    <row r="2" spans="2:11" s="5" customFormat="1" ht="18" x14ac:dyDescent="0.2">
      <c r="B2" s="5" t="s">
        <v>54</v>
      </c>
    </row>
    <row r="3" spans="2:11" s="41" customFormat="1" x14ac:dyDescent="0.2"/>
    <row r="4" spans="2:11" s="37" customFormat="1" x14ac:dyDescent="0.2">
      <c r="B4" s="37" t="s">
        <v>55</v>
      </c>
    </row>
    <row r="5" spans="2:11" s="41" customFormat="1" x14ac:dyDescent="0.2"/>
    <row r="6" spans="2:11" s="41" customFormat="1" x14ac:dyDescent="0.2">
      <c r="B6" s="2" t="s">
        <v>81</v>
      </c>
    </row>
    <row r="7" spans="2:11" s="41" customFormat="1" x14ac:dyDescent="0.2">
      <c r="B7" s="2" t="s">
        <v>56</v>
      </c>
    </row>
    <row r="8" spans="2:11" x14ac:dyDescent="0.2">
      <c r="G8" s="41"/>
      <c r="H8" s="41"/>
      <c r="I8" s="41"/>
      <c r="J8" s="41"/>
      <c r="K8" s="41"/>
    </row>
    <row r="9" spans="2:11" s="41" customFormat="1" x14ac:dyDescent="0.2">
      <c r="B9" s="52" t="s">
        <v>24</v>
      </c>
      <c r="C9" s="52" t="s">
        <v>57</v>
      </c>
      <c r="D9" s="52" t="s">
        <v>58</v>
      </c>
      <c r="E9" s="52" t="s">
        <v>59</v>
      </c>
    </row>
    <row r="10" spans="2:11" s="41" customFormat="1" x14ac:dyDescent="0.2">
      <c r="B10" s="17"/>
      <c r="C10" s="17" t="s">
        <v>60</v>
      </c>
      <c r="D10" s="17" t="s">
        <v>61</v>
      </c>
      <c r="E10" s="17" t="s">
        <v>62</v>
      </c>
    </row>
    <row r="11" spans="2:11" x14ac:dyDescent="0.2">
      <c r="B11" s="18">
        <v>1</v>
      </c>
      <c r="C11" s="70" t="s">
        <v>203</v>
      </c>
      <c r="D11" s="70" t="s">
        <v>192</v>
      </c>
      <c r="E11" s="75" t="s">
        <v>193</v>
      </c>
      <c r="G11" s="41"/>
      <c r="H11" s="41"/>
      <c r="I11" s="41"/>
      <c r="J11" s="41"/>
      <c r="K11" s="41"/>
    </row>
    <row r="12" spans="2:11" ht="12.75" customHeight="1" x14ac:dyDescent="0.2">
      <c r="B12" s="4">
        <v>2</v>
      </c>
      <c r="C12" s="18" t="s">
        <v>206</v>
      </c>
      <c r="D12" s="70" t="s">
        <v>205</v>
      </c>
      <c r="E12" s="76" t="s">
        <v>204</v>
      </c>
      <c r="G12" s="41"/>
      <c r="H12" s="41"/>
      <c r="I12" s="41"/>
      <c r="J12" s="41"/>
      <c r="K12" s="41"/>
    </row>
    <row r="13" spans="2:11" s="41" customFormat="1" x14ac:dyDescent="0.2">
      <c r="B13" s="4">
        <v>3</v>
      </c>
      <c r="C13" s="18" t="s">
        <v>85</v>
      </c>
      <c r="D13" s="70" t="s">
        <v>210</v>
      </c>
      <c r="E13" s="76" t="s">
        <v>209</v>
      </c>
    </row>
    <row r="14" spans="2:11" s="41" customFormat="1" ht="25.5" x14ac:dyDescent="0.2">
      <c r="B14" s="4">
        <v>4</v>
      </c>
      <c r="C14" s="18" t="s">
        <v>211</v>
      </c>
      <c r="D14" s="70" t="s">
        <v>213</v>
      </c>
      <c r="E14" s="76" t="s">
        <v>212</v>
      </c>
    </row>
    <row r="15" spans="2:11" s="41" customFormat="1" ht="25.5" x14ac:dyDescent="0.2">
      <c r="B15" s="4">
        <v>5</v>
      </c>
      <c r="C15" s="72" t="s">
        <v>214</v>
      </c>
      <c r="D15" s="70" t="s">
        <v>216</v>
      </c>
      <c r="E15" s="76" t="s">
        <v>215</v>
      </c>
    </row>
    <row r="16" spans="2:11" s="41" customFormat="1" x14ac:dyDescent="0.2">
      <c r="B16" s="4">
        <v>6</v>
      </c>
      <c r="C16" s="72" t="s">
        <v>218</v>
      </c>
      <c r="D16" s="18" t="s">
        <v>219</v>
      </c>
      <c r="E16" s="71"/>
    </row>
    <row r="17" spans="2:11" x14ac:dyDescent="0.2">
      <c r="B17" s="4">
        <v>7</v>
      </c>
      <c r="C17" s="18" t="s">
        <v>223</v>
      </c>
      <c r="D17" s="70" t="s">
        <v>224</v>
      </c>
      <c r="E17" s="18"/>
      <c r="G17" s="41"/>
      <c r="H17" s="41"/>
      <c r="I17" s="41"/>
      <c r="J17" s="41"/>
      <c r="K17" s="41"/>
    </row>
    <row r="18" spans="2:11" x14ac:dyDescent="0.2">
      <c r="B18" s="4">
        <v>8</v>
      </c>
      <c r="C18" s="18" t="s">
        <v>226</v>
      </c>
      <c r="D18" s="70" t="s">
        <v>227</v>
      </c>
      <c r="E18" s="18" t="s">
        <v>254</v>
      </c>
      <c r="G18" s="41"/>
      <c r="H18" s="41"/>
      <c r="I18" s="41"/>
      <c r="J18" s="41"/>
      <c r="K18" s="41"/>
    </row>
    <row r="19" spans="2:11" s="41" customFormat="1" x14ac:dyDescent="0.2">
      <c r="B19" s="4">
        <v>9</v>
      </c>
      <c r="C19" s="18" t="s">
        <v>230</v>
      </c>
      <c r="D19" s="18" t="s">
        <v>235</v>
      </c>
      <c r="E19" s="75" t="s">
        <v>193</v>
      </c>
    </row>
    <row r="20" spans="2:11" ht="14.25" customHeight="1" x14ac:dyDescent="0.2">
      <c r="B20" s="4">
        <v>10</v>
      </c>
      <c r="C20" s="18" t="s">
        <v>232</v>
      </c>
      <c r="D20" s="18" t="s">
        <v>234</v>
      </c>
      <c r="E20" s="78" t="s">
        <v>233</v>
      </c>
      <c r="G20" s="41"/>
      <c r="H20" s="41"/>
      <c r="I20" s="41"/>
      <c r="J20" s="41"/>
      <c r="K20" s="41"/>
    </row>
    <row r="21" spans="2:11" x14ac:dyDescent="0.2">
      <c r="B21" s="4">
        <v>11</v>
      </c>
      <c r="C21" s="73" t="s">
        <v>238</v>
      </c>
      <c r="D21" s="70" t="s">
        <v>239</v>
      </c>
      <c r="E21" s="18" t="s">
        <v>254</v>
      </c>
      <c r="G21" s="41"/>
      <c r="H21" s="41"/>
      <c r="I21" s="41"/>
      <c r="J21" s="41"/>
      <c r="K21" s="41"/>
    </row>
    <row r="22" spans="2:11" x14ac:dyDescent="0.2">
      <c r="E22" s="41"/>
      <c r="G22" s="41"/>
      <c r="H22" s="41"/>
      <c r="I22" s="41"/>
      <c r="J22" s="41"/>
      <c r="K22" s="41"/>
    </row>
    <row r="23" spans="2:11" x14ac:dyDescent="0.2">
      <c r="D23" s="41"/>
      <c r="E23" s="41"/>
      <c r="G23" s="41"/>
      <c r="H23" s="41"/>
      <c r="I23" s="41"/>
      <c r="J23" s="41"/>
      <c r="K23" s="41"/>
    </row>
    <row r="24" spans="2:11" s="37" customFormat="1" x14ac:dyDescent="0.2">
      <c r="B24" s="37" t="s">
        <v>248</v>
      </c>
    </row>
    <row r="25" spans="2:11" s="41" customFormat="1" x14ac:dyDescent="0.2"/>
    <row r="26" spans="2:11" s="41" customFormat="1" x14ac:dyDescent="0.2">
      <c r="B26" s="21" t="s">
        <v>249</v>
      </c>
    </row>
    <row r="27" spans="2:11" s="41" customFormat="1" x14ac:dyDescent="0.2">
      <c r="B27" s="21" t="s">
        <v>250</v>
      </c>
    </row>
    <row r="28" spans="2:11" s="41" customFormat="1" x14ac:dyDescent="0.2"/>
    <row r="29" spans="2:11" s="41" customFormat="1" x14ac:dyDescent="0.2"/>
  </sheetData>
  <hyperlinks>
    <hyperlink ref="E11" r:id="rId1"/>
    <hyperlink ref="E12" r:id="rId2"/>
    <hyperlink ref="E13" r:id="rId3" location="/CBS/nl/dataset/84046NED/table?fromstatweb"/>
    <hyperlink ref="E14" r:id="rId4"/>
    <hyperlink ref="E15" r:id="rId5"/>
    <hyperlink ref="E19" r:id="rId6"/>
    <hyperlink ref="E20" r:id="rId7"/>
  </hyperlinks>
  <pageMargins left="0.75" right="0.75" top="1" bottom="1" header="0.5" footer="0.5"/>
  <pageSetup paperSize="9" orientation="portrait"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FFFF"/>
  </sheetPr>
  <dimension ref="A2:J51"/>
  <sheetViews>
    <sheetView showGridLines="0" zoomScale="85" zoomScaleNormal="85" workbookViewId="0">
      <pane xSplit="3" ySplit="8" topLeftCell="D9" activePane="bottomRight" state="frozen"/>
      <selection activeCell="Q51" sqref="Q51"/>
      <selection pane="topRight" activeCell="Q51" sqref="Q51"/>
      <selection pane="bottomLeft" activeCell="Q51" sqref="Q51"/>
      <selection pane="bottomRight" activeCell="D9" sqref="D9"/>
    </sheetView>
  </sheetViews>
  <sheetFormatPr defaultRowHeight="12.75" x14ac:dyDescent="0.2"/>
  <cols>
    <col min="1" max="1" width="2.7109375" style="41" customWidth="1"/>
    <col min="2" max="2" width="54.7109375" style="1" customWidth="1"/>
    <col min="3" max="3" width="13.7109375" style="1" customWidth="1"/>
    <col min="4" max="4" width="2.7109375" style="1" customWidth="1"/>
    <col min="5" max="5" width="13.7109375" style="1" customWidth="1"/>
    <col min="6" max="6" width="2.7109375" style="1" customWidth="1"/>
    <col min="7" max="8" width="21.7109375" style="1" customWidth="1"/>
    <col min="9" max="9" width="2.7109375" style="1" customWidth="1"/>
    <col min="10" max="18" width="12.5703125" style="1" customWidth="1"/>
    <col min="19" max="21" width="2.7109375" style="1" customWidth="1"/>
    <col min="22" max="36" width="13.7109375" style="1" customWidth="1"/>
    <col min="37" max="16384" width="9.140625" style="1"/>
  </cols>
  <sheetData>
    <row r="2" spans="1:10" s="13" customFormat="1" ht="18" x14ac:dyDescent="0.2">
      <c r="A2" s="5"/>
      <c r="B2" s="13" t="s">
        <v>44</v>
      </c>
    </row>
    <row r="4" spans="1:10" x14ac:dyDescent="0.2">
      <c r="B4" s="20" t="s">
        <v>63</v>
      </c>
    </row>
    <row r="5" spans="1:10" x14ac:dyDescent="0.2">
      <c r="B5" s="16" t="s">
        <v>109</v>
      </c>
      <c r="E5" s="14"/>
    </row>
    <row r="7" spans="1:10" s="37" customFormat="1" x14ac:dyDescent="0.2">
      <c r="B7" s="37" t="s">
        <v>6</v>
      </c>
      <c r="C7" s="37" t="s">
        <v>10</v>
      </c>
      <c r="E7" s="37" t="s">
        <v>7</v>
      </c>
      <c r="G7" s="37" t="s">
        <v>86</v>
      </c>
      <c r="H7" s="37" t="s">
        <v>87</v>
      </c>
      <c r="J7" s="37" t="s">
        <v>9</v>
      </c>
    </row>
    <row r="9" spans="1:10" s="37" customFormat="1" x14ac:dyDescent="0.2">
      <c r="B9" s="37" t="s">
        <v>110</v>
      </c>
    </row>
    <row r="11" spans="1:10" s="41" customFormat="1" x14ac:dyDescent="0.2">
      <c r="B11" s="41" t="s">
        <v>65</v>
      </c>
      <c r="C11" s="41" t="s">
        <v>4</v>
      </c>
      <c r="E11" s="35">
        <f>Parameters!E17</f>
        <v>-1.3000000000000001E-2</v>
      </c>
    </row>
    <row r="12" spans="1:10" s="41" customFormat="1" x14ac:dyDescent="0.2">
      <c r="B12" s="41" t="s">
        <v>75</v>
      </c>
      <c r="C12" s="41" t="s">
        <v>4</v>
      </c>
      <c r="E12" s="35">
        <f>Parameters!E18</f>
        <v>4.3999999999999997E-2</v>
      </c>
    </row>
    <row r="13" spans="1:10" s="41" customFormat="1" x14ac:dyDescent="0.2">
      <c r="B13" s="41" t="s">
        <v>84</v>
      </c>
      <c r="C13" s="41" t="s">
        <v>4</v>
      </c>
      <c r="E13" s="35">
        <f>Parameters!E19</f>
        <v>3.0000000000000001E-3</v>
      </c>
    </row>
    <row r="14" spans="1:10" s="41" customFormat="1" x14ac:dyDescent="0.2">
      <c r="B14" s="41" t="s">
        <v>111</v>
      </c>
      <c r="C14" s="41" t="s">
        <v>4</v>
      </c>
      <c r="E14" s="35">
        <f>Parameters!E20</f>
        <v>-1.6E-2</v>
      </c>
    </row>
    <row r="15" spans="1:10" s="41" customFormat="1" x14ac:dyDescent="0.2"/>
    <row r="16" spans="1:10" s="41" customFormat="1" x14ac:dyDescent="0.2">
      <c r="B16" s="40" t="s">
        <v>112</v>
      </c>
      <c r="J16" s="16"/>
    </row>
    <row r="17" spans="2:10" s="41" customFormat="1" x14ac:dyDescent="0.2">
      <c r="B17" s="41" t="s">
        <v>80</v>
      </c>
      <c r="C17" s="41" t="s">
        <v>78</v>
      </c>
      <c r="G17" s="42">
        <f>'Volume-effect 2019'!G22</f>
        <v>-16181.697439571377</v>
      </c>
      <c r="H17" s="42">
        <f>'Volume-effect 2019'!H22</f>
        <v>-16560.856555354432</v>
      </c>
      <c r="J17" s="16"/>
    </row>
    <row r="18" spans="2:10" s="41" customFormat="1" x14ac:dyDescent="0.2">
      <c r="B18" s="41" t="s">
        <v>88</v>
      </c>
      <c r="C18" s="41" t="s">
        <v>114</v>
      </c>
      <c r="G18" s="42">
        <f>'Profit sharing 2019'!G45</f>
        <v>149965.55599300517</v>
      </c>
      <c r="H18" s="42">
        <f>'Profit sharing 2019'!H45</f>
        <v>-52507.793583331513</v>
      </c>
      <c r="J18" s="16" t="s">
        <v>103</v>
      </c>
    </row>
    <row r="19" spans="2:10" s="41" customFormat="1" x14ac:dyDescent="0.2">
      <c r="B19" s="41" t="s">
        <v>89</v>
      </c>
      <c r="C19" s="41" t="s">
        <v>114</v>
      </c>
      <c r="G19" s="58"/>
      <c r="H19" s="42">
        <f>'Network loss 2019'!H30</f>
        <v>26143.146725639177</v>
      </c>
      <c r="J19" s="16"/>
    </row>
    <row r="20" spans="2:10" s="41" customFormat="1" x14ac:dyDescent="0.2">
      <c r="J20" s="16"/>
    </row>
    <row r="21" spans="2:10" s="41" customFormat="1" x14ac:dyDescent="0.2">
      <c r="B21" s="41" t="s">
        <v>80</v>
      </c>
      <c r="C21" s="41" t="s">
        <v>113</v>
      </c>
      <c r="G21" s="43">
        <f>(1+$E$11)*(1+$E$12)*(1+$E$13)*(1+$E$14)*G17</f>
        <v>-16456.510810024036</v>
      </c>
      <c r="H21" s="43">
        <f>(1+$E$11)*(1+$E$12)*(1+$E$13)*(1+$E$14)*H17</f>
        <v>-16842.109175764355</v>
      </c>
      <c r="J21" s="16" t="s">
        <v>116</v>
      </c>
    </row>
    <row r="22" spans="2:10" s="41" customFormat="1" x14ac:dyDescent="0.2">
      <c r="B22" s="41" t="s">
        <v>88</v>
      </c>
      <c r="C22" s="41" t="s">
        <v>113</v>
      </c>
      <c r="G22" s="43">
        <f>(1+$E$13)*(1+$E$14)*G18</f>
        <v>148008.80541840842</v>
      </c>
      <c r="H22" s="43">
        <f>(1+$E$13)*(1+$E$14)*H18</f>
        <v>-51822.671892656195</v>
      </c>
      <c r="J22" s="16" t="s">
        <v>117</v>
      </c>
    </row>
    <row r="23" spans="2:10" s="41" customFormat="1" x14ac:dyDescent="0.2">
      <c r="B23" s="41" t="s">
        <v>89</v>
      </c>
      <c r="C23" s="41" t="s">
        <v>113</v>
      </c>
      <c r="G23" s="58"/>
      <c r="H23" s="43">
        <f>(1+$E$13)*(1+$E$14)*H19</f>
        <v>25802.030947163032</v>
      </c>
      <c r="J23" s="16" t="s">
        <v>115</v>
      </c>
    </row>
    <row r="24" spans="2:10" s="41" customFormat="1" x14ac:dyDescent="0.2"/>
    <row r="25" spans="2:10" s="41" customFormat="1" x14ac:dyDescent="0.2"/>
    <row r="26" spans="2:10" s="41" customFormat="1" x14ac:dyDescent="0.2"/>
    <row r="27" spans="2:10" s="41" customFormat="1" x14ac:dyDescent="0.2"/>
    <row r="28" spans="2:10" s="41" customFormat="1" x14ac:dyDescent="0.2"/>
    <row r="29" spans="2:10" s="41" customFormat="1" x14ac:dyDescent="0.2"/>
    <row r="30" spans="2:10" s="41" customFormat="1" x14ac:dyDescent="0.2"/>
    <row r="31" spans="2:10" s="41" customFormat="1" x14ac:dyDescent="0.2"/>
    <row r="32" spans="2:10" s="41" customFormat="1" x14ac:dyDescent="0.2"/>
    <row r="33" s="41" customFormat="1" x14ac:dyDescent="0.2"/>
    <row r="34" s="41" customFormat="1" x14ac:dyDescent="0.2"/>
    <row r="35" s="41" customFormat="1" x14ac:dyDescent="0.2"/>
    <row r="36" s="41" customFormat="1" x14ac:dyDescent="0.2"/>
    <row r="37" s="41" customFormat="1" x14ac:dyDescent="0.2"/>
    <row r="38" s="41" customFormat="1" x14ac:dyDescent="0.2"/>
    <row r="39" s="41" customFormat="1" x14ac:dyDescent="0.2"/>
    <row r="40" s="41" customFormat="1" x14ac:dyDescent="0.2"/>
    <row r="41" s="41" customFormat="1" x14ac:dyDescent="0.2"/>
    <row r="42" s="41" customFormat="1" x14ac:dyDescent="0.2"/>
    <row r="43" s="41" customFormat="1" x14ac:dyDescent="0.2"/>
    <row r="44" s="41" customFormat="1" x14ac:dyDescent="0.2"/>
    <row r="45" s="41" customFormat="1" x14ac:dyDescent="0.2"/>
    <row r="46" s="41" customFormat="1" x14ac:dyDescent="0.2"/>
    <row r="47" s="41" customFormat="1" x14ac:dyDescent="0.2"/>
    <row r="48" s="41" customFormat="1" x14ac:dyDescent="0.2"/>
    <row r="49" s="41" customFormat="1" x14ac:dyDescent="0.2"/>
    <row r="50" s="41" customFormat="1" x14ac:dyDescent="0.2"/>
    <row r="51" s="41" customForma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0" tint="-4.9989318521683403E-2"/>
  </sheetPr>
  <dimension ref="A1"/>
  <sheetViews>
    <sheetView showGridLines="0" zoomScale="85" zoomScaleNormal="85" workbookViewId="0"/>
  </sheetViews>
  <sheetFormatPr defaultRowHeight="12.75" x14ac:dyDescent="0.2"/>
  <cols>
    <col min="1" max="16384" width="9.140625" style="1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L38"/>
  <sheetViews>
    <sheetView showGridLines="0" zoomScale="85" zoomScaleNormal="85" workbookViewId="0">
      <pane xSplit="3" ySplit="13" topLeftCell="D14" activePane="bottomRight" state="frozen"/>
      <selection pane="topRight" activeCell="G1" sqref="G1"/>
      <selection pane="bottomLeft" activeCell="A14" sqref="A14"/>
      <selection pane="bottomRight" activeCell="D14" sqref="D14"/>
    </sheetView>
  </sheetViews>
  <sheetFormatPr defaultRowHeight="12.75" x14ac:dyDescent="0.2"/>
  <cols>
    <col min="1" max="1" width="4.5703125" style="41" customWidth="1"/>
    <col min="2" max="2" width="50.7109375" style="41" customWidth="1"/>
    <col min="3" max="3" width="13.7109375" style="41" customWidth="1"/>
    <col min="4" max="4" width="2.7109375" style="41" customWidth="1"/>
    <col min="5" max="5" width="13.7109375" style="41" customWidth="1"/>
    <col min="6" max="6" width="2.7109375" style="41" customWidth="1"/>
    <col min="7" max="8" width="21.7109375" style="41" customWidth="1"/>
    <col min="9" max="9" width="2.7109375" style="41" customWidth="1"/>
    <col min="10" max="10" width="30.7109375" style="41" customWidth="1"/>
    <col min="11" max="11" width="2.7109375" style="41" customWidth="1"/>
    <col min="12" max="12" width="30.7109375" style="41" customWidth="1"/>
    <col min="13" max="13" width="2.7109375" style="41" customWidth="1"/>
    <col min="14" max="28" width="13.7109375" style="41" customWidth="1"/>
    <col min="29" max="16384" width="9.140625" style="41"/>
  </cols>
  <sheetData>
    <row r="2" spans="1:12" s="13" customFormat="1" ht="18" x14ac:dyDescent="0.2">
      <c r="A2" s="5"/>
      <c r="B2" s="13" t="s">
        <v>79</v>
      </c>
    </row>
    <row r="4" spans="1:12" ht="15" x14ac:dyDescent="0.2">
      <c r="B4" s="20" t="s">
        <v>72</v>
      </c>
      <c r="I4" s="54"/>
    </row>
    <row r="5" spans="1:12" x14ac:dyDescent="0.2">
      <c r="B5" s="16" t="s">
        <v>90</v>
      </c>
      <c r="E5" s="14"/>
    </row>
    <row r="6" spans="1:12" x14ac:dyDescent="0.2">
      <c r="B6" s="16"/>
      <c r="E6" s="14"/>
    </row>
    <row r="7" spans="1:12" x14ac:dyDescent="0.2">
      <c r="B7" s="21" t="s">
        <v>30</v>
      </c>
      <c r="E7" s="14"/>
    </row>
    <row r="8" spans="1:12" x14ac:dyDescent="0.2">
      <c r="B8" s="16" t="s">
        <v>73</v>
      </c>
    </row>
    <row r="9" spans="1:12" x14ac:dyDescent="0.2">
      <c r="B9" s="16" t="s">
        <v>208</v>
      </c>
    </row>
    <row r="11" spans="1:12" x14ac:dyDescent="0.2">
      <c r="B11" s="2" t="s">
        <v>242</v>
      </c>
    </row>
    <row r="13" spans="1:12" s="37" customFormat="1" x14ac:dyDescent="0.2">
      <c r="B13" s="37" t="s">
        <v>33</v>
      </c>
      <c r="C13" s="37" t="s">
        <v>67</v>
      </c>
      <c r="E13" s="37" t="s">
        <v>7</v>
      </c>
      <c r="G13" s="37" t="s">
        <v>86</v>
      </c>
      <c r="H13" s="37" t="s">
        <v>87</v>
      </c>
      <c r="J13" s="37" t="s">
        <v>8</v>
      </c>
      <c r="L13" s="37" t="s">
        <v>9</v>
      </c>
    </row>
    <row r="15" spans="1:12" s="37" customFormat="1" x14ac:dyDescent="0.2">
      <c r="B15" s="37" t="s">
        <v>74</v>
      </c>
    </row>
    <row r="17" spans="2:12" x14ac:dyDescent="0.2">
      <c r="B17" s="41" t="s">
        <v>65</v>
      </c>
      <c r="C17" s="41" t="s">
        <v>4</v>
      </c>
      <c r="E17" s="62">
        <f>-1.3%</f>
        <v>-1.3000000000000001E-2</v>
      </c>
      <c r="J17" s="16" t="s">
        <v>85</v>
      </c>
    </row>
    <row r="18" spans="2:12" x14ac:dyDescent="0.2">
      <c r="B18" s="41" t="s">
        <v>75</v>
      </c>
      <c r="C18" s="41" t="s">
        <v>4</v>
      </c>
      <c r="E18" s="62">
        <v>4.3999999999999997E-2</v>
      </c>
      <c r="J18" s="16" t="s">
        <v>85</v>
      </c>
    </row>
    <row r="19" spans="2:12" x14ac:dyDescent="0.2">
      <c r="B19" s="41" t="s">
        <v>84</v>
      </c>
      <c r="C19" s="41" t="s">
        <v>4</v>
      </c>
      <c r="E19" s="62">
        <v>3.0000000000000001E-3</v>
      </c>
      <c r="J19" s="16" t="s">
        <v>85</v>
      </c>
    </row>
    <row r="20" spans="2:12" x14ac:dyDescent="0.2">
      <c r="B20" s="41" t="s">
        <v>111</v>
      </c>
      <c r="C20" s="41" t="s">
        <v>4</v>
      </c>
      <c r="E20" s="62">
        <v>-1.6E-2</v>
      </c>
      <c r="J20" s="16" t="s">
        <v>85</v>
      </c>
    </row>
    <row r="22" spans="2:12" s="37" customFormat="1" x14ac:dyDescent="0.2">
      <c r="B22" s="37" t="s">
        <v>76</v>
      </c>
      <c r="E22" s="55"/>
      <c r="I22" s="55"/>
    </row>
    <row r="24" spans="2:12" x14ac:dyDescent="0.2">
      <c r="B24" s="41" t="s">
        <v>77</v>
      </c>
      <c r="C24" s="41" t="s">
        <v>4</v>
      </c>
      <c r="E24" s="29">
        <v>6.4100000000000004E-2</v>
      </c>
      <c r="J24" s="41" t="s">
        <v>211</v>
      </c>
    </row>
    <row r="26" spans="2:12" s="37" customFormat="1" x14ac:dyDescent="0.2">
      <c r="B26" s="37" t="s">
        <v>15</v>
      </c>
    </row>
    <row r="28" spans="2:12" x14ac:dyDescent="0.2">
      <c r="B28" s="41" t="s">
        <v>64</v>
      </c>
      <c r="C28" s="41" t="s">
        <v>4</v>
      </c>
      <c r="E28" s="63">
        <v>0.5</v>
      </c>
      <c r="J28" s="41" t="s">
        <v>214</v>
      </c>
    </row>
    <row r="30" spans="2:12" s="37" customFormat="1" x14ac:dyDescent="0.2">
      <c r="B30" s="37" t="s">
        <v>83</v>
      </c>
    </row>
    <row r="32" spans="2:12" x14ac:dyDescent="0.2">
      <c r="B32" s="41" t="s">
        <v>188</v>
      </c>
      <c r="C32" s="41" t="s">
        <v>4</v>
      </c>
      <c r="G32" s="63">
        <v>0.25</v>
      </c>
      <c r="H32" s="63">
        <v>0.25</v>
      </c>
      <c r="L32" s="16" t="s">
        <v>91</v>
      </c>
    </row>
    <row r="33" spans="2:12" x14ac:dyDescent="0.2">
      <c r="B33" s="41" t="s">
        <v>140</v>
      </c>
      <c r="C33" s="41" t="s">
        <v>4</v>
      </c>
      <c r="G33" s="63">
        <v>0</v>
      </c>
      <c r="H33" s="63">
        <v>0.5</v>
      </c>
      <c r="L33" s="16" t="s">
        <v>104</v>
      </c>
    </row>
    <row r="38" spans="2:12" x14ac:dyDescent="0.2">
      <c r="B38" s="41" t="s">
        <v>228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CCFFCC"/>
  </sheetPr>
  <dimension ref="A2:L33"/>
  <sheetViews>
    <sheetView showGridLines="0" zoomScale="85" zoomScaleNormal="85" workbookViewId="0">
      <pane xSplit="3" ySplit="8" topLeftCell="D9" activePane="bottomRight" state="frozen"/>
      <selection pane="topRight" activeCell="D1" sqref="D1"/>
      <selection pane="bottomLeft" activeCell="A8" sqref="A8"/>
      <selection pane="bottomRight" activeCell="D9" sqref="D9"/>
    </sheetView>
  </sheetViews>
  <sheetFormatPr defaultRowHeight="12.75" x14ac:dyDescent="0.2"/>
  <cols>
    <col min="1" max="1" width="4.5703125" style="41" customWidth="1"/>
    <col min="2" max="2" width="50.7109375" style="1" customWidth="1"/>
    <col min="3" max="3" width="13.7109375" style="1" customWidth="1"/>
    <col min="4" max="4" width="2.7109375" style="1" customWidth="1"/>
    <col min="5" max="5" width="13.7109375" style="41" customWidth="1"/>
    <col min="6" max="6" width="2.7109375" style="41" customWidth="1"/>
    <col min="7" max="7" width="21.7109375" style="41" customWidth="1"/>
    <col min="8" max="8" width="21.7109375" style="1" customWidth="1"/>
    <col min="9" max="9" width="2.7109375" style="1" customWidth="1"/>
    <col min="10" max="10" width="30.7109375" style="1" customWidth="1"/>
    <col min="11" max="11" width="2.7109375" style="1" customWidth="1"/>
    <col min="12" max="12" width="30.7109375" style="1" customWidth="1"/>
    <col min="13" max="13" width="2.7109375" style="1" customWidth="1"/>
    <col min="14" max="28" width="13.7109375" style="1" customWidth="1"/>
    <col min="29" max="16384" width="9.140625" style="1"/>
  </cols>
  <sheetData>
    <row r="2" spans="1:12" s="13" customFormat="1" ht="18" x14ac:dyDescent="0.2">
      <c r="B2" s="13" t="s">
        <v>118</v>
      </c>
    </row>
    <row r="4" spans="1:12" x14ac:dyDescent="0.2">
      <c r="B4" s="20" t="s">
        <v>2</v>
      </c>
    </row>
    <row r="5" spans="1:12" x14ac:dyDescent="0.2">
      <c r="B5" s="16" t="s">
        <v>231</v>
      </c>
      <c r="H5" s="14"/>
    </row>
    <row r="6" spans="1:12" s="41" customFormat="1" x14ac:dyDescent="0.2">
      <c r="B6" s="16" t="s">
        <v>95</v>
      </c>
      <c r="H6" s="14"/>
    </row>
    <row r="8" spans="1:12" s="6" customFormat="1" x14ac:dyDescent="0.2">
      <c r="A8" s="37"/>
      <c r="B8" s="6" t="s">
        <v>6</v>
      </c>
      <c r="C8" s="6" t="s">
        <v>10</v>
      </c>
      <c r="E8" s="6" t="s">
        <v>7</v>
      </c>
      <c r="F8" s="37"/>
      <c r="G8" s="37" t="s">
        <v>86</v>
      </c>
      <c r="H8" s="37" t="s">
        <v>87</v>
      </c>
      <c r="J8" s="6" t="s">
        <v>8</v>
      </c>
      <c r="L8" s="6" t="s">
        <v>9</v>
      </c>
    </row>
    <row r="10" spans="1:12" s="6" customFormat="1" x14ac:dyDescent="0.2">
      <c r="A10" s="37"/>
      <c r="B10" s="6" t="s">
        <v>119</v>
      </c>
      <c r="E10" s="37"/>
      <c r="F10" s="37"/>
      <c r="G10" s="37"/>
    </row>
    <row r="12" spans="1:12" x14ac:dyDescent="0.2">
      <c r="B12" s="20" t="s">
        <v>3</v>
      </c>
      <c r="J12" s="16"/>
    </row>
    <row r="13" spans="1:12" x14ac:dyDescent="0.2">
      <c r="B13" s="1" t="s">
        <v>92</v>
      </c>
      <c r="C13" s="41" t="s">
        <v>78</v>
      </c>
      <c r="G13" s="30">
        <v>2418246.4801129899</v>
      </c>
      <c r="H13" s="30">
        <v>4308786.8547856901</v>
      </c>
      <c r="J13" s="16" t="s">
        <v>195</v>
      </c>
    </row>
    <row r="14" spans="1:12" x14ac:dyDescent="0.2">
      <c r="B14" s="1" t="s">
        <v>93</v>
      </c>
      <c r="C14" s="41" t="s">
        <v>78</v>
      </c>
      <c r="G14" s="30">
        <v>109385.652054112</v>
      </c>
      <c r="H14" s="30">
        <v>261389.786886141</v>
      </c>
      <c r="J14" s="16" t="s">
        <v>196</v>
      </c>
    </row>
    <row r="15" spans="1:12" x14ac:dyDescent="0.2">
      <c r="J15" s="16"/>
    </row>
    <row r="16" spans="1:12" x14ac:dyDescent="0.2">
      <c r="B16" s="20" t="s">
        <v>5</v>
      </c>
      <c r="J16" s="16"/>
    </row>
    <row r="17" spans="1:10" x14ac:dyDescent="0.2">
      <c r="B17" s="1" t="s">
        <v>189</v>
      </c>
      <c r="C17" s="1" t="s">
        <v>78</v>
      </c>
      <c r="G17" s="30">
        <v>1043230.08150688</v>
      </c>
      <c r="H17" s="30">
        <v>846221.79849312396</v>
      </c>
      <c r="J17" s="16" t="s">
        <v>197</v>
      </c>
    </row>
    <row r="18" spans="1:10" s="41" customFormat="1" x14ac:dyDescent="0.2">
      <c r="B18" s="41" t="s">
        <v>194</v>
      </c>
      <c r="C18" s="41" t="s">
        <v>78</v>
      </c>
      <c r="G18" s="58"/>
      <c r="H18" s="30">
        <v>46</v>
      </c>
      <c r="J18" s="16" t="s">
        <v>198</v>
      </c>
    </row>
    <row r="19" spans="1:10" x14ac:dyDescent="0.2">
      <c r="B19" s="1" t="s">
        <v>94</v>
      </c>
      <c r="C19" s="1" t="s">
        <v>78</v>
      </c>
      <c r="G19" s="30">
        <v>368.09996360998502</v>
      </c>
      <c r="H19" s="30">
        <v>76020.410036390007</v>
      </c>
      <c r="J19" s="16" t="s">
        <v>199</v>
      </c>
    </row>
    <row r="20" spans="1:10" x14ac:dyDescent="0.2">
      <c r="B20" s="1" t="s">
        <v>105</v>
      </c>
      <c r="C20" s="1" t="s">
        <v>78</v>
      </c>
      <c r="G20" s="38">
        <f>G17-G19</f>
        <v>1042861.9815432701</v>
      </c>
      <c r="H20" s="38">
        <f>H17+H18-H19</f>
        <v>770247.3884567339</v>
      </c>
      <c r="J20" s="16"/>
    </row>
    <row r="21" spans="1:10" x14ac:dyDescent="0.2">
      <c r="J21" s="16"/>
    </row>
    <row r="22" spans="1:10" s="6" customFormat="1" x14ac:dyDescent="0.2">
      <c r="A22" s="44"/>
      <c r="B22" s="44" t="s">
        <v>120</v>
      </c>
      <c r="E22" s="37"/>
      <c r="F22" s="37"/>
      <c r="G22" s="37"/>
      <c r="J22" s="44"/>
    </row>
    <row r="23" spans="1:10" x14ac:dyDescent="0.2">
      <c r="J23" s="16"/>
    </row>
    <row r="24" spans="1:10" s="41" customFormat="1" x14ac:dyDescent="0.2">
      <c r="B24" s="40" t="s">
        <v>66</v>
      </c>
      <c r="J24" s="16"/>
    </row>
    <row r="25" spans="1:10" s="21" customFormat="1" x14ac:dyDescent="0.2">
      <c r="B25" s="21" t="s">
        <v>67</v>
      </c>
      <c r="C25" s="21" t="s">
        <v>68</v>
      </c>
      <c r="G25" s="21" t="s">
        <v>11</v>
      </c>
      <c r="H25" s="21" t="s">
        <v>69</v>
      </c>
      <c r="J25" s="69"/>
    </row>
    <row r="26" spans="1:10" s="21" customFormat="1" x14ac:dyDescent="0.2">
      <c r="B26" s="41" t="s">
        <v>229</v>
      </c>
      <c r="C26" s="41" t="s">
        <v>68</v>
      </c>
      <c r="D26" s="41"/>
      <c r="E26" s="41"/>
      <c r="F26" s="41"/>
      <c r="G26" s="30">
        <v>9217268</v>
      </c>
      <c r="H26" s="74">
        <v>10380.699999999999</v>
      </c>
      <c r="I26" s="41"/>
      <c r="J26" s="16" t="s">
        <v>236</v>
      </c>
    </row>
    <row r="27" spans="1:10" s="41" customFormat="1" x14ac:dyDescent="0.2">
      <c r="A27" s="21"/>
      <c r="B27" s="41" t="s">
        <v>121</v>
      </c>
      <c r="C27" s="41" t="s">
        <v>68</v>
      </c>
      <c r="G27" s="30">
        <v>8998557.7699999996</v>
      </c>
      <c r="H27" s="74">
        <v>11302.499999999998</v>
      </c>
      <c r="J27" s="16" t="s">
        <v>200</v>
      </c>
    </row>
    <row r="28" spans="1:10" s="41" customFormat="1" x14ac:dyDescent="0.2">
      <c r="J28" s="16"/>
    </row>
    <row r="29" spans="1:10" s="41" customFormat="1" x14ac:dyDescent="0.2">
      <c r="B29" s="41" t="s">
        <v>122</v>
      </c>
      <c r="C29" s="41" t="s">
        <v>4</v>
      </c>
      <c r="G29" s="53"/>
      <c r="H29" s="29">
        <v>6.0999999999999999E-2</v>
      </c>
      <c r="J29" s="16" t="s">
        <v>201</v>
      </c>
    </row>
    <row r="30" spans="1:10" x14ac:dyDescent="0.2">
      <c r="J30" s="16"/>
    </row>
    <row r="31" spans="1:10" x14ac:dyDescent="0.2">
      <c r="B31" s="1" t="s">
        <v>123</v>
      </c>
      <c r="C31" s="1" t="s">
        <v>12</v>
      </c>
      <c r="G31" s="36">
        <v>0.31677632322763116</v>
      </c>
      <c r="H31" s="53"/>
      <c r="J31" s="16" t="s">
        <v>202</v>
      </c>
    </row>
    <row r="32" spans="1:10" x14ac:dyDescent="0.2">
      <c r="B32" s="41" t="s">
        <v>124</v>
      </c>
      <c r="C32" s="41" t="s">
        <v>12</v>
      </c>
      <c r="G32" s="36">
        <v>0.3093416117591648</v>
      </c>
      <c r="H32" s="53"/>
      <c r="J32" s="16" t="s">
        <v>207</v>
      </c>
    </row>
    <row r="33" spans="10:10" x14ac:dyDescent="0.2">
      <c r="J33"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CCFFCC"/>
  </sheetPr>
  <dimension ref="A2:L32"/>
  <sheetViews>
    <sheetView showGridLines="0"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4.5703125" style="41" customWidth="1"/>
    <col min="2" max="2" width="50.7109375" style="1" customWidth="1"/>
    <col min="3" max="3" width="13.7109375" style="1" customWidth="1"/>
    <col min="4" max="4" width="2.7109375" style="41" customWidth="1"/>
    <col min="5" max="5" width="13.7109375" style="41" customWidth="1"/>
    <col min="6" max="6" width="2.7109375" style="41" customWidth="1"/>
    <col min="7" max="8" width="21.7109375" style="1" customWidth="1"/>
    <col min="9" max="9" width="2.7109375" style="1" customWidth="1"/>
    <col min="10" max="10" width="30.7109375" style="1" customWidth="1"/>
    <col min="11" max="11" width="2.7109375" style="1" customWidth="1"/>
    <col min="12" max="12" width="30.7109375" style="1" customWidth="1"/>
    <col min="13" max="13" width="2.7109375" style="1" customWidth="1"/>
    <col min="14" max="28" width="13.7109375" style="1" customWidth="1"/>
    <col min="29" max="16384" width="9.140625" style="1"/>
  </cols>
  <sheetData>
    <row r="2" spans="1:12" s="13" customFormat="1" ht="18" x14ac:dyDescent="0.2">
      <c r="B2" s="13" t="s">
        <v>125</v>
      </c>
    </row>
    <row r="4" spans="1:12" x14ac:dyDescent="0.2">
      <c r="B4" s="20" t="s">
        <v>2</v>
      </c>
    </row>
    <row r="5" spans="1:12" x14ac:dyDescent="0.2">
      <c r="B5" s="16" t="s">
        <v>126</v>
      </c>
      <c r="H5" s="14"/>
    </row>
    <row r="7" spans="1:12" s="6" customFormat="1" x14ac:dyDescent="0.2">
      <c r="A7" s="37"/>
      <c r="B7" s="6" t="s">
        <v>6</v>
      </c>
      <c r="C7" s="6" t="s">
        <v>10</v>
      </c>
      <c r="D7" s="37"/>
      <c r="E7" s="37" t="s">
        <v>7</v>
      </c>
      <c r="F7" s="37"/>
      <c r="G7" s="37" t="s">
        <v>86</v>
      </c>
      <c r="H7" s="37" t="s">
        <v>87</v>
      </c>
      <c r="J7" s="6" t="s">
        <v>8</v>
      </c>
      <c r="L7" s="6" t="s">
        <v>9</v>
      </c>
    </row>
    <row r="8" spans="1:12" x14ac:dyDescent="0.2">
      <c r="D8" s="66"/>
    </row>
    <row r="9" spans="1:12" s="6" customFormat="1" x14ac:dyDescent="0.2">
      <c r="A9" s="37"/>
      <c r="B9" s="6" t="s">
        <v>127</v>
      </c>
      <c r="D9" s="37"/>
      <c r="E9" s="37"/>
      <c r="F9" s="37"/>
    </row>
    <row r="11" spans="1:12" x14ac:dyDescent="0.2">
      <c r="B11" s="20" t="s">
        <v>3</v>
      </c>
    </row>
    <row r="12" spans="1:12" x14ac:dyDescent="0.2">
      <c r="B12" s="41" t="s">
        <v>128</v>
      </c>
      <c r="C12" s="41" t="s">
        <v>114</v>
      </c>
      <c r="G12" s="77">
        <v>2435322.9712092979</v>
      </c>
      <c r="H12" s="31">
        <v>3930704.97591291</v>
      </c>
      <c r="J12" s="16" t="s">
        <v>217</v>
      </c>
    </row>
    <row r="13" spans="1:12" x14ac:dyDescent="0.2">
      <c r="B13" s="1" t="s">
        <v>129</v>
      </c>
      <c r="C13" s="41" t="s">
        <v>114</v>
      </c>
      <c r="G13" s="30">
        <v>112482.70404425287</v>
      </c>
      <c r="H13" s="30">
        <v>264522.66101660288</v>
      </c>
      <c r="J13" s="16" t="s">
        <v>220</v>
      </c>
    </row>
    <row r="14" spans="1:12" x14ac:dyDescent="0.2">
      <c r="J14" s="16"/>
    </row>
    <row r="15" spans="1:12" x14ac:dyDescent="0.2">
      <c r="B15" s="20" t="s">
        <v>5</v>
      </c>
      <c r="J15" s="16"/>
    </row>
    <row r="16" spans="1:12" x14ac:dyDescent="0.2">
      <c r="B16" s="1" t="s">
        <v>130</v>
      </c>
      <c r="C16" s="1" t="s">
        <v>114</v>
      </c>
      <c r="G16" s="31">
        <v>1381346</v>
      </c>
      <c r="H16" s="31">
        <v>872785.76</v>
      </c>
      <c r="J16" s="16" t="s">
        <v>221</v>
      </c>
      <c r="L16" s="19"/>
    </row>
    <row r="17" spans="1:12" x14ac:dyDescent="0.2">
      <c r="B17" s="1" t="s">
        <v>131</v>
      </c>
      <c r="C17" s="1" t="s">
        <v>114</v>
      </c>
      <c r="G17" s="31">
        <v>5287.08</v>
      </c>
      <c r="H17" s="31">
        <v>91965.91</v>
      </c>
      <c r="J17" s="16" t="s">
        <v>222</v>
      </c>
      <c r="L17" s="41"/>
    </row>
    <row r="18" spans="1:12" s="41" customFormat="1" x14ac:dyDescent="0.2">
      <c r="B18" s="41" t="s">
        <v>132</v>
      </c>
      <c r="C18" s="41" t="s">
        <v>114</v>
      </c>
      <c r="G18" s="38">
        <f>G16-G17</f>
        <v>1376058.92</v>
      </c>
      <c r="H18" s="38">
        <f>H16-H17</f>
        <v>780819.85</v>
      </c>
      <c r="J18" s="16"/>
    </row>
    <row r="19" spans="1:12" x14ac:dyDescent="0.2">
      <c r="J19" s="16"/>
    </row>
    <row r="20" spans="1:12" s="6" customFormat="1" x14ac:dyDescent="0.2">
      <c r="A20" s="37"/>
      <c r="B20" s="6" t="s">
        <v>133</v>
      </c>
      <c r="D20" s="37"/>
      <c r="E20" s="37"/>
      <c r="F20" s="37"/>
      <c r="J20" s="44"/>
    </row>
    <row r="21" spans="1:12" x14ac:dyDescent="0.2">
      <c r="J21" s="16"/>
    </row>
    <row r="22" spans="1:12" s="41" customFormat="1" x14ac:dyDescent="0.2">
      <c r="B22" s="40" t="s">
        <v>66</v>
      </c>
      <c r="J22" s="16"/>
    </row>
    <row r="23" spans="1:12" s="21" customFormat="1" x14ac:dyDescent="0.2">
      <c r="B23" s="21" t="s">
        <v>67</v>
      </c>
      <c r="C23" s="21" t="s">
        <v>68</v>
      </c>
      <c r="G23" s="21" t="s">
        <v>11</v>
      </c>
      <c r="H23" s="21" t="s">
        <v>69</v>
      </c>
      <c r="J23" s="69"/>
    </row>
    <row r="24" spans="1:12" s="41" customFormat="1" x14ac:dyDescent="0.2">
      <c r="B24" s="41" t="s">
        <v>134</v>
      </c>
      <c r="C24" s="41" t="s">
        <v>68</v>
      </c>
      <c r="G24" s="30">
        <v>9137706.3000000007</v>
      </c>
      <c r="H24" s="30">
        <v>11528.715384615381</v>
      </c>
      <c r="J24" s="16" t="s">
        <v>237</v>
      </c>
    </row>
    <row r="25" spans="1:12" s="41" customFormat="1" x14ac:dyDescent="0.2">
      <c r="J25" s="16"/>
    </row>
    <row r="26" spans="1:12" s="41" customFormat="1" x14ac:dyDescent="0.2">
      <c r="B26" s="41" t="s">
        <v>135</v>
      </c>
      <c r="C26" s="41" t="s">
        <v>4</v>
      </c>
      <c r="G26" s="53"/>
      <c r="H26" s="29">
        <v>7.9277824895729043E-2</v>
      </c>
      <c r="J26" s="16" t="s">
        <v>225</v>
      </c>
    </row>
    <row r="27" spans="1:12" s="41" customFormat="1" x14ac:dyDescent="0.2">
      <c r="J27" s="16"/>
    </row>
    <row r="30" spans="1:12" x14ac:dyDescent="0.2">
      <c r="G30" s="41"/>
    </row>
    <row r="32" spans="1:12" x14ac:dyDescent="0.2">
      <c r="B32" s="4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0" tint="-4.9989318521683403E-2"/>
  </sheetPr>
  <dimension ref="A1"/>
  <sheetViews>
    <sheetView showGridLines="0" zoomScale="85" zoomScaleNormal="85" workbookViewId="0"/>
  </sheetViews>
  <sheetFormatPr defaultRowHeight="12.75" x14ac:dyDescent="0.2"/>
  <cols>
    <col min="1" max="16384" width="9.140625" style="15"/>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schemas.microsoft.com/office/infopath/2007/PartnerControls"/>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Cover sheet</vt:lpstr>
      <vt:lpstr>Explanation</vt:lpstr>
      <vt:lpstr>Sources and applications</vt:lpstr>
      <vt:lpstr>Result</vt:lpstr>
      <vt:lpstr>Input --&gt;</vt:lpstr>
      <vt:lpstr>Parameters</vt:lpstr>
      <vt:lpstr>Estimation for 2019</vt:lpstr>
      <vt:lpstr>Realization of 2019</vt:lpstr>
      <vt:lpstr>Calculations 2019 --&gt;</vt:lpstr>
      <vt:lpstr>Fixed-variable costs 2017</vt:lpstr>
      <vt:lpstr>Volume-effect 2019</vt:lpstr>
      <vt:lpstr>Profit sharing 2019</vt:lpstr>
      <vt:lpstr>Network loss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2020-12-15T14:24:03Z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y fmtid="{D5CDD505-2E9C-101B-9397-08002B2CF9AE}" pid="3" name="_MarkAsFinal">
    <vt:bool>true</vt:bool>
  </property>
</Properties>
</file>