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9080" windowHeight="7560" tabRatio="909"/>
  </bookViews>
  <sheets>
    <sheet name="Titelblad" sheetId="9" r:id="rId1"/>
    <sheet name="Toelichting" sheetId="10" r:id="rId2"/>
    <sheet name="Bronnen en toepassingen" sheetId="11" r:id="rId3"/>
    <sheet name="Resultaat" sheetId="21" r:id="rId4"/>
    <sheet name="Input --&gt;" sheetId="13" r:id="rId5"/>
    <sheet name="Import data netverliezen" sheetId="23" r:id="rId6"/>
    <sheet name="Import parameters" sheetId="18" r:id="rId7"/>
    <sheet name="Berekeningen --&gt;" sheetId="15" r:id="rId8"/>
    <sheet name="Berekening factor" sheetId="26" r:id="rId9"/>
    <sheet name="Berekening kosten netverliezen" sheetId="30" r:id="rId10"/>
    <sheet name="Berekening kosten per RNB" sheetId="27" r:id="rId11"/>
  </sheets>
  <calcPr calcId="145621"/>
</workbook>
</file>

<file path=xl/calcChain.xml><?xml version="1.0" encoding="utf-8"?>
<calcChain xmlns="http://schemas.openxmlformats.org/spreadsheetml/2006/main">
  <c r="H22" i="30" l="1"/>
  <c r="H23" i="30"/>
  <c r="H24" i="30"/>
  <c r="H21" i="30"/>
  <c r="H15" i="30" l="1"/>
  <c r="H14" i="30"/>
  <c r="H13" i="30"/>
  <c r="H19" i="30" l="1"/>
  <c r="H28" i="30" l="1"/>
  <c r="H30" i="30"/>
  <c r="R32" i="26"/>
  <c r="R17" i="27" s="1"/>
  <c r="Q32" i="26"/>
  <c r="Q17" i="27" s="1"/>
  <c r="P32" i="26"/>
  <c r="P17" i="27" s="1"/>
  <c r="O32" i="26"/>
  <c r="O17" i="27" s="1"/>
  <c r="M32" i="26"/>
  <c r="M17" i="27" s="1"/>
  <c r="L32" i="26"/>
  <c r="L17" i="27" s="1"/>
  <c r="R29" i="26"/>
  <c r="Q29" i="26"/>
  <c r="P29" i="26"/>
  <c r="O29" i="26"/>
  <c r="M29" i="26"/>
  <c r="L29" i="26"/>
  <c r="R28" i="26"/>
  <c r="Q28" i="26"/>
  <c r="P28" i="26"/>
  <c r="O28" i="26"/>
  <c r="M28" i="26"/>
  <c r="L28" i="26"/>
  <c r="H29" i="30"/>
  <c r="O30" i="26" l="1"/>
  <c r="O14" i="27" s="1"/>
  <c r="M30" i="26"/>
  <c r="M14" i="27" s="1"/>
  <c r="R30" i="26"/>
  <c r="R14" i="27" s="1"/>
  <c r="P30" i="26"/>
  <c r="P14" i="27" s="1"/>
  <c r="L30" i="26"/>
  <c r="L14" i="27" s="1"/>
  <c r="Q30" i="26"/>
  <c r="Q14" i="27" s="1"/>
  <c r="H32" i="30"/>
  <c r="H21" i="27" s="1"/>
  <c r="R15" i="26" l="1"/>
  <c r="R16" i="26"/>
  <c r="R19" i="26"/>
  <c r="R20" i="26"/>
  <c r="R23" i="26"/>
  <c r="R24" i="26"/>
  <c r="N32" i="26" l="1"/>
  <c r="N29" i="26"/>
  <c r="J29" i="26" s="1"/>
  <c r="N28" i="26"/>
  <c r="N30" i="26" l="1"/>
  <c r="N14" i="27" s="1"/>
  <c r="J32" i="26"/>
  <c r="J46" i="26" s="1"/>
  <c r="N17" i="27"/>
  <c r="J28" i="26"/>
  <c r="J14" i="18"/>
  <c r="J17" i="18"/>
  <c r="J20" i="18"/>
  <c r="L23" i="26"/>
  <c r="M23" i="26"/>
  <c r="N23" i="26"/>
  <c r="O23" i="26"/>
  <c r="P23" i="26"/>
  <c r="Q23" i="26"/>
  <c r="L24" i="26"/>
  <c r="M24" i="26"/>
  <c r="N24" i="26"/>
  <c r="O24" i="26"/>
  <c r="P24" i="26"/>
  <c r="Q24" i="26"/>
  <c r="L19" i="26"/>
  <c r="M19" i="26"/>
  <c r="N19" i="26"/>
  <c r="O19" i="26"/>
  <c r="P19" i="26"/>
  <c r="Q19" i="26"/>
  <c r="L20" i="26"/>
  <c r="M20" i="26"/>
  <c r="N20" i="26"/>
  <c r="O20" i="26"/>
  <c r="P20" i="26"/>
  <c r="Q20" i="26"/>
  <c r="M15" i="26"/>
  <c r="N15" i="26"/>
  <c r="O15" i="26"/>
  <c r="P15" i="26"/>
  <c r="Q15" i="26"/>
  <c r="M16" i="26"/>
  <c r="N16" i="26"/>
  <c r="O16" i="26"/>
  <c r="P16" i="26"/>
  <c r="Q16" i="26"/>
  <c r="L15" i="26"/>
  <c r="L16" i="26"/>
  <c r="J15" i="23"/>
  <c r="J16" i="23"/>
  <c r="J19" i="23"/>
  <c r="J20" i="23"/>
  <c r="J23" i="23"/>
  <c r="J24" i="23"/>
  <c r="J30" i="26" l="1"/>
  <c r="J45" i="26" s="1"/>
  <c r="J24" i="26"/>
  <c r="J15" i="26"/>
  <c r="J23" i="26"/>
  <c r="J19" i="26"/>
  <c r="J16" i="26"/>
  <c r="J20" i="26"/>
  <c r="J39" i="26" l="1"/>
  <c r="J38" i="26"/>
  <c r="P26" i="27"/>
  <c r="Q26" i="27"/>
  <c r="M26" i="27"/>
  <c r="B28" i="10"/>
  <c r="J40" i="26" l="1"/>
  <c r="J17" i="27"/>
  <c r="L26" i="27"/>
  <c r="R26" i="27"/>
  <c r="N26" i="27"/>
  <c r="O26" i="27"/>
  <c r="B16" i="10"/>
  <c r="B23" i="10" s="1"/>
  <c r="J43" i="26" l="1"/>
  <c r="J14" i="27"/>
  <c r="J26" i="27"/>
  <c r="B17" i="10"/>
  <c r="J42" i="26" l="1"/>
  <c r="J48" i="26" s="1"/>
  <c r="H19" i="27" s="1"/>
  <c r="B18" i="10"/>
  <c r="B22" i="10" s="1"/>
  <c r="M29" i="27" l="1"/>
  <c r="M33" i="27" s="1"/>
  <c r="N29" i="27"/>
  <c r="N33" i="27" s="1"/>
  <c r="R29" i="27"/>
  <c r="R33" i="27" s="1"/>
  <c r="L29" i="27"/>
  <c r="L33" i="27" s="1"/>
  <c r="O29" i="27"/>
  <c r="O33" i="27" s="1"/>
  <c r="Q29" i="27"/>
  <c r="Q33" i="27" s="1"/>
  <c r="P29" i="27"/>
  <c r="P33" i="27" s="1"/>
  <c r="J33" i="27" l="1"/>
  <c r="L37" i="27" s="1"/>
  <c r="J29" i="27"/>
  <c r="N37" i="27" l="1"/>
  <c r="M37" i="27"/>
  <c r="Q37" i="27"/>
  <c r="P37" i="27"/>
  <c r="O37" i="27"/>
  <c r="R37" i="27"/>
  <c r="R13" i="21" l="1"/>
  <c r="M13" i="21"/>
  <c r="O13" i="21"/>
  <c r="L13" i="21"/>
  <c r="P13" i="21"/>
  <c r="Q13" i="21"/>
  <c r="N13" i="21"/>
  <c r="J37" i="27"/>
  <c r="J13" i="21" l="1"/>
</calcChain>
</file>

<file path=xl/comments1.xml><?xml version="1.0" encoding="utf-8"?>
<comments xmlns="http://schemas.openxmlformats.org/spreadsheetml/2006/main">
  <authors>
    <author>Auteur</author>
  </authors>
  <commentList>
    <comment ref="B22" authorId="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sharedStrings.xml><?xml version="1.0" encoding="utf-8"?>
<sst xmlns="http://schemas.openxmlformats.org/spreadsheetml/2006/main" count="329" uniqueCount="183">
  <si>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</si>
  <si>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</si>
  <si>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</si>
  <si>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</si>
  <si>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</si>
  <si>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</si>
  <si>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</si>
  <si>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</si>
  <si>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</si>
  <si>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</si>
  <si>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</si>
  <si>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Opmerkingen openbare versiegeschiedenis</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</si>
  <si>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</si>
  <si>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</si>
  <si>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</si>
  <si>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</si>
  <si>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</si>
  <si>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</si>
  <si>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</si>
  <si>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</si>
  <si>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</si>
  <si>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</si>
  <si>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</si>
  <si>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</si>
  <si>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</si>
  <si>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</si>
  <si>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</si>
  <si>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</si>
  <si>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</si>
  <si>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</si>
  <si>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</si>
  <si>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</si>
  <si>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</si>
  <si>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</si>
  <si>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</si>
  <si>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</si>
  <si>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</si>
  <si>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</si>
  <si>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</si>
  <si>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</si>
  <si>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</si>
  <si>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</si>
  <si>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</si>
  <si>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</si>
  <si>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</si>
  <si>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</si>
  <si>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</si>
  <si>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</si>
  <si>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</si>
  <si>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Nr.</t>
  </si>
  <si>
    <t xml:space="preserve">Verkorte naam </t>
  </si>
  <si>
    <t>Naam bestand extern</t>
  </si>
  <si>
    <t>Beschrijving berekening</t>
  </si>
  <si>
    <t>Beschrijving resultaat</t>
  </si>
  <si>
    <t>Grijze cijfers geven de uitkomt van een check berekening; dit is geen resultaat waarmee verder wordt gerekend</t>
  </si>
  <si>
    <t>Aanvullende gegevens bestand extern</t>
  </si>
  <si>
    <t>Datum ontvangst, versie nr., opmerkingen</t>
  </si>
  <si>
    <t>Zoals gebruikt in dit bestand</t>
  </si>
  <si>
    <t>Ophalen resultaat</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</si>
  <si>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</si>
  <si>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</si>
  <si>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</si>
  <si>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</si>
  <si>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</si>
  <si>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</si>
  <si>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</si>
  <si>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</si>
  <si>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</si>
  <si>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</si>
  <si>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</si>
  <si>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</si>
  <si>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Coteq</t>
  </si>
  <si>
    <t>Enduris</t>
  </si>
  <si>
    <t>Enexis</t>
  </si>
  <si>
    <t>Liander</t>
  </si>
  <si>
    <t>RENDO</t>
  </si>
  <si>
    <t>Stedin</t>
  </si>
  <si>
    <t>Westland</t>
  </si>
  <si>
    <t>Verbruik profielverbruikers</t>
  </si>
  <si>
    <t>Verbruik telemetriegrootverbruikers</t>
  </si>
  <si>
    <t>MJ</t>
  </si>
  <si>
    <t xml:space="preserve">Data inschatting kosten netverliezen </t>
  </si>
  <si>
    <t>Data uit onderzoek Netverliezen</t>
  </si>
  <si>
    <t>Cogas</t>
  </si>
  <si>
    <t>Ophalen rekenvolumes TD (gem. 2013-2015)</t>
  </si>
  <si>
    <t>Kleinverbruik (t/m 40 m3/h)</t>
  </si>
  <si>
    <t>Capaciteitsafhankelijk tarief (TAVTc)</t>
  </si>
  <si>
    <t>Profielgrootverbruik ( &gt;40 m3/h)</t>
  </si>
  <si>
    <t>Telemetriegrootverbruik (&lt; 16 bar)</t>
  </si>
  <si>
    <t>Capaciteitsafhankelijk tarief (TAVTc) gestandaardiseerd</t>
  </si>
  <si>
    <t>Rekenvolume profielverbruik</t>
  </si>
  <si>
    <t>Rekenvolume telemetrieverbruik</t>
  </si>
  <si>
    <t>Verhouding kostenveroorzaking (per eenheid capaciteit) tussen telemetrie en profielverbruik</t>
  </si>
  <si>
    <t>%</t>
  </si>
  <si>
    <t>#</t>
  </si>
  <si>
    <t>Totale verbruik profielverbruikers</t>
  </si>
  <si>
    <t>Totale verbruik telemetriegrootverbruikers</t>
  </si>
  <si>
    <t>Totale verbruik</t>
  </si>
  <si>
    <t>Aandeel verbruik profielverbruik in totaal verbruik</t>
  </si>
  <si>
    <t>Aandeel verbruik telemetrieverbruik in totaal verbruik</t>
  </si>
  <si>
    <t>Berekening kosten netverliezen per netbeheerder</t>
  </si>
  <si>
    <t>Ophalen rekenvolumes, factor en totale kosten netverliezen</t>
  </si>
  <si>
    <t>Toedeling kosten netverliezen per netbeheerder</t>
  </si>
  <si>
    <t>Ophalen rekenvolumes TD</t>
  </si>
  <si>
    <t>Berekening aandeel in totale verbruik per categorie</t>
  </si>
  <si>
    <t>Efficiënte kosten netverliezen per netbeheerder</t>
  </si>
  <si>
    <t>Berekening efficiënte kosten netverliezen per netbeheerder</t>
  </si>
  <si>
    <t>Ook zijn de resultaten van het onderzoek van Kyos naar de kosten van netverliezen opgenomen.</t>
  </si>
  <si>
    <t>Op dit tabblad haalt de ACM de rekenvolumes op voor het capaciteitsafhankelijk tarief per netbebeheerder. Vervolgens aggregeert zij dit naar profielverbruik enerzijds en telemetrieverbruik anderzijds.</t>
  </si>
  <si>
    <t>Op dit tabblad berekent de ACM de totale verbruiken en het netverlies per netbeherder.</t>
  </si>
  <si>
    <t>Vervolgens berekent zij het aandeel van profielverbruikers en telemetriegrootverbruikers in het totale verbruik.</t>
  </si>
  <si>
    <t>Data verbruik 2015</t>
  </si>
  <si>
    <t>Data verbruik 2016</t>
  </si>
  <si>
    <t>Ophalen data verbruik</t>
  </si>
  <si>
    <t>Rekenvolume capaciteitstarief profielverbruik</t>
  </si>
  <si>
    <t>Rekenvolume capaciteitstarief telemetrieverbruik</t>
  </si>
  <si>
    <t>Berekening verhouding kostenveroorzaking (per eenheid capaciteit) tussen telemetrie en profielverbruik</t>
  </si>
  <si>
    <t>Ophalen kosten netverliezen</t>
  </si>
  <si>
    <t>EUR, pp 2017</t>
  </si>
  <si>
    <t>EUR, pp 2018</t>
  </si>
  <si>
    <t xml:space="preserve">Productiviteitsverandering </t>
  </si>
  <si>
    <t>Ophalen productiviteitsverandering</t>
  </si>
  <si>
    <t>Ophalen CPI</t>
  </si>
  <si>
    <t>CPI 2018</t>
  </si>
  <si>
    <t>CPI 2019</t>
  </si>
  <si>
    <t>CPI 2020</t>
  </si>
  <si>
    <t>Ophalen productiviteitsverandering en CPI</t>
  </si>
  <si>
    <t>Ophalen data rekenvolumes capaciteitstarief</t>
  </si>
  <si>
    <t>Rekenvolume capaciteitsafhankelijk tarief profielkleinverbruik</t>
  </si>
  <si>
    <t>Rekenvolume capaciteitsafhankelijk tarief profielgrootverbruik</t>
  </si>
  <si>
    <t>Rekenvolume capaciteitsafhankelijk tarief telemetrieverbruik</t>
  </si>
  <si>
    <t>Totaal rekenvolume capaciteitsafhankelijk tarief profielverbruik</t>
  </si>
  <si>
    <t>Op dit tabblad worden de efficiënte kosten voor netverliezen per netbeheerder berekend.</t>
  </si>
  <si>
    <t>Berekening aangepaste rekenvolumes  t.b.v. verdeling kosten netverliezen</t>
  </si>
  <si>
    <t>Berekening totale aangepaste rekenvolumes  t.b.v. verdeling kosten netverliezen</t>
  </si>
  <si>
    <t>Totale aangepaste rekenvolumes t.b.v. verdeling kosten netverliezen</t>
  </si>
  <si>
    <t>Aangepaste rekenvolume telemetrieverbruik t.b.v. verdeling kosten netverliezen</t>
  </si>
  <si>
    <t>Nee</t>
  </si>
  <si>
    <t>De ACM berekent de efficiënte sectorkosten in prijspeil en efficiëntieniveau.</t>
  </si>
  <si>
    <t>De efficiënte sectorkosten verdeelt de ACM over de verschillende netbeheerders o.b.v. de rekenvolumes voor het capaciteitstarief, waarbij zij een correctie toepast voor de kostenveroorzaking tussen profiel- en telemetrieverbruikers.</t>
  </si>
  <si>
    <t>Data verbruik</t>
  </si>
  <si>
    <t>Dit tabblad bevat de reconciliatiegegevens van de netbeheerders voor het verbruik op de regionale gasnetten.</t>
  </si>
  <si>
    <t>Informatieverzoek netverliezen gas 2019</t>
  </si>
  <si>
    <t>Kostenonderzoek netverliezen gas</t>
  </si>
  <si>
    <t>Inkoopkosten van netverliezen voor regionale gastransportnetten - Kyos</t>
  </si>
  <si>
    <t>SO-bestand regionaal gas 2017-2021</t>
  </si>
  <si>
    <t>SO bestand behorende bij het gewijzigde x-factorbesluit RNB’s gas 2017-2021</t>
  </si>
  <si>
    <t>CBS</t>
  </si>
  <si>
    <t>Inschatting totale kosten netverlies 2017</t>
  </si>
  <si>
    <t>Inschatting totale kosten netverlies 2018</t>
  </si>
  <si>
    <t>CBS StatLine</t>
  </si>
  <si>
    <t>Tarievenblad Enexis 2019</t>
  </si>
  <si>
    <t>Tarievenblad Enexis gas 2019</t>
  </si>
  <si>
    <t>Tarievenblad Stedin 2019</t>
  </si>
  <si>
    <t>Tarievenblad Stedin gas 2019</t>
  </si>
  <si>
    <t>Berekening efficiënte kosten voor de inkoop van netverliezen door de regionale netbeheerders gas in 2021</t>
  </si>
  <si>
    <t>Informatieverzoek netverliezen gas 2020</t>
  </si>
  <si>
    <t>Op dit tabblad presenteert de ACM de berekende efficiënte kosten netverliezen per netbeheerder voor het jaar 2021.</t>
  </si>
  <si>
    <t>EUR, pp 2021</t>
  </si>
  <si>
    <t>Data verbruik 2017</t>
  </si>
  <si>
    <t>Inschatting totale kosten netverlies 2019</t>
  </si>
  <si>
    <t>EUR, pp 2019</t>
  </si>
  <si>
    <t>Inschatting kosten netverliezen per verslagjaar bij netverliespercentage van 0,4941%</t>
  </si>
  <si>
    <t>CPI 2021</t>
  </si>
  <si>
    <t>Inschatting totale kosten netverlies 2017 in prijspeil en efficiëntieniveau 2021</t>
  </si>
  <si>
    <t>Inschatting totale kosten netverlies 2018 in prijspeil en efficiëntieniveau 2021</t>
  </si>
  <si>
    <t>Inschatting totale kosten netverlies 2019 in prijspeil en efficiëntieniveau 2021</t>
  </si>
  <si>
    <t>Gemiddelde totale kosten netverliezen in prijspeil en efficiëntieniveau 2021</t>
  </si>
  <si>
    <t>Berekening kosten netverliezen in prijspeil 2021</t>
  </si>
  <si>
    <t>Op dit tabblad worden de efficiënte kosten voor netverliezen voor het jaar 2021 berekend, op basis van de productiviteitsverandering en CPI tussen de jaren van kostenschatting (2017 - 2019) en het jaar 2021.</t>
  </si>
  <si>
    <t>Totalen over 2015-2017</t>
  </si>
  <si>
    <t>Inschatting totale efficiënte kosten netverliezen 2021</t>
  </si>
  <si>
    <t>Tweede wijziging regionale netbeheerders gas 2017-2021 x-factorberekening (augustus 2020)</t>
  </si>
  <si>
    <t>Berekening efficiënte kosten netverliezen gas 2021</t>
  </si>
  <si>
    <t>Bepaling van de efficiënte kosten voor de inkoop van netverliezen door de regionale netbeheerders gas in 2021</t>
  </si>
  <si>
    <t>Tarievenbesluiten regionale netbeheerders gas 2021</t>
  </si>
  <si>
    <t>RNB-G - TI-berekening 2021</t>
  </si>
  <si>
    <t>In dit model haalt de ACM eerst de benodigde gegevens op ter bepaling van de efficiënte kosten voor de inkoop van netverliezen door de regionale netbeheerders gas.</t>
  </si>
  <si>
    <t>Tweede wijziging x-factorberekening 2017-2021</t>
  </si>
  <si>
    <t>Voorlopig cijfer CBS</t>
  </si>
  <si>
    <t>https://opendata.cbs.nl/#/CBS/nl/dataset/83131NED/table?ts=1528811296678</t>
  </si>
  <si>
    <t>https://www.acm.nl/nl/publicaties/berekening-x-factor-bij-gewijzigde-x-factorbesluiten-gas-2017-2021</t>
  </si>
  <si>
    <t>Ja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</si>
</sst>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0.0%"/>
  </numFmts>
  <fonts count="31"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theme="0"/>
        <bgColor indexed="64"/>
      </patternFill>
    </fill>
  </fills>
  <borders count="1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65">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9" fillId="5" borderId="1">
      <alignment vertical="top"/>
    </xf>
    <xf numFmtId="49" fontId="6" fillId="20" borderId="1">
      <alignment vertical="top"/>
    </xf>
    <xf numFmtId="49" fontId="6" fillId="0" borderId="0">
      <alignment vertical="top"/>
    </xf>
    <xf numFmtId="43" fontId="5" fillId="13" borderId="0">
      <alignment vertical="top"/>
    </xf>
    <xf numFmtId="43" fontId="5" fillId="12" borderId="0">
      <alignment vertical="top"/>
    </xf>
    <xf numFmtId="43" fontId="5" fillId="10" borderId="0">
      <alignment vertical="top"/>
    </xf>
    <xf numFmtId="43" fontId="5" fillId="47" borderId="0">
      <alignment vertical="top"/>
    </xf>
    <xf numFmtId="43" fontId="5" fillId="8" borderId="0">
      <alignment vertical="top"/>
    </xf>
    <xf numFmtId="43" fontId="5" fillId="14" borderId="0">
      <alignment vertical="top"/>
    </xf>
    <xf numFmtId="49" fontId="11" fillId="0" borderId="0">
      <alignment vertical="top"/>
    </xf>
    <xf numFmtId="49" fontId="10" fillId="0" borderId="0">
      <alignment vertical="top"/>
    </xf>
    <xf numFmtId="0" fontId="17" fillId="16" borderId="3" applyNumberFormat="0" applyAlignment="0" applyProtection="0"/>
    <xf numFmtId="0" fontId="18" fillId="17" borderId="4" applyNumberFormat="0" applyAlignment="0" applyProtection="0"/>
    <xf numFmtId="0" fontId="19" fillId="17" borderId="3" applyNumberFormat="0" applyAlignment="0" applyProtection="0"/>
    <xf numFmtId="0" fontId="20" fillId="0" borderId="5" applyNumberFormat="0" applyFill="0" applyAlignment="0" applyProtection="0"/>
    <xf numFmtId="0" fontId="14" fillId="18" borderId="6" applyNumberFormat="0" applyAlignment="0" applyProtection="0"/>
    <xf numFmtId="0" fontId="16" fillId="19" borderId="7"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29" fillId="44"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5" fillId="45" borderId="0" applyNumberFormat="0">
      <alignment vertical="top"/>
    </xf>
    <xf numFmtId="43" fontId="5" fillId="12" borderId="0" applyFont="0" applyFill="0" applyBorder="0" applyAlignment="0" applyProtection="0">
      <alignment vertical="top"/>
    </xf>
    <xf numFmtId="43" fontId="5" fillId="46" borderId="0">
      <alignment vertical="top"/>
    </xf>
  </cellStyleXfs>
  <cellXfs count="89">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6" borderId="1" xfId="4" applyFont="1" applyFill="1" applyBorder="1">
      <alignment vertical="top"/>
    </xf>
    <xf numFmtId="0" fontId="10" fillId="0" borderId="0" xfId="4" applyFont="1">
      <alignment vertical="top"/>
    </xf>
    <xf numFmtId="0" fontId="11" fillId="0" borderId="0" xfId="4" applyFont="1">
      <alignment vertical="top"/>
    </xf>
    <xf numFmtId="0" fontId="5" fillId="0" borderId="2" xfId="4" applyBorder="1">
      <alignment vertical="top"/>
    </xf>
    <xf numFmtId="49" fontId="9" fillId="5" borderId="1" xfId="5">
      <alignment vertical="top"/>
    </xf>
    <xf numFmtId="49" fontId="6" fillId="20" borderId="1" xfId="6">
      <alignment vertical="top"/>
    </xf>
    <xf numFmtId="0" fontId="5" fillId="0" borderId="0" xfId="4" applyFill="1">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0" fontId="8" fillId="6" borderId="1" xfId="4" applyFont="1" applyFill="1" applyBorder="1">
      <alignment vertical="top"/>
    </xf>
    <xf numFmtId="0" fontId="11" fillId="0" borderId="0" xfId="4" applyFont="1" applyFill="1">
      <alignment vertical="top"/>
    </xf>
    <xf numFmtId="0" fontId="5" fillId="7" borderId="0" xfId="4" applyFill="1">
      <alignment vertical="top"/>
    </xf>
    <xf numFmtId="2" fontId="5" fillId="11" borderId="0" xfId="4" applyNumberFormat="1" applyFill="1">
      <alignment vertical="top"/>
    </xf>
    <xf numFmtId="1" fontId="5" fillId="0" borderId="0" xfId="4" applyNumberFormat="1" applyFill="1">
      <alignment vertical="top"/>
    </xf>
    <xf numFmtId="1" fontId="10" fillId="0" borderId="0" xfId="4" applyNumberFormat="1" applyFont="1" applyFill="1">
      <alignment vertical="top"/>
    </xf>
    <xf numFmtId="0" fontId="13" fillId="0" borderId="0" xfId="4" applyFont="1" applyFill="1">
      <alignment vertical="top"/>
    </xf>
    <xf numFmtId="0" fontId="14" fillId="6" borderId="1" xfId="4" applyFont="1" applyFill="1" applyBorder="1">
      <alignment vertical="top"/>
    </xf>
    <xf numFmtId="49" fontId="7" fillId="20" borderId="2" xfId="6" applyFont="1" applyBorder="1">
      <alignment vertical="top"/>
    </xf>
    <xf numFmtId="0" fontId="9" fillId="5" borderId="1" xfId="5" applyNumberFormat="1">
      <alignment vertical="top"/>
    </xf>
    <xf numFmtId="0" fontId="15" fillId="0" borderId="0" xfId="4" applyFont="1">
      <alignment vertical="top"/>
    </xf>
    <xf numFmtId="0" fontId="7" fillId="9" borderId="0" xfId="4" applyFont="1" applyFill="1">
      <alignment vertical="top"/>
    </xf>
    <xf numFmtId="0" fontId="5" fillId="15" borderId="0" xfId="4" applyFill="1">
      <alignment vertical="top"/>
    </xf>
    <xf numFmtId="49" fontId="7" fillId="20" borderId="0" xfId="6" applyFont="1" applyBorder="1">
      <alignment vertical="top"/>
    </xf>
    <xf numFmtId="0" fontId="5" fillId="0" borderId="0" xfId="4" applyFont="1">
      <alignment vertical="top"/>
    </xf>
    <xf numFmtId="49" fontId="5" fillId="20" borderId="2" xfId="6" applyFont="1" applyBorder="1">
      <alignment vertical="top"/>
    </xf>
    <xf numFmtId="0" fontId="5" fillId="0" borderId="2" xfId="4" applyFont="1" applyBorder="1">
      <alignment vertical="top"/>
    </xf>
    <xf numFmtId="0" fontId="7" fillId="0" borderId="0" xfId="4" applyFont="1" applyFill="1" applyBorder="1" applyAlignment="1">
      <alignment horizontal="left" vertical="top" wrapText="1"/>
    </xf>
    <xf numFmtId="49" fontId="6" fillId="0" borderId="0" xfId="7">
      <alignment vertical="top"/>
    </xf>
    <xf numFmtId="49" fontId="10" fillId="0" borderId="0" xfId="15">
      <alignment vertical="top"/>
    </xf>
    <xf numFmtId="0" fontId="5" fillId="0" borderId="2" xfId="4" applyFont="1" applyBorder="1" applyAlignment="1">
      <alignment horizontal="left" vertical="top" wrapText="1"/>
    </xf>
    <xf numFmtId="43" fontId="5" fillId="13" borderId="0" xfId="8">
      <alignment vertical="top"/>
    </xf>
    <xf numFmtId="0" fontId="7" fillId="12" borderId="0" xfId="4" applyFont="1" applyFill="1">
      <alignment vertical="top"/>
    </xf>
    <xf numFmtId="9" fontId="5" fillId="0" borderId="0" xfId="4" applyNumberFormat="1">
      <alignment vertical="top"/>
    </xf>
    <xf numFmtId="43" fontId="5" fillId="12" borderId="0" xfId="63" applyFill="1">
      <alignment vertical="top"/>
    </xf>
    <xf numFmtId="43" fontId="5" fillId="14" borderId="0" xfId="63" applyFill="1">
      <alignment vertical="top"/>
    </xf>
    <xf numFmtId="43" fontId="5" fillId="10" borderId="0" xfId="10">
      <alignment vertical="top"/>
    </xf>
    <xf numFmtId="43" fontId="5" fillId="8" borderId="0" xfId="12">
      <alignment vertical="top"/>
    </xf>
    <xf numFmtId="43" fontId="5" fillId="47" borderId="0" xfId="11">
      <alignment vertical="top"/>
    </xf>
    <xf numFmtId="43" fontId="5" fillId="47" borderId="2" xfId="11" applyBorder="1">
      <alignment vertical="top"/>
    </xf>
    <xf numFmtId="43" fontId="13" fillId="0" borderId="0" xfId="63" applyFont="1" applyFill="1">
      <alignment vertical="top"/>
    </xf>
    <xf numFmtId="0" fontId="5" fillId="0" borderId="2" xfId="4" applyFont="1" applyBorder="1" applyAlignment="1">
      <alignment horizontal="left" vertical="top" wrapText="1"/>
    </xf>
    <xf numFmtId="43" fontId="5" fillId="46" borderId="0" xfId="64">
      <alignment vertical="top"/>
    </xf>
    <xf numFmtId="0" fontId="6" fillId="0" borderId="0" xfId="0" applyFont="1" applyBorder="1" applyAlignment="1"/>
    <xf numFmtId="0" fontId="5" fillId="0" borderId="0" xfId="0" applyFont="1" applyBorder="1" applyAlignment="1"/>
    <xf numFmtId="0" fontId="0" fillId="0" borderId="0" xfId="0" applyBorder="1" applyAlignment="1"/>
    <xf numFmtId="0" fontId="0" fillId="0" borderId="0" xfId="0" applyBorder="1" applyAlignment="1">
      <alignment horizontal="left"/>
    </xf>
    <xf numFmtId="164" fontId="5" fillId="0" borderId="0" xfId="63" applyNumberFormat="1" applyFill="1">
      <alignment vertical="top"/>
    </xf>
    <xf numFmtId="164" fontId="5" fillId="47" borderId="0" xfId="63" applyNumberFormat="1" applyFill="1">
      <alignment vertical="top"/>
    </xf>
    <xf numFmtId="0" fontId="28" fillId="0" borderId="0" xfId="0" applyFont="1" applyAlignment="1"/>
    <xf numFmtId="0" fontId="1" fillId="0" borderId="0" xfId="0" applyFont="1" applyAlignment="1"/>
    <xf numFmtId="164" fontId="9" fillId="5" borderId="1" xfId="63" applyNumberFormat="1" applyFont="1" applyFill="1" applyBorder="1">
      <alignment vertical="top"/>
    </xf>
    <xf numFmtId="164" fontId="0" fillId="0" borderId="0" xfId="63" applyNumberFormat="1" applyFont="1" applyFill="1">
      <alignment vertical="top"/>
    </xf>
    <xf numFmtId="164" fontId="6" fillId="20" borderId="1" xfId="63" applyNumberFormat="1" applyFont="1" applyFill="1" applyBorder="1">
      <alignment vertical="top"/>
    </xf>
    <xf numFmtId="164" fontId="5" fillId="12" borderId="0" xfId="63" applyNumberFormat="1" applyFill="1">
      <alignment vertical="top"/>
    </xf>
    <xf numFmtId="164" fontId="5" fillId="14" borderId="0" xfId="63" applyNumberFormat="1" applyFill="1">
      <alignment vertical="top"/>
    </xf>
    <xf numFmtId="0" fontId="5" fillId="48" borderId="0" xfId="4" applyFill="1">
      <alignment vertical="top"/>
    </xf>
    <xf numFmtId="164" fontId="5" fillId="48" borderId="0" xfId="63" applyNumberFormat="1" applyFill="1">
      <alignment vertical="top"/>
    </xf>
    <xf numFmtId="0" fontId="0" fillId="0" borderId="0" xfId="0" applyAlignment="1"/>
    <xf numFmtId="0" fontId="5" fillId="0" borderId="0" xfId="0" applyFont="1" applyAlignment="1"/>
    <xf numFmtId="0" fontId="5" fillId="0" borderId="0" xfId="0" applyFont="1" applyFill="1" applyAlignment="1"/>
    <xf numFmtId="0" fontId="0" fillId="0" borderId="0" xfId="0" applyFill="1" applyAlignment="1"/>
    <xf numFmtId="164" fontId="5" fillId="14" borderId="0" xfId="4" applyNumberFormat="1" applyFill="1">
      <alignment vertical="top"/>
    </xf>
    <xf numFmtId="164" fontId="5" fillId="12" borderId="0" xfId="4" applyNumberFormat="1" applyFill="1">
      <alignment vertical="top"/>
    </xf>
    <xf numFmtId="10" fontId="5" fillId="12" borderId="0" xfId="4" applyNumberFormat="1" applyFill="1">
      <alignment vertical="top"/>
    </xf>
    <xf numFmtId="10" fontId="5" fillId="14" borderId="0" xfId="4" applyNumberFormat="1" applyFill="1">
      <alignment vertical="top"/>
    </xf>
    <xf numFmtId="0" fontId="6" fillId="48" borderId="0" xfId="0" applyFont="1" applyFill="1" applyBorder="1" applyAlignment="1"/>
    <xf numFmtId="164" fontId="5" fillId="13" borderId="0" xfId="63" applyNumberFormat="1" applyFill="1">
      <alignment vertical="top"/>
    </xf>
    <xf numFmtId="0" fontId="0" fillId="0" borderId="0" xfId="0" applyFont="1" applyAlignment="1"/>
    <xf numFmtId="0" fontId="5" fillId="48" borderId="0" xfId="0" applyFont="1" applyFill="1" applyAlignment="1"/>
    <xf numFmtId="43" fontId="5" fillId="14" borderId="0" xfId="4" applyNumberFormat="1" applyFill="1">
      <alignment vertical="top"/>
    </xf>
    <xf numFmtId="164" fontId="5" fillId="0" borderId="0" xfId="4" applyNumberFormat="1">
      <alignment vertical="top"/>
    </xf>
    <xf numFmtId="0" fontId="5" fillId="0" borderId="0" xfId="0" applyFont="1" applyFill="1" applyBorder="1" applyAlignment="1"/>
    <xf numFmtId="43" fontId="5" fillId="0" borderId="0" xfId="63" applyNumberFormat="1" applyFill="1">
      <alignment vertical="top"/>
    </xf>
    <xf numFmtId="49" fontId="6" fillId="20" borderId="1" xfId="6" applyFont="1">
      <alignment vertical="top"/>
    </xf>
    <xf numFmtId="43" fontId="5" fillId="13" borderId="0" xfId="4" applyNumberFormat="1" applyFill="1">
      <alignment vertical="top"/>
    </xf>
    <xf numFmtId="10" fontId="5" fillId="47" borderId="0" xfId="4" applyNumberFormat="1" applyFill="1">
      <alignment vertical="top"/>
    </xf>
    <xf numFmtId="165" fontId="5" fillId="47" borderId="0" xfId="4" applyNumberFormat="1" applyFill="1">
      <alignment vertical="top"/>
    </xf>
    <xf numFmtId="164" fontId="5" fillId="14" borderId="0" xfId="63" applyNumberFormat="1" applyFont="1" applyFill="1">
      <alignment vertical="top"/>
    </xf>
    <xf numFmtId="165" fontId="5" fillId="14" borderId="0" xfId="4" applyNumberFormat="1" applyFill="1">
      <alignment vertical="top"/>
    </xf>
    <xf numFmtId="0" fontId="5" fillId="0" borderId="2" xfId="4" applyBorder="1" applyAlignment="1">
      <alignment vertical="top" wrapText="1"/>
    </xf>
    <xf numFmtId="0" fontId="14" fillId="6" borderId="1" xfId="4" applyFont="1" applyFill="1" applyBorder="1" applyAlignment="1">
      <alignment vertical="top" wrapText="1"/>
    </xf>
    <xf numFmtId="49" fontId="5" fillId="20" borderId="2" xfId="6" applyFont="1" applyBorder="1" applyAlignment="1">
      <alignment vertical="top" wrapText="1"/>
    </xf>
    <xf numFmtId="165" fontId="5" fillId="47" borderId="0" xfId="4" applyNumberFormat="1" applyFont="1" applyFill="1">
      <alignment vertical="top"/>
    </xf>
    <xf numFmtId="164" fontId="5" fillId="47" borderId="0" xfId="11" applyNumberFormat="1">
      <alignment vertical="top"/>
    </xf>
    <xf numFmtId="49" fontId="22" fillId="0" borderId="2" xfId="61" applyBorder="1" applyAlignment="1">
      <alignment vertical="top" wrapText="1"/>
    </xf>
  </cellXfs>
  <cellStyles count="65">
    <cellStyle name="_kop1 Bladtitel" xfId="5"/>
    <cellStyle name="_kop2 Bloktitel" xfId="6"/>
    <cellStyle name="_kop3 Subkop" xfId="7"/>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cellStyle name="Cel Berekening" xfId="9"/>
    <cellStyle name="Cel Bijzonderheid" xfId="10"/>
    <cellStyle name="Cel Input" xfId="11"/>
    <cellStyle name="Cel Input Data" xfId="64"/>
    <cellStyle name="Cel n.v.t. (leeg)" xfId="62"/>
    <cellStyle name="Cel PM extern" xfId="12"/>
    <cellStyle name="Cel Verwijzing" xfId="13"/>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cellStyle name="Procent" xfId="27" builtinId="5" hidden="1"/>
    <cellStyle name="Standaard" xfId="0" builtinId="0" customBuiltin="1"/>
    <cellStyle name="Standaard ACM-DE" xfId="4"/>
    <cellStyle name="Titel" xfId="28" builtinId="15" hidden="1"/>
    <cellStyle name="Toelichting" xfId="15"/>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E1FFE1"/>
      <color rgb="FFFFCC99"/>
      <color rgb="FFFFFFCC"/>
      <color rgb="FFCCFFCC"/>
      <color rgb="FFFC96DF"/>
      <color rgb="FFCCFFFF"/>
      <color rgb="FFCCC8D9"/>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opendata.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D33"/>
  <sheetViews>
    <sheetView showGridLines="0" tabSelected="1"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39.85546875" style="2" customWidth="1"/>
    <col min="3" max="3" width="91.85546875" style="2" customWidth="1"/>
    <col min="4" max="16384" width="9.140625" style="2"/>
  </cols>
  <sheetData>
    <row r="2" spans="2:3" s="8" customFormat="1" ht="18" x14ac:dyDescent="0.2">
      <c r="B2" s="8" t="s">
        <v>155</v>
      </c>
    </row>
    <row r="6" spans="2:3" x14ac:dyDescent="0.2">
      <c r="B6" s="3"/>
    </row>
    <row r="13" spans="2:3" s="9" customFormat="1" x14ac:dyDescent="0.2">
      <c r="B13" s="9" t="s">
        <v>0</v>
      </c>
    </row>
    <row r="14" spans="2:3" s="10" customFormat="1" x14ac:dyDescent="0.2"/>
    <row r="15" spans="2:3" x14ac:dyDescent="0.2">
      <c r="B15" s="11" t="s">
        <v>1</v>
      </c>
      <c r="C15" s="12"/>
    </row>
    <row r="16" spans="2:3" x14ac:dyDescent="0.2">
      <c r="B16" s="11" t="s">
        <v>2</v>
      </c>
      <c r="C16" s="12" t="s">
        <v>173</v>
      </c>
    </row>
    <row r="17" spans="2:3" ht="25.5" x14ac:dyDescent="0.2">
      <c r="B17" s="11" t="s">
        <v>3</v>
      </c>
      <c r="C17" s="12" t="s">
        <v>174</v>
      </c>
    </row>
    <row r="18" spans="2:3" x14ac:dyDescent="0.2">
      <c r="B18" s="11" t="s">
        <v>4</v>
      </c>
      <c r="C18" s="12" t="s">
        <v>175</v>
      </c>
    </row>
    <row r="19" spans="2:3" x14ac:dyDescent="0.2">
      <c r="B19" s="11" t="s">
        <v>5</v>
      </c>
      <c r="C19" s="12"/>
    </row>
    <row r="20" spans="2:3" x14ac:dyDescent="0.2">
      <c r="B20" s="11" t="s">
        <v>6</v>
      </c>
      <c r="C20" s="12"/>
    </row>
    <row r="21" spans="2:3" x14ac:dyDescent="0.2">
      <c r="B21" s="11" t="s">
        <v>7</v>
      </c>
      <c r="C21" s="12" t="s">
        <v>176</v>
      </c>
    </row>
    <row r="22" spans="2:3" x14ac:dyDescent="0.2">
      <c r="B22" s="11" t="s">
        <v>8</v>
      </c>
      <c r="C22" s="12"/>
    </row>
    <row r="25" spans="2:3" s="9" customFormat="1" x14ac:dyDescent="0.2">
      <c r="B25" s="9" t="s">
        <v>9</v>
      </c>
    </row>
    <row r="27" spans="2:3" x14ac:dyDescent="0.2">
      <c r="B27" s="11" t="s">
        <v>10</v>
      </c>
      <c r="C27" s="12" t="s">
        <v>182</v>
      </c>
    </row>
    <row r="28" spans="2:3" x14ac:dyDescent="0.2">
      <c r="B28" s="44" t="s">
        <v>64</v>
      </c>
      <c r="C28" s="12" t="s">
        <v>182</v>
      </c>
    </row>
    <row r="29" spans="2:3" x14ac:dyDescent="0.2">
      <c r="B29" s="33" t="s">
        <v>63</v>
      </c>
      <c r="C29" s="12" t="s">
        <v>137</v>
      </c>
    </row>
    <row r="30" spans="2:3" x14ac:dyDescent="0.2">
      <c r="B30" s="11" t="s">
        <v>11</v>
      </c>
      <c r="C30" s="12"/>
    </row>
    <row r="31" spans="2:3" x14ac:dyDescent="0.2">
      <c r="B31" s="11" t="s">
        <v>8</v>
      </c>
      <c r="C31" s="12"/>
    </row>
    <row r="33" spans="2:4" x14ac:dyDescent="0.2">
      <c r="B33" s="30"/>
      <c r="C33" s="30"/>
      <c r="D33" s="6"/>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X32"/>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x14ac:dyDescent="0.2"/>
  <cols>
    <col min="1" max="1" width="4.7109375" style="2" customWidth="1"/>
    <col min="2" max="2" width="78.28515625" style="2" bestFit="1" customWidth="1"/>
    <col min="3" max="3" width="4.7109375" style="2" customWidth="1"/>
    <col min="4" max="5" width="4.5703125" style="2" customWidth="1"/>
    <col min="6" max="6" width="13.7109375" style="2" customWidth="1"/>
    <col min="7" max="7" width="2.7109375" style="2" customWidth="1"/>
    <col min="8" max="8" width="15.7109375" style="2" customWidth="1"/>
    <col min="9" max="9" width="2.7109375" style="2" customWidth="1"/>
    <col min="10" max="10" width="18.7109375" style="2" customWidth="1"/>
    <col min="11" max="11" width="2.7109375" style="2" customWidth="1"/>
    <col min="12" max="18" width="15.7109375" style="50" customWidth="1"/>
    <col min="19" max="20" width="15.7109375" style="2" customWidth="1"/>
    <col min="21" max="23" width="2.7109375" style="2" customWidth="1"/>
    <col min="24" max="38" width="13.7109375" style="2" customWidth="1"/>
    <col min="39" max="16384" width="9.140625" style="2"/>
  </cols>
  <sheetData>
    <row r="2" spans="2:24" s="22" customFormat="1" ht="18" x14ac:dyDescent="0.2">
      <c r="B2" s="22" t="s">
        <v>100</v>
      </c>
      <c r="L2" s="54"/>
      <c r="M2" s="54"/>
      <c r="N2" s="54"/>
      <c r="O2" s="54"/>
      <c r="P2" s="54"/>
      <c r="Q2" s="54"/>
      <c r="R2" s="54"/>
    </row>
    <row r="4" spans="2:24" x14ac:dyDescent="0.2">
      <c r="B4" s="31" t="s">
        <v>52</v>
      </c>
      <c r="C4" s="1"/>
      <c r="D4" s="1"/>
    </row>
    <row r="5" spans="2:24" x14ac:dyDescent="0.2">
      <c r="B5" s="27" t="s">
        <v>169</v>
      </c>
      <c r="C5" s="3"/>
      <c r="D5" s="3"/>
      <c r="H5" s="23"/>
    </row>
    <row r="6" spans="2:24" x14ac:dyDescent="0.2">
      <c r="B6" s="5"/>
      <c r="C6" s="3"/>
      <c r="D6" s="3"/>
    </row>
    <row r="8" spans="2:24" s="9" customFormat="1" x14ac:dyDescent="0.2">
      <c r="B8" s="9" t="s">
        <v>41</v>
      </c>
      <c r="F8" s="9" t="s">
        <v>24</v>
      </c>
      <c r="H8" s="9" t="s">
        <v>25</v>
      </c>
      <c r="L8" s="56"/>
      <c r="M8" s="56"/>
      <c r="N8" s="56"/>
      <c r="O8" s="56"/>
      <c r="P8" s="56"/>
      <c r="Q8" s="56"/>
      <c r="R8" s="56"/>
      <c r="X8" s="9" t="s">
        <v>43</v>
      </c>
    </row>
    <row r="11" spans="2:24" s="9" customFormat="1" x14ac:dyDescent="0.2">
      <c r="B11" s="9" t="s">
        <v>117</v>
      </c>
      <c r="L11" s="56"/>
      <c r="M11" s="56"/>
      <c r="N11" s="56"/>
      <c r="O11" s="56"/>
      <c r="P11" s="56"/>
      <c r="Q11" s="56"/>
      <c r="R11" s="56"/>
    </row>
    <row r="13" spans="2:24" x14ac:dyDescent="0.2">
      <c r="B13" s="47" t="s">
        <v>148</v>
      </c>
      <c r="F13" s="2" t="s">
        <v>118</v>
      </c>
      <c r="H13" s="81">
        <f>'Import data netverliezen'!H29</f>
        <v>17436405</v>
      </c>
    </row>
    <row r="14" spans="2:24" x14ac:dyDescent="0.2">
      <c r="B14" s="47" t="s">
        <v>149</v>
      </c>
      <c r="F14" s="2" t="s">
        <v>119</v>
      </c>
      <c r="H14" s="81">
        <f>'Import data netverliezen'!H30</f>
        <v>19190507</v>
      </c>
    </row>
    <row r="15" spans="2:24" x14ac:dyDescent="0.2">
      <c r="B15" s="47" t="s">
        <v>160</v>
      </c>
      <c r="F15" s="2" t="s">
        <v>161</v>
      </c>
      <c r="H15" s="81">
        <f>'Import data netverliezen'!H31</f>
        <v>19384855</v>
      </c>
    </row>
    <row r="17" spans="2:18" s="9" customFormat="1" x14ac:dyDescent="0.2">
      <c r="B17" s="9" t="s">
        <v>126</v>
      </c>
      <c r="L17" s="56"/>
      <c r="M17" s="56"/>
      <c r="N17" s="56"/>
      <c r="O17" s="56"/>
      <c r="P17" s="56"/>
      <c r="Q17" s="56"/>
      <c r="R17" s="56"/>
    </row>
    <row r="19" spans="2:18" x14ac:dyDescent="0.2">
      <c r="B19" s="71" t="s">
        <v>120</v>
      </c>
      <c r="F19" s="2" t="s">
        <v>93</v>
      </c>
      <c r="H19" s="68">
        <f>'Import parameters'!H24</f>
        <v>-2.33731553035188E-4</v>
      </c>
    </row>
    <row r="21" spans="2:18" x14ac:dyDescent="0.2">
      <c r="B21" s="71" t="s">
        <v>123</v>
      </c>
      <c r="F21" s="2" t="s">
        <v>93</v>
      </c>
      <c r="H21" s="82">
        <f>'Import parameters'!H28</f>
        <v>1.4E-2</v>
      </c>
    </row>
    <row r="22" spans="2:18" x14ac:dyDescent="0.2">
      <c r="B22" s="71" t="s">
        <v>124</v>
      </c>
      <c r="F22" s="2" t="s">
        <v>93</v>
      </c>
      <c r="H22" s="82">
        <f>'Import parameters'!H29</f>
        <v>2.1000000000000001E-2</v>
      </c>
    </row>
    <row r="23" spans="2:18" x14ac:dyDescent="0.2">
      <c r="B23" s="71" t="s">
        <v>125</v>
      </c>
      <c r="F23" s="2" t="s">
        <v>93</v>
      </c>
      <c r="H23" s="82">
        <f>'Import parameters'!H30</f>
        <v>2.8000000000000001E-2</v>
      </c>
    </row>
    <row r="24" spans="2:18" x14ac:dyDescent="0.2">
      <c r="B24" s="71" t="s">
        <v>163</v>
      </c>
      <c r="F24" s="2" t="s">
        <v>93</v>
      </c>
      <c r="H24" s="82">
        <f>'Import parameters'!H31</f>
        <v>7.0000000000000001E-3</v>
      </c>
    </row>
    <row r="26" spans="2:18" s="9" customFormat="1" x14ac:dyDescent="0.2">
      <c r="B26" s="9" t="s">
        <v>168</v>
      </c>
      <c r="L26" s="56"/>
      <c r="M26" s="56"/>
      <c r="N26" s="56"/>
      <c r="O26" s="56"/>
      <c r="P26" s="56"/>
      <c r="Q26" s="56"/>
      <c r="R26" s="56"/>
    </row>
    <row r="28" spans="2:18" x14ac:dyDescent="0.2">
      <c r="B28" s="47" t="s">
        <v>164</v>
      </c>
      <c r="F28" s="2" t="s">
        <v>158</v>
      </c>
      <c r="H28" s="57">
        <f>H13*(1-$H$19)^4*(1+H21)*(1+H22)*(1+H23)*(1+H24)</f>
        <v>18704634.062700968</v>
      </c>
    </row>
    <row r="29" spans="2:18" x14ac:dyDescent="0.2">
      <c r="B29" s="47" t="s">
        <v>165</v>
      </c>
      <c r="F29" s="2" t="s">
        <v>158</v>
      </c>
      <c r="H29" s="57">
        <f>H14*(1-$H$19)^3*(1+H22)*(1+H23)*(1+H24)</f>
        <v>20297346.482564546</v>
      </c>
    </row>
    <row r="30" spans="2:18" x14ac:dyDescent="0.2">
      <c r="B30" s="47" t="s">
        <v>166</v>
      </c>
      <c r="F30" s="2" t="s">
        <v>158</v>
      </c>
      <c r="H30" s="57">
        <f>H15*(1-$H$19)^2*(1+H23)*(1+H24)</f>
        <v>20076506.093137432</v>
      </c>
    </row>
    <row r="32" spans="2:18" x14ac:dyDescent="0.2">
      <c r="B32" s="2" t="s">
        <v>167</v>
      </c>
      <c r="F32" s="2" t="s">
        <v>158</v>
      </c>
      <c r="H32" s="66">
        <f>AVERAGE(H28:H30)</f>
        <v>19692828.879467648</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X41"/>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x14ac:dyDescent="0.2"/>
  <cols>
    <col min="1" max="1" width="4.7109375" style="2" customWidth="1"/>
    <col min="2" max="2" width="78.28515625" style="2" bestFit="1" customWidth="1"/>
    <col min="3" max="3" width="4.7109375" style="2" customWidth="1"/>
    <col min="4" max="5" width="4.5703125" style="2" customWidth="1"/>
    <col min="6" max="6" width="13.7109375" style="2" customWidth="1"/>
    <col min="7" max="7" width="2.7109375" style="2" customWidth="1"/>
    <col min="8" max="8" width="15.7109375" style="2" customWidth="1"/>
    <col min="9" max="9" width="2.7109375" style="2" customWidth="1"/>
    <col min="10" max="10" width="18.7109375" style="2" customWidth="1"/>
    <col min="11" max="11" width="2.7109375" style="2" customWidth="1"/>
    <col min="12" max="18" width="15.7109375" style="50" customWidth="1"/>
    <col min="19" max="20" width="12.5703125" style="2" customWidth="1"/>
    <col min="21" max="23" width="2.7109375" style="2" customWidth="1"/>
    <col min="24" max="38" width="13.7109375" style="2" customWidth="1"/>
    <col min="39" max="16384" width="9.140625" style="2"/>
  </cols>
  <sheetData>
    <row r="2" spans="2:24" s="22" customFormat="1" ht="18" x14ac:dyDescent="0.2">
      <c r="B2" s="22" t="s">
        <v>100</v>
      </c>
      <c r="L2" s="54"/>
      <c r="M2" s="54"/>
      <c r="N2" s="54"/>
      <c r="O2" s="54"/>
      <c r="P2" s="54"/>
      <c r="Q2" s="54"/>
      <c r="R2" s="54"/>
    </row>
    <row r="4" spans="2:24" x14ac:dyDescent="0.2">
      <c r="B4" s="31" t="s">
        <v>52</v>
      </c>
      <c r="C4" s="1"/>
      <c r="D4" s="1"/>
    </row>
    <row r="5" spans="2:24" x14ac:dyDescent="0.2">
      <c r="B5" s="27" t="s">
        <v>132</v>
      </c>
      <c r="C5" s="3"/>
      <c r="D5" s="3"/>
      <c r="H5" s="23"/>
    </row>
    <row r="6" spans="2:24" x14ac:dyDescent="0.2">
      <c r="B6" s="5"/>
      <c r="C6" s="3"/>
      <c r="D6" s="3"/>
    </row>
    <row r="8" spans="2:24" s="9" customFormat="1" x14ac:dyDescent="0.2">
      <c r="B8" s="9" t="s">
        <v>41</v>
      </c>
      <c r="F8" s="9" t="s">
        <v>24</v>
      </c>
      <c r="H8" s="9" t="s">
        <v>25</v>
      </c>
      <c r="J8" s="9" t="s">
        <v>44</v>
      </c>
      <c r="L8" s="56" t="s">
        <v>71</v>
      </c>
      <c r="M8" s="56" t="s">
        <v>72</v>
      </c>
      <c r="N8" s="56" t="s">
        <v>73</v>
      </c>
      <c r="O8" s="56" t="s">
        <v>74</v>
      </c>
      <c r="P8" s="56" t="s">
        <v>75</v>
      </c>
      <c r="Q8" s="56" t="s">
        <v>76</v>
      </c>
      <c r="R8" s="56" t="s">
        <v>77</v>
      </c>
      <c r="X8" s="9" t="s">
        <v>43</v>
      </c>
    </row>
    <row r="11" spans="2:24" s="9" customFormat="1" x14ac:dyDescent="0.2">
      <c r="B11" s="9" t="s">
        <v>101</v>
      </c>
      <c r="L11" s="56"/>
      <c r="M11" s="56"/>
      <c r="N11" s="56"/>
      <c r="O11" s="56"/>
      <c r="P11" s="56"/>
      <c r="Q11" s="56"/>
      <c r="R11" s="56"/>
    </row>
    <row r="13" spans="2:24" x14ac:dyDescent="0.2">
      <c r="B13" s="1" t="s">
        <v>90</v>
      </c>
    </row>
    <row r="14" spans="2:24" x14ac:dyDescent="0.2">
      <c r="B14" s="53" t="s">
        <v>86</v>
      </c>
      <c r="F14" s="2" t="s">
        <v>94</v>
      </c>
      <c r="J14" s="57">
        <f>SUM(L14:R14)</f>
        <v>24482357.248053525</v>
      </c>
      <c r="L14" s="58">
        <f>'Berekening factor'!L30</f>
        <v>501966.18242918327</v>
      </c>
      <c r="M14" s="58">
        <f>'Berekening factor'!M30</f>
        <v>641953.06828067696</v>
      </c>
      <c r="N14" s="58">
        <f>'Berekening factor'!N30</f>
        <v>7935479.484230577</v>
      </c>
      <c r="O14" s="58">
        <f>'Berekening factor'!O30</f>
        <v>8485045.9461209979</v>
      </c>
      <c r="P14" s="58">
        <f>'Berekening factor'!P30</f>
        <v>361556.65358401538</v>
      </c>
      <c r="Q14" s="58">
        <f>'Berekening factor'!Q30</f>
        <v>6328223.4470123984</v>
      </c>
      <c r="R14" s="58">
        <f>'Berekening factor'!R30</f>
        <v>228132.46639567576</v>
      </c>
    </row>
    <row r="15" spans="2:24" x14ac:dyDescent="0.2">
      <c r="J15" s="50"/>
    </row>
    <row r="16" spans="2:24" x14ac:dyDescent="0.2">
      <c r="B16" s="1" t="s">
        <v>91</v>
      </c>
      <c r="J16" s="50"/>
    </row>
    <row r="17" spans="1:18" x14ac:dyDescent="0.2">
      <c r="B17" s="53" t="s">
        <v>86</v>
      </c>
      <c r="F17" s="2" t="s">
        <v>94</v>
      </c>
      <c r="J17" s="57">
        <f t="shared" ref="J17" si="0">SUM(L17:R17)</f>
        <v>2647864.7700252621</v>
      </c>
      <c r="L17" s="58">
        <f>'Berekening factor'!L32</f>
        <v>30353.888888888891</v>
      </c>
      <c r="M17" s="58">
        <f>'Berekening factor'!M32</f>
        <v>61598.932630791096</v>
      </c>
      <c r="N17" s="58">
        <f>'Berekening factor'!N32</f>
        <v>806960.16923215485</v>
      </c>
      <c r="O17" s="58">
        <f>'Berekening factor'!O32</f>
        <v>767140.4862402369</v>
      </c>
      <c r="P17" s="58">
        <f>'Berekening factor'!P32</f>
        <v>29008.166666666668</v>
      </c>
      <c r="Q17" s="58">
        <f>'Berekening factor'!Q32</f>
        <v>640093.17812121205</v>
      </c>
      <c r="R17" s="58">
        <f>'Berekening factor'!R32</f>
        <v>312709.94824531168</v>
      </c>
    </row>
    <row r="18" spans="1:18" x14ac:dyDescent="0.2">
      <c r="B18" s="53"/>
      <c r="J18" s="60"/>
      <c r="K18" s="59"/>
      <c r="L18" s="60"/>
      <c r="M18" s="60"/>
      <c r="N18" s="60"/>
      <c r="O18" s="60"/>
      <c r="P18" s="60"/>
      <c r="Q18" s="60"/>
      <c r="R18" s="60"/>
    </row>
    <row r="19" spans="1:18" x14ac:dyDescent="0.2">
      <c r="B19" s="72" t="s">
        <v>92</v>
      </c>
      <c r="F19" s="2" t="s">
        <v>94</v>
      </c>
      <c r="H19" s="73">
        <f>'Berekening factor'!J48</f>
        <v>4.8674951813932408</v>
      </c>
    </row>
    <row r="21" spans="1:18" s="59" customFormat="1" x14ac:dyDescent="0.2">
      <c r="A21" s="2"/>
      <c r="B21" s="47" t="s">
        <v>171</v>
      </c>
      <c r="F21" s="59" t="s">
        <v>158</v>
      </c>
      <c r="H21" s="58">
        <f>'Berekening kosten netverliezen'!H32</f>
        <v>19692828.879467648</v>
      </c>
      <c r="I21" s="60"/>
      <c r="J21" s="60"/>
      <c r="K21" s="60"/>
      <c r="L21" s="60"/>
      <c r="M21" s="60"/>
      <c r="N21" s="60"/>
      <c r="O21" s="60"/>
      <c r="P21" s="60"/>
      <c r="Q21" s="60"/>
      <c r="R21" s="60"/>
    </row>
    <row r="22" spans="1:18" s="59" customFormat="1" x14ac:dyDescent="0.2">
      <c r="B22" s="69"/>
      <c r="H22" s="60"/>
      <c r="I22" s="60"/>
      <c r="J22" s="60"/>
      <c r="K22" s="60"/>
      <c r="L22" s="60"/>
      <c r="M22" s="60"/>
      <c r="N22" s="60"/>
      <c r="O22" s="60"/>
      <c r="P22" s="60"/>
      <c r="Q22" s="60"/>
      <c r="R22" s="60"/>
    </row>
    <row r="23" spans="1:18" s="9" customFormat="1" x14ac:dyDescent="0.2">
      <c r="B23" s="9" t="s">
        <v>133</v>
      </c>
      <c r="L23" s="56"/>
      <c r="M23" s="56"/>
      <c r="N23" s="56"/>
      <c r="O23" s="56"/>
      <c r="P23" s="56"/>
      <c r="Q23" s="56"/>
      <c r="R23" s="56"/>
    </row>
    <row r="25" spans="1:18" x14ac:dyDescent="0.2">
      <c r="B25" s="1" t="s">
        <v>90</v>
      </c>
    </row>
    <row r="26" spans="1:18" x14ac:dyDescent="0.2">
      <c r="B26" s="53" t="s">
        <v>86</v>
      </c>
      <c r="F26" s="2" t="s">
        <v>94</v>
      </c>
      <c r="J26" s="66">
        <f>SUM(L26:R26)</f>
        <v>24482357.248053525</v>
      </c>
      <c r="L26" s="58">
        <f t="shared" ref="L26:R26" si="1">L14</f>
        <v>501966.18242918327</v>
      </c>
      <c r="M26" s="58">
        <f t="shared" si="1"/>
        <v>641953.06828067696</v>
      </c>
      <c r="N26" s="58">
        <f t="shared" si="1"/>
        <v>7935479.484230577</v>
      </c>
      <c r="O26" s="58">
        <f t="shared" si="1"/>
        <v>8485045.9461209979</v>
      </c>
      <c r="P26" s="58">
        <f t="shared" si="1"/>
        <v>361556.65358401538</v>
      </c>
      <c r="Q26" s="58">
        <f t="shared" si="1"/>
        <v>6328223.4470123984</v>
      </c>
      <c r="R26" s="58">
        <f t="shared" si="1"/>
        <v>228132.46639567576</v>
      </c>
    </row>
    <row r="28" spans="1:18" x14ac:dyDescent="0.2">
      <c r="B28" s="1" t="s">
        <v>136</v>
      </c>
    </row>
    <row r="29" spans="1:18" x14ac:dyDescent="0.2">
      <c r="B29" s="53" t="s">
        <v>86</v>
      </c>
      <c r="F29" s="2" t="s">
        <v>94</v>
      </c>
      <c r="J29" s="66">
        <f>SUM(L29:R29)</f>
        <v>12888469.009078884</v>
      </c>
      <c r="L29" s="57">
        <f t="shared" ref="L29:R29" si="2">$H$19*L17</f>
        <v>147747.4079032125</v>
      </c>
      <c r="M29" s="57">
        <f t="shared" si="2"/>
        <v>299832.50775934255</v>
      </c>
      <c r="N29" s="57">
        <f t="shared" si="2"/>
        <v>3927874.7353137881</v>
      </c>
      <c r="O29" s="57">
        <f t="shared" si="2"/>
        <v>3734052.6202260209</v>
      </c>
      <c r="P29" s="57">
        <f t="shared" si="2"/>
        <v>141197.11147105202</v>
      </c>
      <c r="Q29" s="57">
        <f t="shared" si="2"/>
        <v>3115650.4601476849</v>
      </c>
      <c r="R29" s="57">
        <f t="shared" si="2"/>
        <v>1522114.1662577842</v>
      </c>
    </row>
    <row r="31" spans="1:18" s="9" customFormat="1" x14ac:dyDescent="0.2">
      <c r="B31" s="9" t="s">
        <v>134</v>
      </c>
      <c r="L31" s="56"/>
      <c r="M31" s="56"/>
      <c r="N31" s="56"/>
      <c r="O31" s="56"/>
      <c r="P31" s="56"/>
      <c r="Q31" s="56"/>
      <c r="R31" s="56"/>
    </row>
    <row r="33" spans="2:18" x14ac:dyDescent="0.2">
      <c r="B33" s="27" t="s">
        <v>135</v>
      </c>
      <c r="F33" s="2" t="s">
        <v>94</v>
      </c>
      <c r="J33" s="66">
        <f>SUM(L33:R33)</f>
        <v>37370826.257132411</v>
      </c>
      <c r="L33" s="57">
        <f>L26+L29</f>
        <v>649713.59033239575</v>
      </c>
      <c r="M33" s="57">
        <f t="shared" ref="M33:R33" si="3">M26+M29</f>
        <v>941785.57604001951</v>
      </c>
      <c r="N33" s="57">
        <f t="shared" si="3"/>
        <v>11863354.219544366</v>
      </c>
      <c r="O33" s="57">
        <f t="shared" si="3"/>
        <v>12219098.566347018</v>
      </c>
      <c r="P33" s="57">
        <f t="shared" si="3"/>
        <v>502753.76505506737</v>
      </c>
      <c r="Q33" s="57">
        <f t="shared" si="3"/>
        <v>9443873.9071600828</v>
      </c>
      <c r="R33" s="57">
        <f t="shared" si="3"/>
        <v>1750246.6326534599</v>
      </c>
    </row>
    <row r="35" spans="2:18" s="9" customFormat="1" x14ac:dyDescent="0.2">
      <c r="B35" s="9" t="s">
        <v>106</v>
      </c>
      <c r="L35" s="56"/>
      <c r="M35" s="56"/>
      <c r="N35" s="56"/>
      <c r="O35" s="56"/>
      <c r="P35" s="56"/>
      <c r="Q35" s="56"/>
      <c r="R35" s="56"/>
    </row>
    <row r="37" spans="2:18" x14ac:dyDescent="0.2">
      <c r="B37" s="2" t="s">
        <v>105</v>
      </c>
      <c r="F37" s="59" t="s">
        <v>158</v>
      </c>
      <c r="J37" s="66">
        <f>SUM(L37:R37)</f>
        <v>19692828.879467644</v>
      </c>
      <c r="L37" s="57">
        <f t="shared" ref="L37:R37" si="4">(L33/$J$33)*$H$21</f>
        <v>342371.3050133186</v>
      </c>
      <c r="M37" s="57">
        <f t="shared" si="4"/>
        <v>496280.76356934418</v>
      </c>
      <c r="N37" s="57">
        <f t="shared" si="4"/>
        <v>6251480.8469724301</v>
      </c>
      <c r="O37" s="57">
        <f t="shared" si="4"/>
        <v>6438942.9196121963</v>
      </c>
      <c r="P37" s="57">
        <f t="shared" si="4"/>
        <v>264929.75551612099</v>
      </c>
      <c r="Q37" s="57">
        <f t="shared" si="4"/>
        <v>4976518.0874875216</v>
      </c>
      <c r="R37" s="57">
        <f t="shared" si="4"/>
        <v>922305.20129671472</v>
      </c>
    </row>
    <row r="40" spans="2:18" x14ac:dyDescent="0.2">
      <c r="J40" s="50"/>
      <c r="K40" s="50"/>
    </row>
    <row r="41" spans="2:18" x14ac:dyDescent="0.2">
      <c r="J41" s="74"/>
      <c r="L41" s="74"/>
      <c r="M41" s="74"/>
      <c r="N41" s="74"/>
      <c r="O41" s="74"/>
      <c r="P41" s="74"/>
      <c r="Q41" s="74"/>
      <c r="R41" s="7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C8D9"/>
  </sheetPr>
  <dimension ref="B2:H41"/>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19.140625" style="2" customWidth="1"/>
    <col min="3" max="3" width="20.7109375" style="2" customWidth="1"/>
    <col min="4" max="4" width="56.85546875" style="2" customWidth="1"/>
    <col min="5" max="5" width="29.85546875" style="2" customWidth="1"/>
    <col min="6" max="6" width="24.7109375" style="2" customWidth="1"/>
    <col min="7" max="7" width="37.28515625" style="2" customWidth="1"/>
    <col min="8" max="16384" width="9.140625" style="2"/>
  </cols>
  <sheetData>
    <row r="2" spans="2:8" s="8" customFormat="1" ht="18" x14ac:dyDescent="0.2">
      <c r="B2" s="8" t="s">
        <v>48</v>
      </c>
    </row>
    <row r="4" spans="2:8" s="9" customFormat="1" x14ac:dyDescent="0.2">
      <c r="B4" s="9" t="s">
        <v>12</v>
      </c>
    </row>
    <row r="6" spans="2:8" x14ac:dyDescent="0.2">
      <c r="B6" s="27" t="s">
        <v>177</v>
      </c>
    </row>
    <row r="7" spans="2:8" x14ac:dyDescent="0.2">
      <c r="B7" s="27" t="s">
        <v>138</v>
      </c>
    </row>
    <row r="8" spans="2:8" x14ac:dyDescent="0.2">
      <c r="B8" s="2" t="s">
        <v>139</v>
      </c>
      <c r="H8" s="36"/>
    </row>
    <row r="11" spans="2:8" s="9" customFormat="1" x14ac:dyDescent="0.2">
      <c r="B11" s="9" t="s">
        <v>13</v>
      </c>
    </row>
    <row r="12" spans="2:8" x14ac:dyDescent="0.2">
      <c r="C12" s="10"/>
    </row>
    <row r="13" spans="2:8" x14ac:dyDescent="0.2">
      <c r="B13" s="31" t="s">
        <v>35</v>
      </c>
      <c r="C13" s="10"/>
      <c r="D13" s="31" t="s">
        <v>14</v>
      </c>
      <c r="F13" s="14"/>
    </row>
    <row r="14" spans="2:8" x14ac:dyDescent="0.2">
      <c r="C14" s="10"/>
    </row>
    <row r="15" spans="2:8" x14ac:dyDescent="0.2">
      <c r="B15" s="41">
        <v>123</v>
      </c>
      <c r="C15" s="10"/>
      <c r="D15" s="27" t="s">
        <v>65</v>
      </c>
    </row>
    <row r="16" spans="2:8" x14ac:dyDescent="0.2">
      <c r="B16" s="38">
        <f>B15</f>
        <v>123</v>
      </c>
      <c r="C16" s="10"/>
      <c r="D16" s="2" t="s">
        <v>15</v>
      </c>
    </row>
    <row r="17" spans="2:7" x14ac:dyDescent="0.2">
      <c r="B17" s="37">
        <f>B16+B15</f>
        <v>246</v>
      </c>
      <c r="C17" s="10"/>
      <c r="D17" s="2" t="s">
        <v>16</v>
      </c>
    </row>
    <row r="18" spans="2:7" x14ac:dyDescent="0.2">
      <c r="B18" s="34">
        <f>B16+B17</f>
        <v>369</v>
      </c>
      <c r="C18" s="10"/>
      <c r="D18" s="27" t="s">
        <v>66</v>
      </c>
      <c r="E18" s="14"/>
      <c r="F18" s="6"/>
    </row>
    <row r="19" spans="2:7" x14ac:dyDescent="0.2">
      <c r="B19" s="15"/>
      <c r="C19" s="10"/>
      <c r="D19" s="27" t="s">
        <v>17</v>
      </c>
      <c r="E19" s="14"/>
    </row>
    <row r="20" spans="2:7" x14ac:dyDescent="0.2">
      <c r="B20" s="10"/>
      <c r="C20" s="10"/>
    </row>
    <row r="21" spans="2:7" x14ac:dyDescent="0.2">
      <c r="B21" s="32" t="s">
        <v>18</v>
      </c>
      <c r="C21" s="10"/>
    </row>
    <row r="22" spans="2:7" x14ac:dyDescent="0.2">
      <c r="B22" s="39">
        <f>B18+16</f>
        <v>385</v>
      </c>
      <c r="C22" s="10"/>
      <c r="D22" s="2" t="s">
        <v>67</v>
      </c>
    </row>
    <row r="23" spans="2:7" x14ac:dyDescent="0.2">
      <c r="B23" s="40">
        <f>B16*PI()</f>
        <v>386.41589639154455</v>
      </c>
      <c r="C23" s="17"/>
      <c r="D23" s="2" t="s">
        <v>19</v>
      </c>
    </row>
    <row r="24" spans="2:7" x14ac:dyDescent="0.2">
      <c r="B24" s="17"/>
      <c r="C24" s="17"/>
    </row>
    <row r="25" spans="2:7" x14ac:dyDescent="0.2">
      <c r="B25" s="32" t="s">
        <v>20</v>
      </c>
      <c r="C25" s="18"/>
    </row>
    <row r="26" spans="2:7" x14ac:dyDescent="0.2">
      <c r="B26" s="45">
        <v>123</v>
      </c>
      <c r="C26" s="18"/>
      <c r="D26" s="27" t="s">
        <v>68</v>
      </c>
      <c r="G26" s="14"/>
    </row>
    <row r="27" spans="2:7" x14ac:dyDescent="0.2">
      <c r="B27" s="42">
        <v>124</v>
      </c>
      <c r="C27" s="18"/>
      <c r="D27" s="27" t="s">
        <v>70</v>
      </c>
    </row>
    <row r="28" spans="2:7" x14ac:dyDescent="0.2">
      <c r="B28" s="43">
        <f>B26-B27</f>
        <v>-1</v>
      </c>
      <c r="C28" s="19"/>
      <c r="D28" s="2" t="s">
        <v>54</v>
      </c>
    </row>
    <row r="31" spans="2:7" x14ac:dyDescent="0.2">
      <c r="B31" s="31" t="s">
        <v>30</v>
      </c>
    </row>
    <row r="32" spans="2:7" x14ac:dyDescent="0.2">
      <c r="B32" s="1"/>
    </row>
    <row r="33" spans="2:4" x14ac:dyDescent="0.2">
      <c r="B33" s="32" t="s">
        <v>36</v>
      </c>
    </row>
    <row r="34" spans="2:4" x14ac:dyDescent="0.2">
      <c r="B34" s="24" t="s">
        <v>29</v>
      </c>
      <c r="C34" s="10"/>
      <c r="D34" s="3" t="s">
        <v>39</v>
      </c>
    </row>
    <row r="35" spans="2:4" x14ac:dyDescent="0.2">
      <c r="B35" s="41" t="s">
        <v>27</v>
      </c>
      <c r="C35" s="10"/>
      <c r="D35" s="3" t="s">
        <v>31</v>
      </c>
    </row>
    <row r="36" spans="2:4" x14ac:dyDescent="0.2">
      <c r="B36" s="35" t="s">
        <v>28</v>
      </c>
      <c r="C36" s="10"/>
      <c r="D36" s="3" t="s">
        <v>32</v>
      </c>
    </row>
    <row r="37" spans="2:4" x14ac:dyDescent="0.2">
      <c r="B37" s="16" t="s">
        <v>28</v>
      </c>
      <c r="C37" s="10"/>
      <c r="D37" s="3" t="s">
        <v>34</v>
      </c>
    </row>
    <row r="38" spans="2:4" x14ac:dyDescent="0.2">
      <c r="C38" s="10"/>
      <c r="D38" s="3"/>
    </row>
    <row r="39" spans="2:4" x14ac:dyDescent="0.2">
      <c r="B39" s="32" t="s">
        <v>38</v>
      </c>
      <c r="C39" s="10"/>
      <c r="D39" s="3"/>
    </row>
    <row r="40" spans="2:4" x14ac:dyDescent="0.2">
      <c r="B40" s="25" t="s">
        <v>33</v>
      </c>
      <c r="C40" s="10"/>
      <c r="D40" s="3" t="s">
        <v>40</v>
      </c>
    </row>
    <row r="41" spans="2:4" x14ac:dyDescent="0.2">
      <c r="B41" s="26" t="s">
        <v>37</v>
      </c>
      <c r="D41" s="27" t="s">
        <v>69</v>
      </c>
    </row>
  </sheetData>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F26"/>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7.5703125" style="2" customWidth="1"/>
    <col min="3" max="3" width="35.140625" style="2" customWidth="1"/>
    <col min="4" max="5" width="36.28515625" style="2" customWidth="1"/>
    <col min="6" max="6" width="40.7109375" style="2" customWidth="1"/>
    <col min="7" max="7" width="4.5703125" style="2" customWidth="1"/>
    <col min="8" max="8" width="43.42578125" style="2" customWidth="1"/>
    <col min="9" max="9" width="28.7109375" style="2" customWidth="1"/>
    <col min="10" max="10" width="18.42578125" style="2" customWidth="1"/>
    <col min="11" max="12" width="58.42578125" style="2" customWidth="1"/>
    <col min="13" max="16384" width="9.140625" style="2"/>
  </cols>
  <sheetData>
    <row r="2" spans="2:6" s="13" customFormat="1" ht="18" x14ac:dyDescent="0.2">
      <c r="B2" s="4" t="s">
        <v>21</v>
      </c>
    </row>
    <row r="4" spans="2:6" s="9" customFormat="1" x14ac:dyDescent="0.2">
      <c r="B4" s="9" t="s">
        <v>22</v>
      </c>
    </row>
    <row r="6" spans="2:6" x14ac:dyDescent="0.2">
      <c r="B6" s="32" t="s">
        <v>60</v>
      </c>
    </row>
    <row r="7" spans="2:6" x14ac:dyDescent="0.2">
      <c r="B7" s="32" t="s">
        <v>61</v>
      </c>
    </row>
    <row r="9" spans="2:6" x14ac:dyDescent="0.2">
      <c r="B9" s="20" t="s">
        <v>49</v>
      </c>
      <c r="C9" s="84" t="s">
        <v>50</v>
      </c>
      <c r="D9" s="84" t="s">
        <v>51</v>
      </c>
      <c r="E9" s="20" t="s">
        <v>59</v>
      </c>
      <c r="F9" s="20" t="s">
        <v>55</v>
      </c>
    </row>
    <row r="10" spans="2:6" x14ac:dyDescent="0.2">
      <c r="B10" s="21"/>
      <c r="C10" s="85" t="s">
        <v>57</v>
      </c>
      <c r="D10" s="85" t="s">
        <v>23</v>
      </c>
      <c r="E10" s="28" t="s">
        <v>62</v>
      </c>
      <c r="F10" s="28" t="s">
        <v>56</v>
      </c>
    </row>
    <row r="11" spans="2:6" x14ac:dyDescent="0.2">
      <c r="B11" s="29">
        <v>1</v>
      </c>
      <c r="C11" s="83" t="s">
        <v>142</v>
      </c>
      <c r="D11" s="83" t="s">
        <v>142</v>
      </c>
      <c r="E11" s="7"/>
      <c r="F11" s="7"/>
    </row>
    <row r="12" spans="2:6" x14ac:dyDescent="0.2">
      <c r="B12" s="7">
        <v>2</v>
      </c>
      <c r="C12" s="83" t="s">
        <v>156</v>
      </c>
      <c r="D12" s="83" t="s">
        <v>156</v>
      </c>
      <c r="E12" s="7"/>
      <c r="F12" s="7"/>
    </row>
    <row r="13" spans="2:6" ht="25.5" x14ac:dyDescent="0.2">
      <c r="B13" s="7">
        <v>3</v>
      </c>
      <c r="C13" s="83" t="s">
        <v>143</v>
      </c>
      <c r="D13" s="83" t="s">
        <v>144</v>
      </c>
      <c r="E13" s="7"/>
      <c r="F13" s="7"/>
    </row>
    <row r="14" spans="2:6" ht="25.5" x14ac:dyDescent="0.2">
      <c r="B14" s="7">
        <v>4</v>
      </c>
      <c r="C14" s="83" t="s">
        <v>145</v>
      </c>
      <c r="D14" s="83" t="s">
        <v>146</v>
      </c>
      <c r="E14" s="7"/>
      <c r="F14" s="7"/>
    </row>
    <row r="15" spans="2:6" ht="38.25" x14ac:dyDescent="0.2">
      <c r="B15" s="7">
        <v>5</v>
      </c>
      <c r="C15" s="83" t="s">
        <v>178</v>
      </c>
      <c r="D15" s="83" t="s">
        <v>172</v>
      </c>
      <c r="E15" s="7"/>
      <c r="F15" s="88" t="s">
        <v>181</v>
      </c>
    </row>
    <row r="16" spans="2:6" ht="25.5" x14ac:dyDescent="0.2">
      <c r="B16" s="7">
        <v>6</v>
      </c>
      <c r="C16" s="83" t="s">
        <v>147</v>
      </c>
      <c r="D16" s="83" t="s">
        <v>150</v>
      </c>
      <c r="E16" s="7"/>
      <c r="F16" s="88" t="s">
        <v>180</v>
      </c>
    </row>
    <row r="17" spans="2:6" x14ac:dyDescent="0.2">
      <c r="B17" s="7">
        <v>7</v>
      </c>
      <c r="C17" s="83" t="s">
        <v>151</v>
      </c>
      <c r="D17" s="83" t="s">
        <v>152</v>
      </c>
      <c r="E17" s="7"/>
      <c r="F17" s="7"/>
    </row>
    <row r="18" spans="2:6" x14ac:dyDescent="0.2">
      <c r="B18" s="7">
        <v>8</v>
      </c>
      <c r="C18" s="83" t="s">
        <v>153</v>
      </c>
      <c r="D18" s="83" t="s">
        <v>154</v>
      </c>
      <c r="E18" s="7"/>
      <c r="F18" s="7"/>
    </row>
    <row r="19" spans="2:6" x14ac:dyDescent="0.2">
      <c r="B19" s="7">
        <v>9</v>
      </c>
      <c r="C19" s="83"/>
      <c r="D19" s="83"/>
      <c r="E19" s="7"/>
      <c r="F19" s="7"/>
    </row>
    <row r="20" spans="2:6" x14ac:dyDescent="0.2">
      <c r="B20" s="7">
        <v>10</v>
      </c>
      <c r="C20" s="83"/>
      <c r="D20" s="83"/>
      <c r="E20" s="7"/>
      <c r="F20" s="7"/>
    </row>
    <row r="23" spans="2:6" s="9" customFormat="1" x14ac:dyDescent="0.2">
      <c r="B23" s="9" t="s">
        <v>47</v>
      </c>
    </row>
    <row r="25" spans="2:6" x14ac:dyDescent="0.2">
      <c r="B25" s="32" t="s">
        <v>45</v>
      </c>
    </row>
    <row r="26" spans="2:6" x14ac:dyDescent="0.2">
      <c r="B26" s="32" t="s">
        <v>46</v>
      </c>
    </row>
  </sheetData>
  <hyperlinks>
    <hyperlink ref="F16" r:id="rId1" location="/CBS/nl/dataset/83131NED/table?ts=1528811296678"/>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B2:Y20"/>
  <sheetViews>
    <sheetView showGridLines="0" zoomScale="85" zoomScaleNormal="85" workbookViewId="0">
      <pane xSplit="6" ySplit="9" topLeftCell="G10" activePane="bottomRight" state="frozen"/>
      <selection activeCell="O39" sqref="O39"/>
      <selection pane="topRight" activeCell="O39" sqref="O39"/>
      <selection pane="bottomLeft" activeCell="O39" sqref="O39"/>
      <selection pane="bottomRight" activeCell="G10" sqref="G10"/>
    </sheetView>
  </sheetViews>
  <sheetFormatPr defaultRowHeight="12.75" x14ac:dyDescent="0.2"/>
  <cols>
    <col min="1" max="1" width="4.7109375" style="2" customWidth="1"/>
    <col min="2" max="2" width="41.42578125" style="2" customWidth="1"/>
    <col min="3" max="5" width="4.7109375" style="2" customWidth="1"/>
    <col min="6" max="6" width="13.7109375" style="2" customWidth="1"/>
    <col min="7" max="7" width="2.7109375" style="2" customWidth="1"/>
    <col min="8" max="8" width="15.7109375" style="2" customWidth="1"/>
    <col min="9" max="9" width="2.7109375" style="2" customWidth="1"/>
    <col min="10" max="10" width="18.7109375" style="2" customWidth="1"/>
    <col min="11" max="11" width="2.7109375" style="2" customWidth="1"/>
    <col min="12" max="18" width="15.7109375" style="2" customWidth="1"/>
    <col min="19" max="21" width="12.5703125" style="2" customWidth="1"/>
    <col min="22" max="24" width="2.7109375" style="2" customWidth="1"/>
    <col min="25" max="39" width="13.7109375" style="2" customWidth="1"/>
    <col min="40" max="16384" width="9.140625" style="2"/>
  </cols>
  <sheetData>
    <row r="2" spans="2:25" s="22" customFormat="1" ht="18" x14ac:dyDescent="0.2">
      <c r="B2" s="22" t="s">
        <v>102</v>
      </c>
    </row>
    <row r="4" spans="2:25" x14ac:dyDescent="0.2">
      <c r="B4" s="31" t="s">
        <v>53</v>
      </c>
      <c r="C4" s="1"/>
      <c r="D4" s="1"/>
    </row>
    <row r="5" spans="2:25" x14ac:dyDescent="0.2">
      <c r="B5" s="27" t="s">
        <v>157</v>
      </c>
      <c r="C5" s="3"/>
      <c r="D5" s="3"/>
      <c r="H5" s="23"/>
    </row>
    <row r="6" spans="2:25" x14ac:dyDescent="0.2">
      <c r="B6" s="27"/>
      <c r="C6" s="3"/>
      <c r="D6" s="3"/>
      <c r="H6" s="23"/>
    </row>
    <row r="8" spans="2:25" s="9" customFormat="1" x14ac:dyDescent="0.2">
      <c r="B8" s="9" t="s">
        <v>41</v>
      </c>
      <c r="F8" s="9" t="s">
        <v>24</v>
      </c>
      <c r="H8" s="9" t="s">
        <v>25</v>
      </c>
      <c r="J8" s="9" t="s">
        <v>44</v>
      </c>
      <c r="L8" s="56" t="s">
        <v>71</v>
      </c>
      <c r="M8" s="56" t="s">
        <v>72</v>
      </c>
      <c r="N8" s="56" t="s">
        <v>73</v>
      </c>
      <c r="O8" s="56" t="s">
        <v>74</v>
      </c>
      <c r="P8" s="56" t="s">
        <v>75</v>
      </c>
      <c r="Q8" s="56" t="s">
        <v>76</v>
      </c>
      <c r="R8" s="56" t="s">
        <v>77</v>
      </c>
      <c r="Y8" s="9" t="s">
        <v>43</v>
      </c>
    </row>
    <row r="11" spans="2:25" s="9" customFormat="1" x14ac:dyDescent="0.2">
      <c r="B11" s="9" t="s">
        <v>58</v>
      </c>
    </row>
    <row r="13" spans="2:25" x14ac:dyDescent="0.2">
      <c r="B13" s="2" t="s">
        <v>105</v>
      </c>
      <c r="F13" s="59" t="s">
        <v>158</v>
      </c>
      <c r="J13" s="57">
        <f>SUM(L13:R13)</f>
        <v>19692828.879467644</v>
      </c>
      <c r="K13" s="60"/>
      <c r="L13" s="70">
        <f>'Berekening kosten per RNB'!L37</f>
        <v>342371.3050133186</v>
      </c>
      <c r="M13" s="70">
        <f>'Berekening kosten per RNB'!M37</f>
        <v>496280.76356934418</v>
      </c>
      <c r="N13" s="70">
        <f>'Berekening kosten per RNB'!N37</f>
        <v>6251480.8469724301</v>
      </c>
      <c r="O13" s="70">
        <f>'Berekening kosten per RNB'!O37</f>
        <v>6438942.9196121963</v>
      </c>
      <c r="P13" s="70">
        <f>'Berekening kosten per RNB'!P37</f>
        <v>264929.75551612099</v>
      </c>
      <c r="Q13" s="70">
        <f>'Berekening kosten per RNB'!Q37</f>
        <v>4976518.0874875216</v>
      </c>
      <c r="R13" s="70">
        <f>'Berekening kosten per RNB'!R37</f>
        <v>922305.20129671472</v>
      </c>
    </row>
    <row r="20" spans="2:2" x14ac:dyDescent="0.2">
      <c r="B20" s="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showGridLines="0" zoomScale="85" zoomScaleNormal="85" workbookViewId="0"/>
  </sheetViews>
  <sheetFormatPr defaultRowHeight="12.75" x14ac:dyDescent="0.2"/>
  <cols>
    <col min="1" max="16384" width="9.140625" style="25"/>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FFE1"/>
  </sheetPr>
  <dimension ref="B2:X31"/>
  <sheetViews>
    <sheetView showGridLines="0" zoomScale="85" zoomScaleNormal="85" workbookViewId="0">
      <pane xSplit="6" ySplit="10" topLeftCell="G11" activePane="bottomRight" state="frozen"/>
      <selection activeCell="R6" sqref="R6"/>
      <selection pane="topRight" activeCell="R6" sqref="R6"/>
      <selection pane="bottomLeft" activeCell="R6" sqref="R6"/>
      <selection pane="bottomRight" activeCell="G11" sqref="G11"/>
    </sheetView>
  </sheetViews>
  <sheetFormatPr defaultRowHeight="12.75" x14ac:dyDescent="0.2"/>
  <cols>
    <col min="1" max="1" width="4.7109375" style="2" customWidth="1"/>
    <col min="2" max="2" width="77.28515625" style="2" bestFit="1" customWidth="1"/>
    <col min="3" max="3" width="4.7109375" style="2" customWidth="1"/>
    <col min="4" max="5" width="4.5703125" style="2" customWidth="1"/>
    <col min="6" max="6" width="13.7109375" style="2" customWidth="1"/>
    <col min="7" max="7" width="2.7109375" style="2" customWidth="1"/>
    <col min="8" max="8" width="15.7109375" style="2" customWidth="1"/>
    <col min="9" max="9" width="2.7109375" style="2" customWidth="1"/>
    <col min="10" max="10" width="18.7109375" style="2" customWidth="1"/>
    <col min="11" max="11" width="2.7109375" style="2" customWidth="1"/>
    <col min="12" max="18" width="15.7109375" style="2" customWidth="1"/>
    <col min="19" max="20" width="12.5703125" style="2" customWidth="1"/>
    <col min="21" max="21" width="2.7109375" style="2" customWidth="1"/>
    <col min="22" max="22" width="17.140625" style="2" customWidth="1"/>
    <col min="23" max="23" width="2.7109375" style="2" customWidth="1"/>
    <col min="24" max="24" width="13.7109375" style="2" customWidth="1"/>
    <col min="25" max="25" width="2.7109375" style="2" customWidth="1"/>
    <col min="26" max="40" width="13.7109375" style="2" customWidth="1"/>
    <col min="41" max="16384" width="9.140625" style="2"/>
  </cols>
  <sheetData>
    <row r="2" spans="2:24" s="22" customFormat="1" ht="18" x14ac:dyDescent="0.2">
      <c r="B2" s="22" t="s">
        <v>82</v>
      </c>
    </row>
    <row r="4" spans="2:24" x14ac:dyDescent="0.2">
      <c r="B4" s="31" t="s">
        <v>26</v>
      </c>
      <c r="C4" s="1"/>
      <c r="D4" s="1"/>
      <c r="L4"/>
    </row>
    <row r="5" spans="2:24" x14ac:dyDescent="0.2">
      <c r="B5" s="27" t="s">
        <v>141</v>
      </c>
      <c r="C5" s="3"/>
      <c r="D5" s="3"/>
      <c r="H5" s="23"/>
    </row>
    <row r="6" spans="2:24" x14ac:dyDescent="0.2">
      <c r="B6" s="27" t="s">
        <v>107</v>
      </c>
      <c r="C6" s="3"/>
      <c r="D6" s="3"/>
      <c r="H6" s="23"/>
    </row>
    <row r="7" spans="2:24" x14ac:dyDescent="0.2">
      <c r="B7" s="27"/>
      <c r="C7" s="3"/>
      <c r="D7" s="3"/>
      <c r="H7" s="23"/>
    </row>
    <row r="9" spans="2:24" s="9" customFormat="1" x14ac:dyDescent="0.2">
      <c r="B9" s="9" t="s">
        <v>41</v>
      </c>
      <c r="F9" s="9" t="s">
        <v>24</v>
      </c>
      <c r="H9" s="9" t="s">
        <v>25</v>
      </c>
      <c r="J9" s="9" t="s">
        <v>44</v>
      </c>
      <c r="L9" s="9" t="s">
        <v>71</v>
      </c>
      <c r="M9" s="9" t="s">
        <v>72</v>
      </c>
      <c r="N9" s="9" t="s">
        <v>73</v>
      </c>
      <c r="O9" s="9" t="s">
        <v>74</v>
      </c>
      <c r="P9" s="9" t="s">
        <v>75</v>
      </c>
      <c r="Q9" s="9" t="s">
        <v>76</v>
      </c>
      <c r="R9" s="9" t="s">
        <v>77</v>
      </c>
      <c r="V9" s="9" t="s">
        <v>42</v>
      </c>
      <c r="X9" s="9" t="s">
        <v>43</v>
      </c>
    </row>
    <row r="12" spans="2:24" s="9" customFormat="1" x14ac:dyDescent="0.2">
      <c r="B12" s="9" t="s">
        <v>140</v>
      </c>
    </row>
    <row r="14" spans="2:24" x14ac:dyDescent="0.2">
      <c r="B14" s="46" t="s">
        <v>111</v>
      </c>
      <c r="C14" s="48"/>
      <c r="D14" s="48"/>
      <c r="J14" s="50"/>
    </row>
    <row r="15" spans="2:24" x14ac:dyDescent="0.2">
      <c r="B15" s="47" t="s">
        <v>78</v>
      </c>
      <c r="C15" s="48"/>
      <c r="F15" s="47" t="s">
        <v>80</v>
      </c>
      <c r="J15" s="57">
        <f t="shared" ref="J15:J24" si="0">SUM(L15:R15)</f>
        <v>432029321286.49268</v>
      </c>
      <c r="L15" s="51">
        <v>10010922437.131861</v>
      </c>
      <c r="M15" s="51">
        <v>10924260060.22508</v>
      </c>
      <c r="N15" s="51">
        <v>160906422076.42328</v>
      </c>
      <c r="O15" s="51">
        <v>134887069601.64662</v>
      </c>
      <c r="P15" s="51">
        <v>7330089532.3645897</v>
      </c>
      <c r="Q15" s="51">
        <v>104329131269.9196</v>
      </c>
      <c r="R15" s="51">
        <v>3641426308.7816691</v>
      </c>
      <c r="V15" s="2" t="s">
        <v>142</v>
      </c>
    </row>
    <row r="16" spans="2:24" x14ac:dyDescent="0.2">
      <c r="B16" s="47" t="s">
        <v>79</v>
      </c>
      <c r="C16" s="48"/>
      <c r="F16" s="47" t="s">
        <v>80</v>
      </c>
      <c r="J16" s="57">
        <f t="shared" si="0"/>
        <v>229148337667</v>
      </c>
      <c r="L16" s="51">
        <v>2120507590</v>
      </c>
      <c r="M16" s="51">
        <v>4471660145</v>
      </c>
      <c r="N16" s="51">
        <v>74516875238</v>
      </c>
      <c r="O16" s="51">
        <v>57623500419</v>
      </c>
      <c r="P16" s="51">
        <v>2398130743</v>
      </c>
      <c r="Q16" s="51">
        <v>51896023288</v>
      </c>
      <c r="R16" s="51">
        <v>36121640244</v>
      </c>
    </row>
    <row r="17" spans="2:22" x14ac:dyDescent="0.2">
      <c r="B17" s="48"/>
      <c r="C17" s="48"/>
      <c r="F17" s="48"/>
    </row>
    <row r="18" spans="2:22" x14ac:dyDescent="0.2">
      <c r="B18" s="46" t="s">
        <v>112</v>
      </c>
      <c r="C18" s="48"/>
      <c r="F18" s="49"/>
    </row>
    <row r="19" spans="2:22" x14ac:dyDescent="0.2">
      <c r="B19" s="47" t="s">
        <v>78</v>
      </c>
      <c r="C19" s="48"/>
      <c r="F19" s="47" t="s">
        <v>80</v>
      </c>
      <c r="J19" s="57">
        <f t="shared" si="0"/>
        <v>450139824268.89899</v>
      </c>
      <c r="L19" s="51">
        <v>10597241574.301731</v>
      </c>
      <c r="M19" s="51">
        <v>11251092446.158127</v>
      </c>
      <c r="N19" s="51">
        <v>154068987873.90161</v>
      </c>
      <c r="O19" s="51">
        <v>154999171754.80731</v>
      </c>
      <c r="P19" s="51">
        <v>7538502493.4682274</v>
      </c>
      <c r="Q19" s="51">
        <v>107810301581.22597</v>
      </c>
      <c r="R19" s="51">
        <v>3874526545.0359936</v>
      </c>
    </row>
    <row r="20" spans="2:22" x14ac:dyDescent="0.2">
      <c r="B20" s="47" t="s">
        <v>79</v>
      </c>
      <c r="C20" s="48"/>
      <c r="F20" s="47" t="s">
        <v>80</v>
      </c>
      <c r="J20" s="57">
        <f t="shared" si="0"/>
        <v>233655940070</v>
      </c>
      <c r="L20" s="51">
        <v>2241703724</v>
      </c>
      <c r="M20" s="51">
        <v>5278438927</v>
      </c>
      <c r="N20" s="51">
        <v>69289270656</v>
      </c>
      <c r="O20" s="51">
        <v>65499119323</v>
      </c>
      <c r="P20" s="51">
        <v>2520191486</v>
      </c>
      <c r="Q20" s="51">
        <v>52341842907</v>
      </c>
      <c r="R20" s="51">
        <v>36485373047</v>
      </c>
    </row>
    <row r="21" spans="2:22" x14ac:dyDescent="0.2">
      <c r="B21" s="47"/>
      <c r="C21" s="48"/>
      <c r="F21" s="47"/>
    </row>
    <row r="22" spans="2:22" x14ac:dyDescent="0.2">
      <c r="B22" s="46" t="s">
        <v>159</v>
      </c>
      <c r="C22" s="48"/>
      <c r="F22" s="47"/>
      <c r="J22" s="50"/>
    </row>
    <row r="23" spans="2:22" x14ac:dyDescent="0.2">
      <c r="B23" s="47" t="s">
        <v>78</v>
      </c>
      <c r="C23" s="48"/>
      <c r="F23" s="47" t="s">
        <v>80</v>
      </c>
      <c r="J23" s="57">
        <f t="shared" si="0"/>
        <v>435755643581.26282</v>
      </c>
      <c r="L23" s="51">
        <v>10341665458.664619</v>
      </c>
      <c r="M23" s="51">
        <v>11200333909.22369</v>
      </c>
      <c r="N23" s="51">
        <v>148892180381.54041</v>
      </c>
      <c r="O23" s="51">
        <v>151069257280.01251</v>
      </c>
      <c r="P23" s="51">
        <v>7330257697.5670252</v>
      </c>
      <c r="Q23" s="51">
        <v>102966867862.25459</v>
      </c>
      <c r="R23" s="51">
        <v>3955080992.0000038</v>
      </c>
      <c r="V23" s="2" t="s">
        <v>156</v>
      </c>
    </row>
    <row r="24" spans="2:22" x14ac:dyDescent="0.2">
      <c r="B24" s="47" t="s">
        <v>79</v>
      </c>
      <c r="C24" s="48"/>
      <c r="F24" s="47" t="s">
        <v>80</v>
      </c>
      <c r="J24" s="57">
        <f t="shared" si="0"/>
        <v>231002802561</v>
      </c>
      <c r="L24" s="51">
        <v>2243599134</v>
      </c>
      <c r="M24" s="51">
        <v>3963940840</v>
      </c>
      <c r="N24" s="51">
        <v>69374481056</v>
      </c>
      <c r="O24" s="51">
        <v>65646095495</v>
      </c>
      <c r="P24" s="51">
        <v>2448919770</v>
      </c>
      <c r="Q24" s="51">
        <v>50058186676</v>
      </c>
      <c r="R24" s="51">
        <v>37267579590</v>
      </c>
    </row>
    <row r="25" spans="2:22" x14ac:dyDescent="0.2">
      <c r="B25" s="47"/>
      <c r="C25" s="48"/>
      <c r="F25" s="47"/>
    </row>
    <row r="26" spans="2:22" s="9" customFormat="1" x14ac:dyDescent="0.2">
      <c r="B26" s="9" t="s">
        <v>81</v>
      </c>
    </row>
    <row r="28" spans="2:22" x14ac:dyDescent="0.2">
      <c r="B28" s="46" t="s">
        <v>162</v>
      </c>
    </row>
    <row r="29" spans="2:22" x14ac:dyDescent="0.2">
      <c r="B29" s="47" t="s">
        <v>148</v>
      </c>
      <c r="F29" s="2" t="s">
        <v>118</v>
      </c>
      <c r="H29" s="87">
        <v>17436405</v>
      </c>
      <c r="V29" s="2" t="s">
        <v>143</v>
      </c>
    </row>
    <row r="30" spans="2:22" x14ac:dyDescent="0.2">
      <c r="B30" s="47" t="s">
        <v>149</v>
      </c>
      <c r="F30" s="2" t="s">
        <v>119</v>
      </c>
      <c r="H30" s="87">
        <v>19190507</v>
      </c>
    </row>
    <row r="31" spans="2:22" x14ac:dyDescent="0.2">
      <c r="B31" s="47" t="s">
        <v>160</v>
      </c>
      <c r="F31" s="2" t="s">
        <v>161</v>
      </c>
      <c r="H31" s="87">
        <v>19384855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FFE1"/>
  </sheetPr>
  <dimension ref="B2:W68"/>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x14ac:dyDescent="0.2"/>
  <cols>
    <col min="1" max="1" width="4.7109375" style="2" customWidth="1"/>
    <col min="2" max="2" width="77.28515625" style="2" bestFit="1" customWidth="1"/>
    <col min="3" max="3" width="4.7109375" style="2" customWidth="1"/>
    <col min="4" max="5" width="4.5703125" style="2" customWidth="1"/>
    <col min="6" max="6" width="13.7109375" style="2" customWidth="1"/>
    <col min="7" max="7" width="2.7109375" style="2" customWidth="1"/>
    <col min="8" max="8" width="15.7109375" style="2" customWidth="1"/>
    <col min="9" max="9" width="2.7109375" style="2" customWidth="1"/>
    <col min="10" max="10" width="18.7109375" style="2" customWidth="1"/>
    <col min="11" max="11" width="2.7109375" style="2" customWidth="1"/>
    <col min="12" max="18" width="15.7109375" style="50" customWidth="1"/>
    <col min="19" max="19" width="12.5703125" style="50" customWidth="1"/>
    <col min="20" max="20" width="2.7109375" style="2" customWidth="1"/>
    <col min="21" max="21" width="17.140625" style="2" customWidth="1"/>
    <col min="22" max="22" width="2.7109375" style="2" customWidth="1"/>
    <col min="23" max="23" width="13.7109375" style="2" customWidth="1"/>
    <col min="24" max="24" width="2.7109375" style="2" customWidth="1"/>
    <col min="25" max="39" width="13.7109375" style="2" customWidth="1"/>
    <col min="40" max="16384" width="9.140625" style="2"/>
  </cols>
  <sheetData>
    <row r="2" spans="2:23" s="22" customFormat="1" ht="18" x14ac:dyDescent="0.2">
      <c r="B2" s="22" t="s">
        <v>103</v>
      </c>
      <c r="L2" s="54"/>
      <c r="M2" s="54"/>
      <c r="N2" s="54"/>
      <c r="O2" s="54"/>
      <c r="P2" s="54"/>
      <c r="Q2" s="54"/>
      <c r="R2" s="54"/>
      <c r="S2" s="54"/>
    </row>
    <row r="4" spans="2:23" x14ac:dyDescent="0.2">
      <c r="B4" s="31" t="s">
        <v>26</v>
      </c>
      <c r="C4" s="1"/>
      <c r="D4" s="1"/>
      <c r="L4" s="55"/>
    </row>
    <row r="5" spans="2:23" x14ac:dyDescent="0.2">
      <c r="B5" s="27" t="s">
        <v>108</v>
      </c>
      <c r="C5" s="3"/>
      <c r="D5" s="3"/>
      <c r="H5" s="23"/>
    </row>
    <row r="8" spans="2:23" s="9" customFormat="1" x14ac:dyDescent="0.2">
      <c r="B8" s="9" t="s">
        <v>41</v>
      </c>
      <c r="F8" s="9" t="s">
        <v>24</v>
      </c>
      <c r="H8" s="9" t="s">
        <v>25</v>
      </c>
      <c r="J8" s="9" t="s">
        <v>44</v>
      </c>
      <c r="L8" s="56" t="s">
        <v>83</v>
      </c>
      <c r="M8" s="56" t="s">
        <v>72</v>
      </c>
      <c r="N8" s="9" t="s">
        <v>73</v>
      </c>
      <c r="O8" s="56" t="s">
        <v>74</v>
      </c>
      <c r="P8" s="56" t="s">
        <v>75</v>
      </c>
      <c r="Q8" s="56" t="s">
        <v>76</v>
      </c>
      <c r="R8" s="56" t="s">
        <v>77</v>
      </c>
      <c r="U8" s="9" t="s">
        <v>42</v>
      </c>
      <c r="W8" s="9" t="s">
        <v>43</v>
      </c>
    </row>
    <row r="11" spans="2:23" s="9" customFormat="1" x14ac:dyDescent="0.2">
      <c r="B11" s="9" t="s">
        <v>84</v>
      </c>
      <c r="L11" s="56"/>
      <c r="M11" s="56"/>
      <c r="N11" s="56"/>
      <c r="O11" s="56"/>
      <c r="P11" s="56"/>
      <c r="Q11" s="56"/>
      <c r="R11" s="56"/>
      <c r="S11" s="56"/>
    </row>
    <row r="13" spans="2:23" x14ac:dyDescent="0.2">
      <c r="B13" s="52" t="s">
        <v>85</v>
      </c>
    </row>
    <row r="14" spans="2:23" x14ac:dyDescent="0.2">
      <c r="B14" s="53" t="s">
        <v>86</v>
      </c>
      <c r="F14" s="62" t="s">
        <v>94</v>
      </c>
      <c r="J14" s="66">
        <f>SUM(L14:R14)</f>
        <v>22382973.374950387</v>
      </c>
      <c r="L14" s="51">
        <v>468922.33627533709</v>
      </c>
      <c r="M14" s="51">
        <v>603938.88779902353</v>
      </c>
      <c r="N14" s="51">
        <v>7287448.7222530572</v>
      </c>
      <c r="O14" s="51">
        <v>7787861.7505840249</v>
      </c>
      <c r="P14" s="51">
        <v>338952.20358401537</v>
      </c>
      <c r="Q14" s="51">
        <v>5732172.2473380528</v>
      </c>
      <c r="R14" s="51">
        <v>163677.22711687637</v>
      </c>
      <c r="U14" s="2" t="s">
        <v>145</v>
      </c>
    </row>
    <row r="15" spans="2:23" x14ac:dyDescent="0.2">
      <c r="B15" s="53"/>
      <c r="U15" s="2" t="s">
        <v>151</v>
      </c>
    </row>
    <row r="16" spans="2:23" x14ac:dyDescent="0.2">
      <c r="B16" s="52" t="s">
        <v>87</v>
      </c>
      <c r="U16" s="2" t="s">
        <v>153</v>
      </c>
    </row>
    <row r="17" spans="2:23" x14ac:dyDescent="0.2">
      <c r="B17" s="53" t="s">
        <v>86</v>
      </c>
      <c r="F17" s="62" t="s">
        <v>94</v>
      </c>
      <c r="J17" s="66">
        <f>SUM(L17:R17)</f>
        <v>2099383.8731031376</v>
      </c>
      <c r="L17" s="51">
        <v>33043.846153846156</v>
      </c>
      <c r="M17" s="51">
        <v>38014.180481653377</v>
      </c>
      <c r="N17" s="51">
        <v>648030.76197751961</v>
      </c>
      <c r="O17" s="51">
        <v>697184.19553697307</v>
      </c>
      <c r="P17" s="51">
        <v>22604.45</v>
      </c>
      <c r="Q17" s="51">
        <v>596051.19967434602</v>
      </c>
      <c r="R17" s="51">
        <v>64455.239278799389</v>
      </c>
    </row>
    <row r="18" spans="2:23" x14ac:dyDescent="0.2">
      <c r="B18" s="53"/>
    </row>
    <row r="19" spans="2:23" x14ac:dyDescent="0.2">
      <c r="B19" s="52" t="s">
        <v>88</v>
      </c>
    </row>
    <row r="20" spans="2:23" x14ac:dyDescent="0.2">
      <c r="B20" s="53" t="s">
        <v>89</v>
      </c>
      <c r="F20" s="62" t="s">
        <v>94</v>
      </c>
      <c r="J20" s="66">
        <f>SUM(L20:R20)</f>
        <v>2647864.7700252621</v>
      </c>
      <c r="L20" s="51">
        <v>30353.888888888891</v>
      </c>
      <c r="M20" s="51">
        <v>61598.932630791096</v>
      </c>
      <c r="N20" s="51">
        <v>806960.16923215485</v>
      </c>
      <c r="O20" s="51">
        <v>767140.4862402369</v>
      </c>
      <c r="P20" s="51">
        <v>29008.166666666668</v>
      </c>
      <c r="Q20" s="51">
        <v>640093.17812121205</v>
      </c>
      <c r="R20" s="51">
        <v>312709.94824531168</v>
      </c>
    </row>
    <row r="21" spans="2:23" x14ac:dyDescent="0.2">
      <c r="B21" s="53"/>
    </row>
    <row r="22" spans="2:23" s="9" customFormat="1" x14ac:dyDescent="0.2">
      <c r="B22" s="9" t="s">
        <v>121</v>
      </c>
      <c r="L22" s="56"/>
      <c r="M22" s="56"/>
      <c r="N22" s="56"/>
      <c r="O22" s="56"/>
      <c r="P22" s="56"/>
      <c r="Q22" s="56"/>
      <c r="R22" s="56"/>
      <c r="S22" s="56"/>
    </row>
    <row r="23" spans="2:23" x14ac:dyDescent="0.2">
      <c r="B23" s="53"/>
    </row>
    <row r="24" spans="2:23" x14ac:dyDescent="0.2">
      <c r="B24" s="71" t="s">
        <v>120</v>
      </c>
      <c r="F24" s="2" t="s">
        <v>93</v>
      </c>
      <c r="H24" s="79">
        <v>-2.33731553035188E-4</v>
      </c>
      <c r="U24" s="2" t="s">
        <v>178</v>
      </c>
    </row>
    <row r="25" spans="2:23" x14ac:dyDescent="0.2">
      <c r="B25" s="53"/>
    </row>
    <row r="26" spans="2:23" s="9" customFormat="1" x14ac:dyDescent="0.2">
      <c r="B26" s="9" t="s">
        <v>122</v>
      </c>
      <c r="L26" s="56"/>
      <c r="M26" s="56"/>
      <c r="N26" s="56"/>
      <c r="O26" s="56"/>
      <c r="P26" s="56"/>
      <c r="Q26" s="56"/>
      <c r="R26" s="56"/>
      <c r="S26" s="56"/>
    </row>
    <row r="27" spans="2:23" x14ac:dyDescent="0.2">
      <c r="B27" s="53"/>
    </row>
    <row r="28" spans="2:23" x14ac:dyDescent="0.2">
      <c r="B28" s="71" t="s">
        <v>123</v>
      </c>
      <c r="F28" s="2" t="s">
        <v>93</v>
      </c>
      <c r="H28" s="80">
        <v>1.4E-2</v>
      </c>
    </row>
    <row r="29" spans="2:23" x14ac:dyDescent="0.2">
      <c r="B29" s="71" t="s">
        <v>124</v>
      </c>
      <c r="F29" s="2" t="s">
        <v>93</v>
      </c>
      <c r="H29" s="80">
        <v>2.1000000000000001E-2</v>
      </c>
    </row>
    <row r="30" spans="2:23" x14ac:dyDescent="0.2">
      <c r="B30" s="71" t="s">
        <v>125</v>
      </c>
      <c r="F30" s="2" t="s">
        <v>93</v>
      </c>
      <c r="H30" s="86">
        <v>2.8000000000000001E-2</v>
      </c>
    </row>
    <row r="31" spans="2:23" x14ac:dyDescent="0.2">
      <c r="B31" s="71" t="s">
        <v>163</v>
      </c>
      <c r="F31" s="2" t="s">
        <v>93</v>
      </c>
      <c r="H31" s="86">
        <v>7.0000000000000001E-3</v>
      </c>
      <c r="W31" s="2" t="s">
        <v>179</v>
      </c>
    </row>
    <row r="32" spans="2:23" x14ac:dyDescent="0.2">
      <c r="B32" s="53"/>
    </row>
    <row r="33" spans="2:2" x14ac:dyDescent="0.2">
      <c r="B33" s="53"/>
    </row>
    <row r="34" spans="2:2" x14ac:dyDescent="0.2">
      <c r="B34" s="53"/>
    </row>
    <row r="35" spans="2:2" x14ac:dyDescent="0.2">
      <c r="B35" s="53"/>
    </row>
    <row r="36" spans="2:2" x14ac:dyDescent="0.2">
      <c r="B36" s="52"/>
    </row>
    <row r="37" spans="2:2" x14ac:dyDescent="0.2">
      <c r="B37" s="53"/>
    </row>
    <row r="38" spans="2:2" x14ac:dyDescent="0.2">
      <c r="B38" s="53"/>
    </row>
    <row r="39" spans="2:2" x14ac:dyDescent="0.2">
      <c r="B39" s="53"/>
    </row>
    <row r="40" spans="2:2" x14ac:dyDescent="0.2">
      <c r="B40" s="53"/>
    </row>
    <row r="41" spans="2:2" x14ac:dyDescent="0.2">
      <c r="B41" s="53"/>
    </row>
    <row r="42" spans="2:2" x14ac:dyDescent="0.2">
      <c r="B42" s="53"/>
    </row>
    <row r="43" spans="2:2" x14ac:dyDescent="0.2">
      <c r="B43" s="53"/>
    </row>
    <row r="44" spans="2:2" x14ac:dyDescent="0.2">
      <c r="B44" s="52"/>
    </row>
    <row r="45" spans="2:2" x14ac:dyDescent="0.2">
      <c r="B45" s="53"/>
    </row>
    <row r="46" spans="2:2" x14ac:dyDescent="0.2">
      <c r="B46" s="52"/>
    </row>
    <row r="47" spans="2:2" x14ac:dyDescent="0.2">
      <c r="B47" s="53"/>
    </row>
    <row r="48" spans="2:2" x14ac:dyDescent="0.2">
      <c r="B48" s="53"/>
    </row>
    <row r="49" spans="2:2" x14ac:dyDescent="0.2">
      <c r="B49" s="53"/>
    </row>
    <row r="50" spans="2:2" x14ac:dyDescent="0.2">
      <c r="B50" s="53"/>
    </row>
    <row r="51" spans="2:2" x14ac:dyDescent="0.2">
      <c r="B51" s="53"/>
    </row>
    <row r="52" spans="2:2" x14ac:dyDescent="0.2">
      <c r="B52" s="53"/>
    </row>
    <row r="53" spans="2:2" x14ac:dyDescent="0.2">
      <c r="B53" s="53"/>
    </row>
    <row r="54" spans="2:2" x14ac:dyDescent="0.2">
      <c r="B54" s="53"/>
    </row>
    <row r="55" spans="2:2" x14ac:dyDescent="0.2">
      <c r="B55" s="53"/>
    </row>
    <row r="56" spans="2:2" x14ac:dyDescent="0.2">
      <c r="B56" s="53"/>
    </row>
    <row r="57" spans="2:2" x14ac:dyDescent="0.2">
      <c r="B57" s="53"/>
    </row>
    <row r="58" spans="2:2" x14ac:dyDescent="0.2">
      <c r="B58" s="52"/>
    </row>
    <row r="59" spans="2:2" x14ac:dyDescent="0.2">
      <c r="B59" s="53"/>
    </row>
    <row r="60" spans="2:2" x14ac:dyDescent="0.2">
      <c r="B60" s="53"/>
    </row>
    <row r="61" spans="2:2" x14ac:dyDescent="0.2">
      <c r="B61" s="53"/>
    </row>
    <row r="62" spans="2:2" x14ac:dyDescent="0.2">
      <c r="B62" s="53"/>
    </row>
    <row r="63" spans="2:2" x14ac:dyDescent="0.2">
      <c r="B63" s="53"/>
    </row>
    <row r="64" spans="2:2" x14ac:dyDescent="0.2">
      <c r="B64" s="53"/>
    </row>
    <row r="65" spans="2:2" x14ac:dyDescent="0.2">
      <c r="B65" s="53"/>
    </row>
    <row r="66" spans="2:2" x14ac:dyDescent="0.2">
      <c r="B66" s="53"/>
    </row>
    <row r="67" spans="2:2" x14ac:dyDescent="0.2">
      <c r="B67" s="53"/>
    </row>
    <row r="68" spans="2:2" x14ac:dyDescent="0.2">
      <c r="B68" s="53"/>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showGridLines="0" zoomScale="85" zoomScaleNormal="85" workbookViewId="0"/>
  </sheetViews>
  <sheetFormatPr defaultRowHeight="12.75" x14ac:dyDescent="0.2"/>
  <cols>
    <col min="1" max="16384" width="9.140625" style="25"/>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X48"/>
  <sheetViews>
    <sheetView showGridLines="0" zoomScale="85" zoomScaleNormal="85" workbookViewId="0">
      <pane xSplit="6" ySplit="10" topLeftCell="G11" activePane="bottomRight" state="frozen"/>
      <selection activeCell="R6" sqref="R6"/>
      <selection pane="topRight" activeCell="R6" sqref="R6"/>
      <selection pane="bottomLeft" activeCell="R6" sqref="R6"/>
      <selection pane="bottomRight" activeCell="G11" sqref="G11"/>
    </sheetView>
  </sheetViews>
  <sheetFormatPr defaultRowHeight="12.75" x14ac:dyDescent="0.2"/>
  <cols>
    <col min="1" max="1" width="4.7109375" style="2" customWidth="1"/>
    <col min="2" max="2" width="78.28515625" style="2" bestFit="1" customWidth="1"/>
    <col min="3" max="3" width="4.7109375" style="2" customWidth="1"/>
    <col min="4" max="5" width="4.5703125" style="2" customWidth="1"/>
    <col min="6" max="6" width="13.7109375" style="2" customWidth="1"/>
    <col min="7" max="7" width="2.7109375" style="2" customWidth="1"/>
    <col min="8" max="8" width="15.7109375" style="2" customWidth="1"/>
    <col min="9" max="9" width="2.7109375" style="2" customWidth="1"/>
    <col min="10" max="10" width="18.7109375" style="2" customWidth="1"/>
    <col min="11" max="11" width="2.7109375" style="2" customWidth="1"/>
    <col min="12" max="18" width="15.7109375" style="50" customWidth="1"/>
    <col min="19" max="20" width="12.5703125" style="2" customWidth="1"/>
    <col min="21" max="23" width="2.7109375" style="2" customWidth="1"/>
    <col min="24" max="38" width="13.7109375" style="2" customWidth="1"/>
    <col min="39" max="16384" width="9.140625" style="2"/>
  </cols>
  <sheetData>
    <row r="2" spans="1:24" s="22" customFormat="1" ht="18" x14ac:dyDescent="0.2">
      <c r="B2" s="22" t="s">
        <v>104</v>
      </c>
      <c r="L2" s="54"/>
      <c r="M2" s="54"/>
      <c r="N2" s="54"/>
      <c r="O2" s="54"/>
      <c r="P2" s="54"/>
      <c r="Q2" s="54"/>
      <c r="R2" s="54"/>
    </row>
    <row r="4" spans="1:24" x14ac:dyDescent="0.2">
      <c r="B4" s="31" t="s">
        <v>52</v>
      </c>
      <c r="C4" s="1"/>
      <c r="D4" s="1"/>
    </row>
    <row r="5" spans="1:24" x14ac:dyDescent="0.2">
      <c r="B5" s="27" t="s">
        <v>109</v>
      </c>
      <c r="C5" s="3"/>
      <c r="D5" s="3"/>
      <c r="H5" s="23"/>
    </row>
    <row r="6" spans="1:24" x14ac:dyDescent="0.2">
      <c r="B6" s="27" t="s">
        <v>110</v>
      </c>
      <c r="C6" s="3"/>
      <c r="D6" s="3"/>
      <c r="H6" s="23"/>
    </row>
    <row r="7" spans="1:24" x14ac:dyDescent="0.2">
      <c r="B7" s="5"/>
      <c r="C7" s="3"/>
      <c r="D7" s="3"/>
    </row>
    <row r="9" spans="1:24" s="9" customFormat="1" x14ac:dyDescent="0.2">
      <c r="B9" s="9" t="s">
        <v>41</v>
      </c>
      <c r="F9" s="9" t="s">
        <v>24</v>
      </c>
      <c r="H9" s="9" t="s">
        <v>25</v>
      </c>
      <c r="J9" s="9" t="s">
        <v>44</v>
      </c>
      <c r="L9" s="56" t="s">
        <v>71</v>
      </c>
      <c r="M9" s="56" t="s">
        <v>72</v>
      </c>
      <c r="N9" s="56" t="s">
        <v>73</v>
      </c>
      <c r="O9" s="56" t="s">
        <v>74</v>
      </c>
      <c r="P9" s="56" t="s">
        <v>75</v>
      </c>
      <c r="Q9" s="56" t="s">
        <v>76</v>
      </c>
      <c r="R9" s="56" t="s">
        <v>77</v>
      </c>
      <c r="X9" s="9" t="s">
        <v>43</v>
      </c>
    </row>
    <row r="12" spans="1:24" s="9" customFormat="1" x14ac:dyDescent="0.2">
      <c r="B12" s="9" t="s">
        <v>113</v>
      </c>
      <c r="L12" s="56"/>
      <c r="M12" s="56"/>
      <c r="N12" s="56"/>
      <c r="O12" s="56"/>
      <c r="P12" s="56"/>
      <c r="Q12" s="56"/>
      <c r="R12" s="56"/>
    </row>
    <row r="13" spans="1:24" s="59" customFormat="1" x14ac:dyDescent="0.2">
      <c r="L13" s="60"/>
      <c r="M13" s="60"/>
      <c r="N13" s="60"/>
      <c r="O13" s="60"/>
      <c r="P13" s="60"/>
      <c r="Q13" s="60"/>
      <c r="R13" s="60"/>
    </row>
    <row r="14" spans="1:24" s="59" customFormat="1" x14ac:dyDescent="0.2">
      <c r="A14" s="10"/>
      <c r="B14" s="46" t="s">
        <v>111</v>
      </c>
      <c r="L14" s="60"/>
      <c r="M14" s="60"/>
      <c r="N14" s="60"/>
      <c r="O14" s="60"/>
      <c r="P14" s="60"/>
      <c r="Q14" s="60"/>
      <c r="R14" s="60"/>
    </row>
    <row r="15" spans="1:24" s="59" customFormat="1" x14ac:dyDescent="0.2">
      <c r="A15" s="10"/>
      <c r="B15" s="47" t="s">
        <v>78</v>
      </c>
      <c r="F15" s="47" t="s">
        <v>80</v>
      </c>
      <c r="J15" s="57">
        <f>SUM(L15:R15)</f>
        <v>432029321286.49268</v>
      </c>
      <c r="L15" s="58">
        <f>'Import data netverliezen'!L15</f>
        <v>10010922437.131861</v>
      </c>
      <c r="M15" s="58">
        <f>'Import data netverliezen'!M15</f>
        <v>10924260060.22508</v>
      </c>
      <c r="N15" s="58">
        <f>'Import data netverliezen'!N15</f>
        <v>160906422076.42328</v>
      </c>
      <c r="O15" s="58">
        <f>'Import data netverliezen'!O15</f>
        <v>134887069601.64662</v>
      </c>
      <c r="P15" s="58">
        <f>'Import data netverliezen'!P15</f>
        <v>7330089532.3645897</v>
      </c>
      <c r="Q15" s="58">
        <f>'Import data netverliezen'!Q15</f>
        <v>104329131269.9196</v>
      </c>
      <c r="R15" s="58">
        <f>'Import data netverliezen'!R15</f>
        <v>3641426308.7816691</v>
      </c>
    </row>
    <row r="16" spans="1:24" s="59" customFormat="1" x14ac:dyDescent="0.2">
      <c r="A16" s="10"/>
      <c r="B16" s="47" t="s">
        <v>79</v>
      </c>
      <c r="F16" s="47" t="s">
        <v>80</v>
      </c>
      <c r="J16" s="57">
        <f>SUM(L16:R16)</f>
        <v>229148337667</v>
      </c>
      <c r="L16" s="58">
        <f>'Import data netverliezen'!L16</f>
        <v>2120507590</v>
      </c>
      <c r="M16" s="58">
        <f>'Import data netverliezen'!M16</f>
        <v>4471660145</v>
      </c>
      <c r="N16" s="58">
        <f>'Import data netverliezen'!N16</f>
        <v>74516875238</v>
      </c>
      <c r="O16" s="58">
        <f>'Import data netverliezen'!O16</f>
        <v>57623500419</v>
      </c>
      <c r="P16" s="58">
        <f>'Import data netverliezen'!P16</f>
        <v>2398130743</v>
      </c>
      <c r="Q16" s="58">
        <f>'Import data netverliezen'!Q16</f>
        <v>51896023288</v>
      </c>
      <c r="R16" s="58">
        <f>'Import data netverliezen'!R16</f>
        <v>36121640244</v>
      </c>
    </row>
    <row r="17" spans="1:18" s="59" customFormat="1" x14ac:dyDescent="0.2">
      <c r="A17" s="10"/>
      <c r="B17" s="48"/>
      <c r="F17" s="64"/>
      <c r="J17" s="60"/>
      <c r="L17" s="60"/>
      <c r="M17" s="60"/>
      <c r="N17" s="60"/>
      <c r="O17" s="60"/>
      <c r="P17" s="60"/>
      <c r="Q17" s="60"/>
      <c r="R17" s="60"/>
    </row>
    <row r="18" spans="1:18" s="59" customFormat="1" x14ac:dyDescent="0.2">
      <c r="A18" s="10"/>
      <c r="B18" s="46" t="s">
        <v>112</v>
      </c>
      <c r="F18" s="63"/>
      <c r="J18" s="60"/>
      <c r="L18" s="60"/>
      <c r="M18" s="60"/>
      <c r="N18" s="60"/>
      <c r="O18" s="60"/>
      <c r="P18" s="60"/>
      <c r="Q18" s="60"/>
      <c r="R18" s="60"/>
    </row>
    <row r="19" spans="1:18" s="59" customFormat="1" x14ac:dyDescent="0.2">
      <c r="A19" s="10"/>
      <c r="B19" s="47" t="s">
        <v>78</v>
      </c>
      <c r="F19" s="47" t="s">
        <v>80</v>
      </c>
      <c r="J19" s="57">
        <f>SUM(L19:R19)</f>
        <v>450139824268.89899</v>
      </c>
      <c r="K19" s="60"/>
      <c r="L19" s="58">
        <f>'Import data netverliezen'!L19</f>
        <v>10597241574.301731</v>
      </c>
      <c r="M19" s="58">
        <f>'Import data netverliezen'!M19</f>
        <v>11251092446.158127</v>
      </c>
      <c r="N19" s="58">
        <f>'Import data netverliezen'!N19</f>
        <v>154068987873.90161</v>
      </c>
      <c r="O19" s="58">
        <f>'Import data netverliezen'!O19</f>
        <v>154999171754.80731</v>
      </c>
      <c r="P19" s="58">
        <f>'Import data netverliezen'!P19</f>
        <v>7538502493.4682274</v>
      </c>
      <c r="Q19" s="58">
        <f>'Import data netverliezen'!Q19</f>
        <v>107810301581.22597</v>
      </c>
      <c r="R19" s="58">
        <f>'Import data netverliezen'!R19</f>
        <v>3874526545.0359936</v>
      </c>
    </row>
    <row r="20" spans="1:18" s="59" customFormat="1" x14ac:dyDescent="0.2">
      <c r="A20" s="10"/>
      <c r="B20" s="47" t="s">
        <v>79</v>
      </c>
      <c r="F20" s="47" t="s">
        <v>80</v>
      </c>
      <c r="J20" s="57">
        <f>SUM(L20:R20)</f>
        <v>233655940070</v>
      </c>
      <c r="K20" s="60"/>
      <c r="L20" s="58">
        <f>'Import data netverliezen'!L20</f>
        <v>2241703724</v>
      </c>
      <c r="M20" s="58">
        <f>'Import data netverliezen'!M20</f>
        <v>5278438927</v>
      </c>
      <c r="N20" s="58">
        <f>'Import data netverliezen'!N20</f>
        <v>69289270656</v>
      </c>
      <c r="O20" s="58">
        <f>'Import data netverliezen'!O20</f>
        <v>65499119323</v>
      </c>
      <c r="P20" s="58">
        <f>'Import data netverliezen'!P20</f>
        <v>2520191486</v>
      </c>
      <c r="Q20" s="58">
        <f>'Import data netverliezen'!Q20</f>
        <v>52341842907</v>
      </c>
      <c r="R20" s="58">
        <f>'Import data netverliezen'!R20</f>
        <v>36485373047</v>
      </c>
    </row>
    <row r="21" spans="1:18" s="59" customFormat="1" x14ac:dyDescent="0.2">
      <c r="A21" s="10"/>
      <c r="B21" s="47"/>
      <c r="F21" s="61"/>
      <c r="J21" s="60"/>
      <c r="L21" s="60"/>
      <c r="M21" s="60"/>
      <c r="N21" s="60"/>
      <c r="O21" s="60"/>
      <c r="P21" s="60"/>
      <c r="Q21" s="60"/>
      <c r="R21" s="60"/>
    </row>
    <row r="22" spans="1:18" s="59" customFormat="1" x14ac:dyDescent="0.2">
      <c r="A22" s="10"/>
      <c r="B22" s="46" t="s">
        <v>159</v>
      </c>
      <c r="F22" s="62"/>
      <c r="J22" s="60"/>
      <c r="L22" s="60"/>
      <c r="M22" s="60"/>
      <c r="N22" s="60"/>
      <c r="O22" s="60"/>
      <c r="P22" s="60"/>
      <c r="Q22" s="60"/>
      <c r="R22" s="60"/>
    </row>
    <row r="23" spans="1:18" s="59" customFormat="1" x14ac:dyDescent="0.2">
      <c r="A23" s="10"/>
      <c r="B23" s="47" t="s">
        <v>78</v>
      </c>
      <c r="F23" s="47" t="s">
        <v>80</v>
      </c>
      <c r="J23" s="57">
        <f>SUM(L23:R23)</f>
        <v>435755643581.26282</v>
      </c>
      <c r="K23" s="60"/>
      <c r="L23" s="58">
        <f>'Import data netverliezen'!L23</f>
        <v>10341665458.664619</v>
      </c>
      <c r="M23" s="58">
        <f>'Import data netverliezen'!M23</f>
        <v>11200333909.22369</v>
      </c>
      <c r="N23" s="58">
        <f>'Import data netverliezen'!N23</f>
        <v>148892180381.54041</v>
      </c>
      <c r="O23" s="58">
        <f>'Import data netverliezen'!O23</f>
        <v>151069257280.01251</v>
      </c>
      <c r="P23" s="58">
        <f>'Import data netverliezen'!P23</f>
        <v>7330257697.5670252</v>
      </c>
      <c r="Q23" s="58">
        <f>'Import data netverliezen'!Q23</f>
        <v>102966867862.25459</v>
      </c>
      <c r="R23" s="58">
        <f>'Import data netverliezen'!R23</f>
        <v>3955080992.0000038</v>
      </c>
    </row>
    <row r="24" spans="1:18" s="59" customFormat="1" x14ac:dyDescent="0.2">
      <c r="A24" s="10"/>
      <c r="B24" s="47" t="s">
        <v>79</v>
      </c>
      <c r="F24" s="47" t="s">
        <v>80</v>
      </c>
      <c r="J24" s="57">
        <f>SUM(L24:R24)</f>
        <v>231002802561</v>
      </c>
      <c r="K24" s="60"/>
      <c r="L24" s="58">
        <f>'Import data netverliezen'!L24</f>
        <v>2243599134</v>
      </c>
      <c r="M24" s="58">
        <f>'Import data netverliezen'!M24</f>
        <v>3963940840</v>
      </c>
      <c r="N24" s="58">
        <f>'Import data netverliezen'!N24</f>
        <v>69374481056</v>
      </c>
      <c r="O24" s="58">
        <f>'Import data netverliezen'!O24</f>
        <v>65646095495</v>
      </c>
      <c r="P24" s="58">
        <f>'Import data netverliezen'!P24</f>
        <v>2448919770</v>
      </c>
      <c r="Q24" s="58">
        <f>'Import data netverliezen'!Q24</f>
        <v>50058186676</v>
      </c>
      <c r="R24" s="58">
        <f>'Import data netverliezen'!R24</f>
        <v>37267579590</v>
      </c>
    </row>
    <row r="25" spans="1:18" s="10" customFormat="1" x14ac:dyDescent="0.2">
      <c r="B25" s="75"/>
      <c r="F25" s="75"/>
      <c r="J25" s="50"/>
      <c r="K25" s="50"/>
      <c r="L25" s="50"/>
      <c r="M25" s="50"/>
      <c r="N25" s="50"/>
      <c r="O25" s="50"/>
      <c r="P25" s="50"/>
      <c r="Q25" s="50"/>
      <c r="R25" s="50"/>
    </row>
    <row r="26" spans="1:18" s="9" customFormat="1" x14ac:dyDescent="0.2">
      <c r="B26" s="9" t="s">
        <v>127</v>
      </c>
      <c r="L26" s="56"/>
      <c r="M26" s="56"/>
      <c r="N26" s="56"/>
      <c r="O26" s="56"/>
      <c r="P26" s="56"/>
      <c r="Q26" s="56"/>
      <c r="R26" s="56"/>
    </row>
    <row r="27" spans="1:18" s="10" customFormat="1" x14ac:dyDescent="0.2">
      <c r="B27" s="75"/>
      <c r="F27" s="75"/>
      <c r="J27" s="50"/>
      <c r="K27" s="50"/>
      <c r="L27" s="50"/>
      <c r="M27" s="50"/>
      <c r="N27" s="50"/>
      <c r="O27" s="50"/>
      <c r="P27" s="50"/>
      <c r="Q27" s="50"/>
      <c r="R27" s="50"/>
    </row>
    <row r="28" spans="1:18" s="59" customFormat="1" x14ac:dyDescent="0.2">
      <c r="A28" s="10"/>
      <c r="B28" s="71" t="s">
        <v>128</v>
      </c>
      <c r="F28" s="63" t="s">
        <v>94</v>
      </c>
      <c r="J28" s="57">
        <f>SUM(L28:R28)</f>
        <v>22382973.374950387</v>
      </c>
      <c r="L28" s="58">
        <f>'Import parameters'!L14</f>
        <v>468922.33627533709</v>
      </c>
      <c r="M28" s="58">
        <f>'Import parameters'!M14</f>
        <v>603938.88779902353</v>
      </c>
      <c r="N28" s="58">
        <f>'Import parameters'!N14</f>
        <v>7287448.7222530572</v>
      </c>
      <c r="O28" s="58">
        <f>'Import parameters'!O14</f>
        <v>7787861.7505840249</v>
      </c>
      <c r="P28" s="58">
        <f>'Import parameters'!P14</f>
        <v>338952.20358401537</v>
      </c>
      <c r="Q28" s="58">
        <f>'Import parameters'!Q14</f>
        <v>5732172.2473380528</v>
      </c>
      <c r="R28" s="58">
        <f>'Import parameters'!R14</f>
        <v>163677.22711687637</v>
      </c>
    </row>
    <row r="29" spans="1:18" s="59" customFormat="1" x14ac:dyDescent="0.2">
      <c r="A29" s="10"/>
      <c r="B29" s="71" t="s">
        <v>129</v>
      </c>
      <c r="F29" s="63" t="s">
        <v>94</v>
      </c>
      <c r="J29" s="57">
        <f>SUM(L29:R29)</f>
        <v>2099383.8731031376</v>
      </c>
      <c r="L29" s="58">
        <f>'Import parameters'!L17</f>
        <v>33043.846153846156</v>
      </c>
      <c r="M29" s="58">
        <f>'Import parameters'!M17</f>
        <v>38014.180481653377</v>
      </c>
      <c r="N29" s="58">
        <f>'Import parameters'!N17</f>
        <v>648030.76197751961</v>
      </c>
      <c r="O29" s="58">
        <f>'Import parameters'!O17</f>
        <v>697184.19553697307</v>
      </c>
      <c r="P29" s="58">
        <f>'Import parameters'!P17</f>
        <v>22604.45</v>
      </c>
      <c r="Q29" s="58">
        <f>'Import parameters'!Q17</f>
        <v>596051.19967434602</v>
      </c>
      <c r="R29" s="58">
        <f>'Import parameters'!R17</f>
        <v>64455.239278799389</v>
      </c>
    </row>
    <row r="30" spans="1:18" s="59" customFormat="1" x14ac:dyDescent="0.2">
      <c r="A30" s="10"/>
      <c r="B30" s="71" t="s">
        <v>131</v>
      </c>
      <c r="F30" s="63" t="s">
        <v>94</v>
      </c>
      <c r="J30" s="57">
        <f>SUM(L30:R30)</f>
        <v>24482357.248053525</v>
      </c>
      <c r="L30" s="57">
        <f>L28+L29</f>
        <v>501966.18242918327</v>
      </c>
      <c r="M30" s="57">
        <f t="shared" ref="M30:R30" si="0">M28+M29</f>
        <v>641953.06828067696</v>
      </c>
      <c r="N30" s="57">
        <f t="shared" si="0"/>
        <v>7935479.484230577</v>
      </c>
      <c r="O30" s="57">
        <f t="shared" si="0"/>
        <v>8485045.9461209979</v>
      </c>
      <c r="P30" s="57">
        <f t="shared" si="0"/>
        <v>361556.65358401538</v>
      </c>
      <c r="Q30" s="57">
        <f t="shared" si="0"/>
        <v>6328223.4470123984</v>
      </c>
      <c r="R30" s="57">
        <f t="shared" si="0"/>
        <v>228132.46639567576</v>
      </c>
    </row>
    <row r="31" spans="1:18" s="10" customFormat="1" x14ac:dyDescent="0.2">
      <c r="B31" s="75"/>
      <c r="F31" s="75"/>
      <c r="J31" s="50"/>
      <c r="K31" s="50"/>
      <c r="L31" s="50"/>
      <c r="M31" s="50"/>
      <c r="N31" s="50"/>
      <c r="O31" s="50"/>
      <c r="P31" s="50"/>
      <c r="Q31" s="50"/>
      <c r="R31" s="50"/>
    </row>
    <row r="32" spans="1:18" s="10" customFormat="1" x14ac:dyDescent="0.2">
      <c r="B32" s="71" t="s">
        <v>130</v>
      </c>
      <c r="C32" s="59"/>
      <c r="D32" s="59"/>
      <c r="E32" s="59"/>
      <c r="F32" s="63" t="s">
        <v>94</v>
      </c>
      <c r="G32" s="59"/>
      <c r="H32" s="59"/>
      <c r="I32" s="59"/>
      <c r="J32" s="57">
        <f>SUM(L32:R32)</f>
        <v>2647864.7700252621</v>
      </c>
      <c r="K32" s="59"/>
      <c r="L32" s="58">
        <f>'Import parameters'!L20</f>
        <v>30353.888888888891</v>
      </c>
      <c r="M32" s="58">
        <f>'Import parameters'!M20</f>
        <v>61598.932630791096</v>
      </c>
      <c r="N32" s="58">
        <f>'Import parameters'!N20</f>
        <v>806960.16923215485</v>
      </c>
      <c r="O32" s="58">
        <f>'Import parameters'!O20</f>
        <v>767140.4862402369</v>
      </c>
      <c r="P32" s="58">
        <f>'Import parameters'!P20</f>
        <v>29008.166666666668</v>
      </c>
      <c r="Q32" s="58">
        <f>'Import parameters'!Q20</f>
        <v>640093.17812121205</v>
      </c>
      <c r="R32" s="58">
        <f>'Import parameters'!R20</f>
        <v>312709.94824531168</v>
      </c>
    </row>
    <row r="33" spans="2:18" s="10" customFormat="1" x14ac:dyDescent="0.2">
      <c r="B33" s="75"/>
      <c r="F33" s="75"/>
      <c r="J33" s="50"/>
      <c r="K33" s="50"/>
      <c r="L33" s="50"/>
      <c r="M33" s="50"/>
      <c r="N33" s="50"/>
      <c r="O33" s="50"/>
      <c r="P33" s="50"/>
      <c r="Q33" s="50"/>
      <c r="R33" s="50"/>
    </row>
    <row r="34" spans="2:18" s="59" customFormat="1" x14ac:dyDescent="0.2">
      <c r="B34" s="62"/>
      <c r="F34" s="62"/>
      <c r="J34" s="60"/>
      <c r="L34" s="60"/>
      <c r="M34" s="60"/>
      <c r="N34" s="60"/>
      <c r="O34" s="60"/>
      <c r="P34" s="60"/>
      <c r="Q34" s="60"/>
      <c r="R34" s="60"/>
    </row>
    <row r="35" spans="2:18" s="9" customFormat="1" x14ac:dyDescent="0.2">
      <c r="B35" s="77" t="s">
        <v>116</v>
      </c>
      <c r="L35" s="56"/>
      <c r="M35" s="56"/>
      <c r="N35" s="56"/>
      <c r="O35" s="56"/>
      <c r="P35" s="56"/>
      <c r="Q35" s="56"/>
      <c r="R35" s="56"/>
    </row>
    <row r="37" spans="2:18" x14ac:dyDescent="0.2">
      <c r="B37" s="1" t="s">
        <v>170</v>
      </c>
    </row>
    <row r="38" spans="2:18" x14ac:dyDescent="0.2">
      <c r="B38" s="47" t="s">
        <v>95</v>
      </c>
      <c r="F38" s="47" t="s">
        <v>80</v>
      </c>
      <c r="J38" s="66">
        <f>J15+J19+J23</f>
        <v>1317924789136.6543</v>
      </c>
    </row>
    <row r="39" spans="2:18" x14ac:dyDescent="0.2">
      <c r="B39" s="47" t="s">
        <v>96</v>
      </c>
      <c r="F39" s="47" t="s">
        <v>80</v>
      </c>
      <c r="J39" s="66">
        <f>J16+J20+J24</f>
        <v>693807080298</v>
      </c>
    </row>
    <row r="40" spans="2:18" x14ac:dyDescent="0.2">
      <c r="B40" s="47" t="s">
        <v>97</v>
      </c>
      <c r="F40" s="47" t="s">
        <v>80</v>
      </c>
      <c r="J40" s="66">
        <f>J38+J39</f>
        <v>2011731869434.6543</v>
      </c>
      <c r="L40" s="76"/>
    </row>
    <row r="41" spans="2:18" x14ac:dyDescent="0.2">
      <c r="B41" s="48"/>
    </row>
    <row r="42" spans="2:18" x14ac:dyDescent="0.2">
      <c r="B42" s="47" t="s">
        <v>98</v>
      </c>
      <c r="F42" s="2" t="s">
        <v>93</v>
      </c>
      <c r="J42" s="67">
        <f>J38/J40</f>
        <v>0.65511950631225191</v>
      </c>
    </row>
    <row r="43" spans="2:18" x14ac:dyDescent="0.2">
      <c r="B43" s="47" t="s">
        <v>99</v>
      </c>
      <c r="F43" s="2" t="s">
        <v>93</v>
      </c>
      <c r="J43" s="67">
        <f>J39/J40</f>
        <v>0.34488049368774809</v>
      </c>
    </row>
    <row r="45" spans="2:18" x14ac:dyDescent="0.2">
      <c r="B45" s="2" t="s">
        <v>114</v>
      </c>
      <c r="F45" s="63" t="s">
        <v>94</v>
      </c>
      <c r="J45" s="65">
        <f>J30</f>
        <v>24482357.248053525</v>
      </c>
    </row>
    <row r="46" spans="2:18" x14ac:dyDescent="0.2">
      <c r="B46" s="2" t="s">
        <v>115</v>
      </c>
      <c r="F46" s="63" t="s">
        <v>94</v>
      </c>
      <c r="J46" s="65">
        <f>J32</f>
        <v>2647864.7700252621</v>
      </c>
    </row>
    <row r="48" spans="2:18" x14ac:dyDescent="0.2">
      <c r="B48" s="72" t="s">
        <v>92</v>
      </c>
      <c r="F48" s="63" t="s">
        <v>94</v>
      </c>
      <c r="J48" s="78">
        <f>(J43/J46)/(J42/J45)</f>
        <v>4.8674951813932408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20B76403CB6F24694D915B3C168C0E6" ma:contentTypeVersion="0" ma:contentTypeDescription="Een nieuw document maken." ma:contentTypeScope="" ma:versionID="bf02a18621bcb6325d2ad5de47f96fac">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2.xml><?xml version="1.0" encoding="utf-8"?>
<ds:datastoreItem xmlns:ds="http://schemas.openxmlformats.org/officeDocument/2006/customXml" ds:itemID="{61BDC70D-3516-47CA-A74A-26D77D0F6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CDAB9D1-B815-4B0E-93E7-4496A7FE99F6}">
  <ds:schemaRefs>
    <ds:schemaRef ds:uri="http://purl.org/dc/elements/1.1/"/>
    <ds:schemaRef ds:uri="http://purl.org/dc/terms/"/>
    <ds:schemaRef ds:uri="http://schemas.microsoft.com/office/infopath/2007/PartnerControls"/>
    <ds:schemaRef ds:uri="http://purl.org/dc/dcmitype/"/>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Titelblad</vt:lpstr>
      <vt:lpstr>Toelichting</vt:lpstr>
      <vt:lpstr>Bronnen en toepassingen</vt:lpstr>
      <vt:lpstr>Resultaat</vt:lpstr>
      <vt:lpstr>Input --&gt;</vt:lpstr>
      <vt:lpstr>Import data netverliezen</vt:lpstr>
      <vt:lpstr>Import parameters</vt:lpstr>
      <vt:lpstr>Berekeningen --&gt;</vt:lpstr>
      <vt:lpstr>Berekening factor</vt:lpstr>
      <vt:lpstr>Berekening kosten netverliezen</vt:lpstr>
      <vt:lpstr>Berekening kosten per RNB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2020-11-12T09:26:31Z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0x010100E20B76403CB6F24694D915B3C168C0E6</vt:lpwstr>
  </property>
</Properties>
</file>