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05" windowWidth="19980" windowHeight="7560"/>
  </bookViews>
  <sheets>
    <sheet name="Tab 1_Titelblad" sheetId="9" r:id="rId1"/>
    <sheet name="Tab 2_Toelichting" sheetId="10" r:id="rId2"/>
    <sheet name="Tab 3_Bronnen en toepassingen" sheetId="11" r:id="rId3"/>
    <sheet name="Resultaat --&gt;" sheetId="60" r:id="rId4"/>
    <sheet name="Tab 4_Totale inkomsten 2021" sheetId="25" r:id="rId5"/>
    <sheet name="Tab 5_Tarieven en RV 2021" sheetId="49" r:id="rId6"/>
    <sheet name="Input (Dataverzoek TenneT) --&gt;" sheetId="13" r:id="rId7"/>
    <sheet name="Tab 6_Correcties en prognoses" sheetId="31" r:id="rId8"/>
    <sheet name="Tab 7_Toevoeging kosten RCR" sheetId="33" r:id="rId9"/>
    <sheet name="Tab 8_Voorstel tarieven en RV" sheetId="45" r:id="rId10"/>
    <sheet name="Input (Data door ACM) --&gt;" sheetId="59" r:id="rId11"/>
    <sheet name="Tab 9_Parameters" sheetId="52" r:id="rId12"/>
    <sheet name="Tab 10_Brondata" sheetId="32" r:id="rId13"/>
    <sheet name="Tab 11_Tarieven, RV en omzet" sheetId="47" r:id="rId14"/>
    <sheet name="Berekeningen --&gt;" sheetId="15" r:id="rId15"/>
    <sheet name="Tab 12_Berekening parameters" sheetId="53" r:id="rId16"/>
    <sheet name="Tab 13_Wettelijke formule" sheetId="54" r:id="rId17"/>
    <sheet name="Tab 14_Budget systeemtaken" sheetId="29" r:id="rId18"/>
    <sheet name="Tab 15_Nacalculatie IKE&amp;V" sheetId="63" r:id="rId19"/>
    <sheet name="Tab 16_Prognoses IKTNN" sheetId="55" r:id="rId20"/>
    <sheet name="Tab 17_Correcties OA&amp;M en IKTNN" sheetId="37" r:id="rId21"/>
    <sheet name="Tab 18_Overige correcties" sheetId="51" r:id="rId22"/>
    <sheet name="Tab 19_Omzetcorrectie" sheetId="40" r:id="rId23"/>
    <sheet name="Tab 20_ Inzet veilinggelden" sheetId="46" r:id="rId24"/>
    <sheet name="Tab 21_Controle rekenvolumina" sheetId="61" r:id="rId25"/>
    <sheet name="Tab 22_Controle tarieven" sheetId="44" r:id="rId26"/>
  </sheets>
  <definedNames>
    <definedName name="_xlnm.Print_Area" localSheetId="15">'Tab 12_Berekening parameters'!$A$1:$X$78</definedName>
    <definedName name="_xlnm.Print_Area" localSheetId="24">'Tab 21_Controle rekenvolumina'!$A$1:$P$44</definedName>
  </definedNames>
  <calcPr calcId="145621"/>
</workbook>
</file>

<file path=xl/calcChain.xml><?xml version="1.0" encoding="utf-8"?>
<calcChain xmlns="http://schemas.openxmlformats.org/spreadsheetml/2006/main">
  <c r="J28" i="25" l="1"/>
  <c r="K27" i="25"/>
  <c r="K25" i="25"/>
  <c r="J25" i="25"/>
  <c r="K24" i="25"/>
  <c r="J24" i="25"/>
  <c r="K22" i="25"/>
  <c r="J22" i="25"/>
  <c r="V84" i="29" l="1"/>
  <c r="M36" i="37" l="1"/>
  <c r="V154" i="63"/>
  <c r="U31" i="29"/>
  <c r="H21" i="29"/>
  <c r="V28" i="29"/>
  <c r="V53" i="29"/>
  <c r="T54" i="29"/>
  <c r="T55" i="29"/>
  <c r="T56" i="29"/>
  <c r="T82" i="29" l="1"/>
  <c r="K36" i="25" l="1"/>
  <c r="U37" i="51" l="1"/>
  <c r="U38" i="51"/>
  <c r="H43" i="25"/>
  <c r="U40" i="51" l="1"/>
  <c r="J38" i="25"/>
  <c r="K38" i="25"/>
  <c r="J36" i="25"/>
  <c r="K35" i="25"/>
  <c r="J35" i="25"/>
  <c r="T22" i="46"/>
  <c r="T33" i="51"/>
  <c r="T31" i="51"/>
  <c r="T28" i="51"/>
  <c r="M22" i="37"/>
  <c r="M19" i="37"/>
  <c r="L19" i="37"/>
  <c r="V37" i="29"/>
  <c r="H34" i="29"/>
  <c r="V45" i="29"/>
  <c r="U48" i="29"/>
  <c r="U49" i="29"/>
  <c r="U50" i="29"/>
  <c r="H36" i="25" l="1"/>
  <c r="V21" i="53" l="1"/>
  <c r="V20" i="53"/>
  <c r="U22" i="53"/>
  <c r="U23" i="53"/>
  <c r="V50" i="53" l="1"/>
  <c r="L20" i="40"/>
  <c r="V62" i="53" l="1"/>
  <c r="H25" i="51" s="1"/>
  <c r="W25" i="29"/>
  <c r="W28" i="29"/>
  <c r="U73" i="29" s="1"/>
  <c r="U20" i="46" l="1"/>
  <c r="B77" i="10" l="1"/>
  <c r="B65" i="10"/>
  <c r="B66" i="10" s="1"/>
  <c r="B67" i="10" l="1"/>
  <c r="B71" i="10" s="1"/>
  <c r="B72" i="10"/>
  <c r="H29" i="63" l="1"/>
  <c r="U21" i="53" l="1"/>
  <c r="U20" i="53"/>
  <c r="T22" i="53"/>
  <c r="T23" i="53"/>
  <c r="H64" i="53" l="1"/>
  <c r="U50" i="53"/>
  <c r="U61" i="53" s="1"/>
  <c r="S31" i="51" l="1"/>
  <c r="S28" i="51"/>
  <c r="S22" i="46"/>
  <c r="V61" i="53" l="1"/>
  <c r="P25" i="61"/>
  <c r="O25" i="61"/>
  <c r="N25" i="61"/>
  <c r="M25" i="61"/>
  <c r="L25" i="61"/>
  <c r="P24" i="61"/>
  <c r="O24" i="61"/>
  <c r="N24" i="61"/>
  <c r="M24" i="61"/>
  <c r="L24" i="61"/>
  <c r="P23" i="61"/>
  <c r="O23" i="61"/>
  <c r="N23" i="61"/>
  <c r="M23" i="61"/>
  <c r="L23" i="61"/>
  <c r="P22" i="61"/>
  <c r="O22" i="61"/>
  <c r="N22" i="61"/>
  <c r="M22" i="61"/>
  <c r="L22" i="61"/>
  <c r="P19" i="61"/>
  <c r="O19" i="61"/>
  <c r="N19" i="61"/>
  <c r="M19" i="61"/>
  <c r="L19" i="61"/>
  <c r="P18" i="61"/>
  <c r="O18" i="61"/>
  <c r="N18" i="61"/>
  <c r="M18" i="61"/>
  <c r="L18" i="61"/>
  <c r="P17" i="61"/>
  <c r="O17" i="61"/>
  <c r="N17" i="61"/>
  <c r="M17" i="61"/>
  <c r="L17" i="61"/>
  <c r="P16" i="61"/>
  <c r="O16" i="61"/>
  <c r="N16" i="61"/>
  <c r="M16" i="61"/>
  <c r="L16" i="61"/>
  <c r="H36" i="61" l="1"/>
  <c r="H24" i="51"/>
  <c r="H16" i="37"/>
  <c r="M32" i="37" s="1"/>
  <c r="H26" i="63"/>
  <c r="J41" i="25" s="1"/>
  <c r="N31" i="61"/>
  <c r="O30" i="61"/>
  <c r="M30" i="61"/>
  <c r="H40" i="61"/>
  <c r="O31" i="61"/>
  <c r="L31" i="61"/>
  <c r="P31" i="61"/>
  <c r="M31" i="61"/>
  <c r="H37" i="61"/>
  <c r="N30" i="61"/>
  <c r="L30" i="61"/>
  <c r="P30" i="61"/>
  <c r="H41" i="61"/>
  <c r="H42" i="61" l="1"/>
  <c r="H33" i="61"/>
  <c r="F14" i="45" s="1"/>
  <c r="H38" i="61"/>
  <c r="H44" i="61" l="1"/>
  <c r="H45" i="61" s="1"/>
  <c r="H48" i="61" s="1"/>
  <c r="F14" i="49" s="1"/>
  <c r="L50" i="61" l="1"/>
  <c r="L14" i="44" s="1"/>
  <c r="O50" i="61"/>
  <c r="O14" i="44" s="1"/>
  <c r="N50" i="61"/>
  <c r="N14" i="44" s="1"/>
  <c r="M51" i="61"/>
  <c r="M18" i="44" s="1"/>
  <c r="O51" i="61"/>
  <c r="O18" i="44" s="1"/>
  <c r="M50" i="61"/>
  <c r="M14" i="44" s="1"/>
  <c r="L51" i="61"/>
  <c r="L18" i="44" s="1"/>
  <c r="N51" i="61"/>
  <c r="N18" i="44" s="1"/>
  <c r="P50" i="61"/>
  <c r="P14" i="44" s="1"/>
  <c r="P51" i="61"/>
  <c r="P18" i="44" s="1"/>
  <c r="M27" i="49" l="1"/>
  <c r="N23" i="49"/>
  <c r="O23" i="49"/>
  <c r="N27" i="49"/>
  <c r="L27" i="49"/>
  <c r="P27" i="49"/>
  <c r="M23" i="49"/>
  <c r="P23" i="49"/>
  <c r="O27" i="49"/>
  <c r="L23" i="49"/>
  <c r="T37" i="51"/>
  <c r="T38" i="51"/>
  <c r="T21" i="53" l="1"/>
  <c r="T20" i="53"/>
  <c r="U17" i="53" l="1"/>
  <c r="V17" i="53"/>
  <c r="V44" i="53" s="1"/>
  <c r="W19" i="29" l="1"/>
  <c r="W60" i="29" s="1"/>
  <c r="V19" i="63"/>
  <c r="U19" i="63"/>
  <c r="U43" i="53"/>
  <c r="V43" i="53" s="1"/>
  <c r="H22" i="29" s="1"/>
  <c r="H24" i="46"/>
  <c r="T36" i="46" s="1"/>
  <c r="U18" i="46"/>
  <c r="U34" i="46" s="1"/>
  <c r="T18" i="46"/>
  <c r="T32" i="46" s="1"/>
  <c r="S18" i="46"/>
  <c r="S30" i="46" s="1"/>
  <c r="S36" i="46" l="1"/>
  <c r="S34" i="46"/>
  <c r="H60" i="52"/>
  <c r="M36" i="51" l="1"/>
  <c r="N36" i="51"/>
  <c r="O36" i="51"/>
  <c r="R22" i="46" l="1"/>
  <c r="R36" i="46" l="1"/>
  <c r="R32" i="46"/>
  <c r="R34" i="46"/>
  <c r="H27" i="53"/>
  <c r="H26" i="53"/>
  <c r="Q73" i="53" s="1"/>
  <c r="H17" i="54"/>
  <c r="V78" i="53" l="1"/>
  <c r="W31" i="29" s="1"/>
  <c r="R73" i="53"/>
  <c r="S73" i="53" s="1"/>
  <c r="T73" i="53" s="1"/>
  <c r="U73" i="53" s="1"/>
  <c r="V73" i="53" s="1"/>
  <c r="P72" i="53"/>
  <c r="S75" i="53"/>
  <c r="T76" i="53"/>
  <c r="U77" i="53"/>
  <c r="R74" i="53"/>
  <c r="V20" i="46"/>
  <c r="V36" i="46" s="1"/>
  <c r="J36" i="46" s="1"/>
  <c r="J54" i="25" s="1"/>
  <c r="R18" i="46"/>
  <c r="R28" i="46" s="1"/>
  <c r="H31" i="40"/>
  <c r="H30" i="40"/>
  <c r="H24" i="40"/>
  <c r="H23" i="40"/>
  <c r="S74" i="53" l="1"/>
  <c r="T74" i="53" s="1"/>
  <c r="U74" i="53" s="1"/>
  <c r="V74" i="53" s="1"/>
  <c r="Q72" i="53"/>
  <c r="R72" i="53" s="1"/>
  <c r="S72" i="53" s="1"/>
  <c r="T72" i="53" s="1"/>
  <c r="U72" i="53" s="1"/>
  <c r="V72" i="53" s="1"/>
  <c r="V77" i="53"/>
  <c r="V31" i="29"/>
  <c r="U76" i="53"/>
  <c r="V76" i="53" s="1"/>
  <c r="T75" i="53"/>
  <c r="U75" i="53" s="1"/>
  <c r="V75" i="53" s="1"/>
  <c r="H36" i="40"/>
  <c r="H35" i="40"/>
  <c r="W74" i="29" l="1"/>
  <c r="V83" i="29"/>
  <c r="W85" i="29" s="1"/>
  <c r="J39" i="25" s="1"/>
  <c r="H39" i="25" s="1"/>
  <c r="L29" i="55"/>
  <c r="L28" i="55"/>
  <c r="L27" i="55"/>
  <c r="M24" i="55"/>
  <c r="M23" i="55"/>
  <c r="M22" i="55"/>
  <c r="W78" i="29" l="1"/>
  <c r="J26" i="25" s="1"/>
  <c r="S15" i="54"/>
  <c r="T15" i="54"/>
  <c r="U15" i="54"/>
  <c r="V15" i="54"/>
  <c r="Q23" i="54"/>
  <c r="Q22" i="54"/>
  <c r="Q21" i="54"/>
  <c r="Q20" i="54"/>
  <c r="Q24" i="54"/>
  <c r="R15" i="54"/>
  <c r="R31" i="54" l="1"/>
  <c r="R32" i="54"/>
  <c r="R33" i="54"/>
  <c r="R30" i="54"/>
  <c r="R29" i="54"/>
  <c r="S30" i="54" l="1"/>
  <c r="S33" i="54"/>
  <c r="S32" i="54"/>
  <c r="S29" i="54"/>
  <c r="S31" i="54"/>
  <c r="M28" i="40"/>
  <c r="N28" i="40"/>
  <c r="O28" i="40"/>
  <c r="P28" i="40"/>
  <c r="L28" i="40"/>
  <c r="M21" i="40"/>
  <c r="N21" i="40"/>
  <c r="O21" i="40"/>
  <c r="P21" i="40"/>
  <c r="L21" i="40"/>
  <c r="T29" i="54" l="1"/>
  <c r="T33" i="54"/>
  <c r="T31" i="54"/>
  <c r="T32" i="54"/>
  <c r="T30" i="54"/>
  <c r="H29" i="44"/>
  <c r="H28" i="44"/>
  <c r="H25" i="44"/>
  <c r="H24" i="44"/>
  <c r="U32" i="54" l="1"/>
  <c r="U33" i="54"/>
  <c r="U30" i="54"/>
  <c r="U31" i="54"/>
  <c r="U29" i="54"/>
  <c r="V29" i="54" s="1"/>
  <c r="V30" i="54" l="1"/>
  <c r="V32" i="54"/>
  <c r="V31" i="54"/>
  <c r="V33" i="54"/>
  <c r="L21" i="53"/>
  <c r="M21" i="53"/>
  <c r="N21" i="53"/>
  <c r="O21" i="53"/>
  <c r="P21" i="53"/>
  <c r="Q21" i="53"/>
  <c r="R21" i="53"/>
  <c r="S21" i="53"/>
  <c r="L22" i="53"/>
  <c r="M22" i="53"/>
  <c r="N22" i="53"/>
  <c r="O22" i="53"/>
  <c r="P22" i="53"/>
  <c r="Q22" i="53"/>
  <c r="R22" i="53"/>
  <c r="S22" i="53"/>
  <c r="L23" i="53"/>
  <c r="M23" i="53"/>
  <c r="N23" i="53"/>
  <c r="O23" i="53"/>
  <c r="P23" i="53"/>
  <c r="Q23" i="53"/>
  <c r="R23" i="53"/>
  <c r="S23" i="53"/>
  <c r="M20" i="53"/>
  <c r="N20" i="53"/>
  <c r="O20" i="53"/>
  <c r="P20" i="53"/>
  <c r="Q20" i="53"/>
  <c r="R20" i="53"/>
  <c r="S20" i="53"/>
  <c r="L20" i="53"/>
  <c r="H22" i="25" l="1"/>
  <c r="H17" i="40"/>
  <c r="T50" i="53"/>
  <c r="M17" i="53"/>
  <c r="N17" i="53"/>
  <c r="O17" i="53"/>
  <c r="P17" i="53"/>
  <c r="Q17" i="53"/>
  <c r="R17" i="53"/>
  <c r="S17" i="53"/>
  <c r="T17" i="53"/>
  <c r="L17" i="53"/>
  <c r="V69" i="53"/>
  <c r="U69" i="53"/>
  <c r="T69" i="53"/>
  <c r="S69" i="53"/>
  <c r="R69" i="53"/>
  <c r="Q69" i="53"/>
  <c r="P69" i="53"/>
  <c r="O69" i="53"/>
  <c r="T49" i="53"/>
  <c r="S49" i="53"/>
  <c r="R49" i="53"/>
  <c r="Q49" i="53"/>
  <c r="P49" i="53"/>
  <c r="O49" i="53"/>
  <c r="N49" i="53"/>
  <c r="M49" i="53"/>
  <c r="S32" i="53"/>
  <c r="R32" i="53"/>
  <c r="Q32" i="53"/>
  <c r="P32" i="53"/>
  <c r="O32" i="53"/>
  <c r="N32" i="53"/>
  <c r="M32" i="53"/>
  <c r="L32" i="53"/>
  <c r="O71" i="53"/>
  <c r="Q50" i="53"/>
  <c r="P50" i="53"/>
  <c r="M50" i="53"/>
  <c r="M53" i="53" l="1"/>
  <c r="L34" i="53"/>
  <c r="Q39" i="53"/>
  <c r="H23" i="63" s="1"/>
  <c r="M35" i="53"/>
  <c r="N35" i="53" s="1"/>
  <c r="P56" i="53"/>
  <c r="Q56" i="53" s="1"/>
  <c r="T19" i="63"/>
  <c r="P38" i="53"/>
  <c r="Q38" i="53" s="1"/>
  <c r="T60" i="53"/>
  <c r="Q57" i="53"/>
  <c r="S19" i="63"/>
  <c r="O37" i="53"/>
  <c r="P37" i="53" s="1"/>
  <c r="Q37" i="53" s="1"/>
  <c r="P71" i="53"/>
  <c r="Q71" i="53" s="1"/>
  <c r="R71" i="53" s="1"/>
  <c r="S71" i="53" s="1"/>
  <c r="T71" i="53" s="1"/>
  <c r="U71" i="53" s="1"/>
  <c r="V71" i="53" s="1"/>
  <c r="R40" i="53"/>
  <c r="S40" i="53" s="1"/>
  <c r="R19" i="63"/>
  <c r="N36" i="53"/>
  <c r="O36" i="53" s="1"/>
  <c r="P36" i="53" s="1"/>
  <c r="Q36" i="53" s="1"/>
  <c r="R36" i="53" s="1"/>
  <c r="S36" i="53" s="1"/>
  <c r="T36" i="53" s="1"/>
  <c r="U36" i="53" s="1"/>
  <c r="V36" i="53" s="1"/>
  <c r="S41" i="53"/>
  <c r="T41" i="53" s="1"/>
  <c r="T42" i="53"/>
  <c r="O50" i="53"/>
  <c r="S50" i="53"/>
  <c r="N50" i="53"/>
  <c r="R50" i="53"/>
  <c r="H23" i="25"/>
  <c r="O35" i="53" l="1"/>
  <c r="P35" i="53" s="1"/>
  <c r="Q35" i="53" s="1"/>
  <c r="R35" i="53" s="1"/>
  <c r="S35" i="53" s="1"/>
  <c r="T35" i="53" s="1"/>
  <c r="U35" i="53" s="1"/>
  <c r="V35" i="53" s="1"/>
  <c r="U42" i="53"/>
  <c r="V42" i="53" s="1"/>
  <c r="M34" i="53"/>
  <c r="N34" i="53" s="1"/>
  <c r="O34" i="53" s="1"/>
  <c r="P34" i="53" s="1"/>
  <c r="Q34" i="53" s="1"/>
  <c r="R34" i="53" s="1"/>
  <c r="S34" i="53" s="1"/>
  <c r="T34" i="53" s="1"/>
  <c r="U34" i="53" s="1"/>
  <c r="V34" i="53" s="1"/>
  <c r="U60" i="53"/>
  <c r="V60" i="53" s="1"/>
  <c r="H23" i="51" s="1"/>
  <c r="R39" i="53"/>
  <c r="R37" i="53"/>
  <c r="S37" i="53" s="1"/>
  <c r="T37" i="53" s="1"/>
  <c r="U37" i="53" s="1"/>
  <c r="H21" i="63"/>
  <c r="S59" i="53"/>
  <c r="T59" i="53" s="1"/>
  <c r="U59" i="53" s="1"/>
  <c r="T40" i="53"/>
  <c r="U40" i="53" s="1"/>
  <c r="V40" i="53" s="1"/>
  <c r="O55" i="53"/>
  <c r="P55" i="53" s="1"/>
  <c r="Q55" i="53" s="1"/>
  <c r="R55" i="53" s="1"/>
  <c r="S55" i="53" s="1"/>
  <c r="T55" i="53" s="1"/>
  <c r="R58" i="53"/>
  <c r="S58" i="53" s="1"/>
  <c r="T58" i="53" s="1"/>
  <c r="R38" i="53"/>
  <c r="S38" i="53" s="1"/>
  <c r="T38" i="53" s="1"/>
  <c r="U38" i="53" s="1"/>
  <c r="H22" i="63"/>
  <c r="N54" i="53"/>
  <c r="O54" i="53" s="1"/>
  <c r="P54" i="53" s="1"/>
  <c r="Q54" i="53" s="1"/>
  <c r="R54" i="53" s="1"/>
  <c r="S54" i="53" s="1"/>
  <c r="T54" i="53" s="1"/>
  <c r="U41" i="53"/>
  <c r="V41" i="53" s="1"/>
  <c r="R56" i="53"/>
  <c r="S56" i="53" s="1"/>
  <c r="T56" i="53" s="1"/>
  <c r="R57" i="53"/>
  <c r="S57" i="53" s="1"/>
  <c r="T57" i="53" s="1"/>
  <c r="N53" i="53"/>
  <c r="O53" i="53" s="1"/>
  <c r="P53" i="53" s="1"/>
  <c r="Q53" i="53" s="1"/>
  <c r="R53" i="53" s="1"/>
  <c r="S53" i="53" s="1"/>
  <c r="T53" i="53" s="1"/>
  <c r="V37" i="53" l="1"/>
  <c r="H17" i="55" s="1"/>
  <c r="V59" i="53"/>
  <c r="H22" i="51" s="1"/>
  <c r="S39" i="53"/>
  <c r="T39" i="53" s="1"/>
  <c r="U39" i="53" s="1"/>
  <c r="V38" i="53"/>
  <c r="H18" i="55" s="1"/>
  <c r="U58" i="53"/>
  <c r="V58" i="53" s="1"/>
  <c r="H21" i="51" s="1"/>
  <c r="U53" i="53"/>
  <c r="U57" i="53"/>
  <c r="V57" i="53" s="1"/>
  <c r="H20" i="51" s="1"/>
  <c r="U54" i="53"/>
  <c r="U56" i="53"/>
  <c r="V56" i="53" s="1"/>
  <c r="H19" i="51" s="1"/>
  <c r="U55" i="53"/>
  <c r="V55" i="53" s="1"/>
  <c r="H18" i="51" s="1"/>
  <c r="V53" i="53" l="1"/>
  <c r="H16" i="51" s="1"/>
  <c r="V54" i="53"/>
  <c r="H17" i="51" s="1"/>
  <c r="V39" i="53"/>
  <c r="H19" i="55" s="1"/>
  <c r="M33" i="55" s="1"/>
  <c r="H38" i="25"/>
  <c r="M31" i="51"/>
  <c r="N31" i="51"/>
  <c r="O31" i="51"/>
  <c r="P31" i="51"/>
  <c r="Q31" i="51"/>
  <c r="R31" i="51"/>
  <c r="L31" i="51"/>
  <c r="M28" i="51"/>
  <c r="N28" i="51"/>
  <c r="O28" i="51"/>
  <c r="P28" i="51"/>
  <c r="Q28" i="51"/>
  <c r="R28" i="51"/>
  <c r="L36" i="51"/>
  <c r="L28" i="51"/>
  <c r="M23" i="37"/>
  <c r="L32" i="37"/>
  <c r="L27" i="37"/>
  <c r="L26" i="37"/>
  <c r="V53" i="51" l="1"/>
  <c r="J45" i="25" s="1"/>
  <c r="V45" i="51"/>
  <c r="J42" i="25" s="1"/>
  <c r="V57" i="51"/>
  <c r="J48" i="25" s="1"/>
  <c r="H48" i="25" s="1"/>
  <c r="V48" i="51"/>
  <c r="K42" i="25" s="1"/>
  <c r="V50" i="51"/>
  <c r="K44" i="25" s="1"/>
  <c r="H44" i="25" s="1"/>
  <c r="V54" i="51"/>
  <c r="V55" i="51"/>
  <c r="L35" i="55"/>
  <c r="H28" i="25" s="1"/>
  <c r="H35" i="25"/>
  <c r="H25" i="25"/>
  <c r="H24" i="25"/>
  <c r="M35" i="37"/>
  <c r="L39" i="37"/>
  <c r="V123" i="63" l="1"/>
  <c r="K40" i="25" s="1"/>
  <c r="V99" i="63"/>
  <c r="J40" i="25" s="1"/>
  <c r="J46" i="25"/>
  <c r="H46" i="25" s="1"/>
  <c r="J47" i="25"/>
  <c r="H47" i="25" s="1"/>
  <c r="H27" i="25"/>
  <c r="H41" i="25"/>
  <c r="O22" i="46" l="1"/>
  <c r="P22" i="46"/>
  <c r="Q22" i="46"/>
  <c r="N22" i="46"/>
  <c r="N28" i="46" s="1"/>
  <c r="H40" i="25" l="1"/>
  <c r="Q32" i="46"/>
  <c r="Q34" i="46"/>
  <c r="Q30" i="46"/>
  <c r="P30" i="46"/>
  <c r="P28" i="46"/>
  <c r="P32" i="46"/>
  <c r="O30" i="46"/>
  <c r="O28" i="46"/>
  <c r="M27" i="40"/>
  <c r="N27" i="40"/>
  <c r="O27" i="40"/>
  <c r="P27" i="40"/>
  <c r="L27" i="40"/>
  <c r="M20" i="40"/>
  <c r="N20" i="40"/>
  <c r="O20" i="40"/>
  <c r="P20" i="40"/>
  <c r="J34" i="46" l="1"/>
  <c r="J28" i="46"/>
  <c r="J30" i="46"/>
  <c r="J32" i="46"/>
  <c r="O44" i="40"/>
  <c r="N44" i="40"/>
  <c r="M44" i="40"/>
  <c r="P39" i="40"/>
  <c r="N39" i="40"/>
  <c r="M39" i="40"/>
  <c r="L39" i="40"/>
  <c r="N13" i="44" l="1"/>
  <c r="M13" i="44"/>
  <c r="O17" i="44"/>
  <c r="P17" i="44"/>
  <c r="O13" i="44"/>
  <c r="M17" i="44"/>
  <c r="L17" i="44"/>
  <c r="L70" i="44" s="1"/>
  <c r="L73" i="44" s="1"/>
  <c r="L13" i="44"/>
  <c r="P13" i="44"/>
  <c r="N17" i="44"/>
  <c r="O39" i="40"/>
  <c r="J39" i="40" s="1"/>
  <c r="H40" i="40" s="1"/>
  <c r="H41" i="40" s="1"/>
  <c r="L44" i="40"/>
  <c r="P44" i="40"/>
  <c r="L52" i="44" l="1"/>
  <c r="H37" i="44"/>
  <c r="H54" i="25"/>
  <c r="L74" i="44"/>
  <c r="H34" i="44"/>
  <c r="L71" i="44"/>
  <c r="J44" i="40"/>
  <c r="H45" i="40" s="1"/>
  <c r="H44" i="44"/>
  <c r="H61" i="44"/>
  <c r="L55" i="44" l="1"/>
  <c r="L56" i="44" s="1"/>
  <c r="L53" i="44"/>
  <c r="H46" i="40"/>
  <c r="K53" i="25" s="1"/>
  <c r="J37" i="25"/>
  <c r="K37" i="25"/>
  <c r="L40" i="37"/>
  <c r="K30" i="25"/>
  <c r="H37" i="25" l="1"/>
  <c r="J53" i="25"/>
  <c r="H53" i="25" s="1"/>
  <c r="K51" i="25"/>
  <c r="H51" i="25" s="1"/>
  <c r="J52" i="25"/>
  <c r="H52" i="25" s="1"/>
  <c r="J56" i="25" l="1"/>
  <c r="H45" i="25"/>
  <c r="K56" i="25" l="1"/>
  <c r="K60" i="25" s="1"/>
  <c r="H21" i="44" s="1"/>
  <c r="H42" i="25"/>
  <c r="H56" i="25" l="1"/>
  <c r="H62" i="44" l="1"/>
  <c r="J30" i="25"/>
  <c r="H30" i="25" s="1"/>
  <c r="H26" i="25"/>
  <c r="J60" i="25" l="1"/>
  <c r="H60" i="25" l="1"/>
  <c r="H20" i="44"/>
  <c r="H45" i="44" s="1"/>
  <c r="H47" i="44" s="1"/>
  <c r="H49" i="44" s="1"/>
  <c r="M52" i="44" s="1"/>
  <c r="H38" i="44" l="1"/>
  <c r="H39" i="44" s="1"/>
  <c r="H40" i="44" s="1"/>
  <c r="H84" i="44" s="1"/>
  <c r="H64" i="44" l="1"/>
  <c r="H65" i="44" s="1"/>
  <c r="H50" i="44" l="1"/>
  <c r="N52" i="44" s="1"/>
  <c r="H67" i="44"/>
  <c r="M70" i="44" s="1"/>
  <c r="H68" i="44"/>
  <c r="N70" i="44" s="1"/>
  <c r="N73" i="44" l="1"/>
  <c r="N74" i="44" s="1"/>
  <c r="N71" i="44"/>
  <c r="P70" i="44"/>
  <c r="O70" i="44"/>
  <c r="M71" i="44"/>
  <c r="M73" i="44"/>
  <c r="M74" i="44" s="1"/>
  <c r="M55" i="44"/>
  <c r="M56" i="44" s="1"/>
  <c r="M53" i="44"/>
  <c r="O52" i="44"/>
  <c r="P52" i="44"/>
  <c r="N53" i="44"/>
  <c r="N55" i="44"/>
  <c r="N56" i="44" s="1"/>
  <c r="F15" i="45"/>
  <c r="F13" i="49"/>
  <c r="L87" i="44"/>
  <c r="L26" i="49" s="1"/>
  <c r="L86" i="44"/>
  <c r="L22" i="49" s="1"/>
  <c r="N87" i="44" l="1"/>
  <c r="N26" i="49" s="1"/>
  <c r="M87" i="44"/>
  <c r="M26" i="49" s="1"/>
  <c r="N86" i="44"/>
  <c r="N22" i="49" s="1"/>
  <c r="M86" i="44"/>
  <c r="M22" i="49" s="1"/>
  <c r="O73" i="44"/>
  <c r="O71" i="44"/>
  <c r="P53" i="44"/>
  <c r="P55" i="44"/>
  <c r="P71" i="44"/>
  <c r="P73" i="44"/>
  <c r="O55" i="44"/>
  <c r="O53" i="44"/>
  <c r="P56" i="44" l="1"/>
  <c r="P86" i="44"/>
  <c r="P22" i="49" s="1"/>
  <c r="O56" i="44"/>
  <c r="O86" i="44"/>
  <c r="O22" i="49" s="1"/>
  <c r="P74" i="44"/>
  <c r="P87" i="44"/>
  <c r="P26" i="49" s="1"/>
  <c r="O74" i="44"/>
  <c r="O87" i="44"/>
  <c r="O26" i="49" s="1"/>
  <c r="J71" i="44"/>
  <c r="J53" i="44"/>
  <c r="J74" i="44" l="1"/>
  <c r="H75" i="44" s="1"/>
  <c r="J56" i="44"/>
  <c r="H57" i="44" s="1"/>
  <c r="H79" i="44"/>
  <c r="H80" i="44" l="1"/>
  <c r="H81" i="44" s="1"/>
</calcChain>
</file>

<file path=xl/comments1.xml><?xml version="1.0" encoding="utf-8"?>
<comments xmlns="http://schemas.openxmlformats.org/spreadsheetml/2006/main">
  <authors>
    <author>Auteur</author>
  </authors>
  <commentList>
    <comment ref="B71" authorId="0">
      <text>
        <r>
          <rPr>
            <sz val="8"/>
            <color indexed="81"/>
            <rFont val="Tahoma"/>
            <family val="2"/>
          </rPr>
          <t xml:space="preserve">In alle gevallen wordt een (groep van) roze cel(len) voorzien van een opmerking die uitlegt wat er bijzonder is aan de betreffende gegevens of berekening
</t>
        </r>
      </text>
    </comment>
  </commentList>
</comments>
</file>

<file path=xl/sharedStrings.xml><?xml version="1.0" encoding="utf-8"?>
<sst xmlns="http://schemas.openxmlformats.org/spreadsheetml/2006/main" count="1600" uniqueCount="792">
  <si>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</si>
  <si>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</si>
  <si>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</si>
  <si>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</si>
  <si>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</si>
  <si>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</si>
  <si>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</si>
  <si>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</si>
  <si>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</si>
  <si>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</si>
  <si>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Definitief? (j/n)</t>
  </si>
  <si>
    <t>Publicatie? (j/n)</t>
  </si>
  <si>
    <t>Juridisch integraal onderdeel van bovenstaande besluit(en) (j/n)?</t>
  </si>
  <si>
    <t>Opmerkingen openbare versiegeschiedenis</t>
  </si>
  <si>
    <t>Contactgegevens ACM</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</si>
  <si>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</si>
  <si>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</si>
  <si>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</si>
  <si>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</si>
  <si>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</si>
  <si>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</si>
  <si>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Bijzonderheden:</t>
  </si>
  <si>
    <t>Ingevoerde waarde of berekening die nog niet juist is (indien van toepassing)</t>
  </si>
  <si>
    <t>Eventueel te gebruiken: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</si>
  <si>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</si>
  <si>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</si>
  <si>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</si>
  <si>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</si>
  <si>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</si>
  <si>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</si>
  <si>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</si>
  <si>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</si>
  <si>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</si>
  <si>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</si>
  <si>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</si>
  <si>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</si>
  <si>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</si>
  <si>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Tabblad dat als geheel nog onjuist of niet up to date is</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</si>
  <si>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</si>
  <si>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</si>
  <si>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</si>
  <si>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</si>
  <si>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</si>
  <si>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</si>
  <si>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</si>
  <si>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</si>
  <si>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</si>
  <si>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</si>
  <si>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</si>
  <si>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</si>
  <si>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</si>
  <si>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</si>
  <si>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Nr.</t>
  </si>
  <si>
    <t xml:space="preserve">Verkorte naam </t>
  </si>
  <si>
    <t>Zoals gebruikt in dit bestand, evt. incl. nummering</t>
  </si>
  <si>
    <t>Naam bestand extern</t>
  </si>
  <si>
    <t>Beschrijving berekening</t>
  </si>
  <si>
    <t>Schematische weergave en/of inhoudsopgave van de werking van dit model</t>
  </si>
  <si>
    <t>Berekening inzet veilinggelden</t>
  </si>
  <si>
    <t>CPI</t>
  </si>
  <si>
    <t>%</t>
  </si>
  <si>
    <t>Toelichting vaststelling jaarlijks CPI-percentage</t>
  </si>
  <si>
    <t>in de zestiende maand voorafgaande aan het jaar t, zoals deze maandelijks wordt vastgesteld door het CBS.</t>
  </si>
  <si>
    <t>Toelichting gegevens rentepercentage tariefcorrecties</t>
  </si>
  <si>
    <t xml:space="preserve">De heffingsrente of belastingrente is een rentepercentage dat door de Nederlandse overheid wordt vastgesteld en dient als een schatting van de tijdwaarde van geld. </t>
  </si>
  <si>
    <t>De heffingsrente is in 2012 vervangen door de belastingrente, maar wordt op een vergelijkbare wijze vastgesteld. ACM noemt dit percentage in het vervolg "rentepercentage tariefcorrecties".</t>
  </si>
  <si>
    <t xml:space="preserve">De nacalculaties waarop het rentepercentage tariefcorrecties wordt toegepast kunnen zowel positief als negatief zijn; ACM past het rentepercentage tariefcorrecties symmetrisch toe. </t>
  </si>
  <si>
    <t>Rentepercentage tariefcorrecties</t>
  </si>
  <si>
    <t>Eerste kwartaal</t>
  </si>
  <si>
    <t>Tweede kwartaal</t>
  </si>
  <si>
    <t>Derde kwartaal</t>
  </si>
  <si>
    <t>Vierde kwartaal</t>
  </si>
  <si>
    <t>Frontier shift TenneT</t>
  </si>
  <si>
    <t>X-factor TenneT</t>
  </si>
  <si>
    <t>X-factor methodebesluit 2017-2021</t>
  </si>
  <si>
    <t>Overige parameters</t>
  </si>
  <si>
    <t>Vastrecht</t>
  </si>
  <si>
    <t>kW
gecontracteerd
per jaar</t>
  </si>
  <si>
    <t>kW max
per maand</t>
  </si>
  <si>
    <t>kW
gecontracteerd
per jaar
(max 600 uur)</t>
  </si>
  <si>
    <t>EHS</t>
  </si>
  <si>
    <t>#</t>
  </si>
  <si>
    <t>HS</t>
  </si>
  <si>
    <t>Berekening CPI mutatie over meerdere jaren</t>
  </si>
  <si>
    <t>Mutatie van bedrag in oorspronkelijk prijspeil naar boekjaar</t>
  </si>
  <si>
    <t>Voor bedragen oorspronkelijk in prijspeil 2010</t>
  </si>
  <si>
    <t>Voor bedragen oorspronkelijk in prijspeil 2011</t>
  </si>
  <si>
    <t>Voor bedragen oorspronkelijk in prijspeil 2012</t>
  </si>
  <si>
    <t>Voor bedragen oorspronkelijk in prijspeil 2013</t>
  </si>
  <si>
    <t>Voor bedragen oorspronkelijk in prijspeil 2014</t>
  </si>
  <si>
    <t>Voor bedragen oorspronkelijk in prijspeil 2015</t>
  </si>
  <si>
    <t>Voor bedragen oorspronkelijk in prijspeil 2016</t>
  </si>
  <si>
    <t>Voor bedragen oorspronkelijk in prijspeil 2017</t>
  </si>
  <si>
    <t>Berekening mutatie rentepercentage tariefcorrecties over meerdere jaren</t>
  </si>
  <si>
    <t>Berekening rentepercentage tariefcorrecties op jaarbasis</t>
  </si>
  <si>
    <t>Boekjaar waarvoor mutatie rentepercentage berekend wordt:</t>
  </si>
  <si>
    <t>Samengesteld percentage op basis van juli - juli mutatie:</t>
  </si>
  <si>
    <t>Berekening mutatie frontier shift over meerdere jaren</t>
  </si>
  <si>
    <t>Mutatie van bedrag in oorspronkelijk efficiëntieniveau naar efficiëntieniveau van boekjaar</t>
  </si>
  <si>
    <t>Boekjaar waarvoor mutatie frontier shift berekend wordt:</t>
  </si>
  <si>
    <t>Voor bedragen oorspronkelijk in efficiëntieniveau 2014</t>
  </si>
  <si>
    <t>Voor bedragen oorspronkelijk in efficiëntieniveau 2015</t>
  </si>
  <si>
    <t>Voor bedragen oorspronkelijk in efficiëntieniveau 2016</t>
  </si>
  <si>
    <t>Voor bedragen oorspronkelijk in efficiëntieniveau 2017</t>
  </si>
  <si>
    <t>Voor bedragen oorspronkelijk in efficiëntieniveau 2018</t>
  </si>
  <si>
    <t>Voor bedragen oorspronkelijk in efficiëntieniveau 2019</t>
  </si>
  <si>
    <t>Voor bedragen oorspronkelijk in efficiëntieniveau 2020</t>
  </si>
  <si>
    <t>Dekking kosten door tariefdragers TAVT:</t>
  </si>
  <si>
    <t>kW gecontracteerd (min/max 600)</t>
  </si>
  <si>
    <t>kW max (per maand/week)</t>
  </si>
  <si>
    <t>Verhouding tarieven TAVT:</t>
  </si>
  <si>
    <t>kW max per week : kW max per maand</t>
  </si>
  <si>
    <t>Kostentoerekening EHS aan HS</t>
  </si>
  <si>
    <t>(Afname van HS af EHS) / (Afname van HS af EHS + Afname verbruikers op EHS);</t>
  </si>
  <si>
    <t>Verschil</t>
  </si>
  <si>
    <t>Tariefinkomsten EHS volgens de TarievenCode</t>
  </si>
  <si>
    <t>Tarieven EHS volgens de TarievenCode afgerond</t>
  </si>
  <si>
    <t>Verschil door afronden tarieven</t>
  </si>
  <si>
    <t>50% kW max per maand/week</t>
  </si>
  <si>
    <t>Tariefinkomsten HS volgens de TarievenCode</t>
  </si>
  <si>
    <t>Tarieven HS volgens de TarievenCode afgerond</t>
  </si>
  <si>
    <t>Verschil niet en wel afronden tarieven</t>
  </si>
  <si>
    <t>EUR, pp 2017</t>
  </si>
  <si>
    <t>EUR, pp 2018</t>
  </si>
  <si>
    <t>EUR, pp 2019</t>
  </si>
  <si>
    <t>Correctie omzet aansluitdienst en meterhuur</t>
  </si>
  <si>
    <t>Data ten behoeve van inzet veilinggelden</t>
  </si>
  <si>
    <t>Inkoopkosten</t>
  </si>
  <si>
    <t>Uitvoeringskosten</t>
  </si>
  <si>
    <t>InterTSO compensation</t>
  </si>
  <si>
    <t>Netto ontvangen veilinggelden per jaar</t>
  </si>
  <si>
    <t>Efficiënte begininkomsten</t>
  </si>
  <si>
    <t>- onderdeel transporttaken: beheerkosten EHS-netten</t>
  </si>
  <si>
    <t>- onderdeel transporttaken: schatting energie en vermogen transport EHS-netten</t>
  </si>
  <si>
    <t>- onderdeel transporttaken: beheerkosten HS-netten</t>
  </si>
  <si>
    <t>- onderdeel transporttaken: schatting energie en vermogen transport HS-netten</t>
  </si>
  <si>
    <t>kW max per maand</t>
  </si>
  <si>
    <t>kW gecontracteerd per jaar (max 600 uur)</t>
  </si>
  <si>
    <t>Beheerkosten</t>
  </si>
  <si>
    <t>Voor bedragen oorspronkelijk in prijspeil 2018</t>
  </si>
  <si>
    <t>Voor bedragen oorspronkelijk in efficiëntieniveau 2013</t>
  </si>
  <si>
    <t xml:space="preserve">Berekening totale inkomsten </t>
  </si>
  <si>
    <t>Stap 1: Totale inkomsten exclusief tariefcorrecties</t>
  </si>
  <si>
    <t>Stap 2: Tariefcorrecties</t>
  </si>
  <si>
    <t xml:space="preserve">Stap 3: Totale inkomsten </t>
  </si>
  <si>
    <t>Correcties op grond van de algemene bevoegdheid</t>
  </si>
  <si>
    <t>Correcties op grond van een specifieke wettelijke bevoegdheid</t>
  </si>
  <si>
    <t>Correctie inkomsten transportdiensten EHS</t>
  </si>
  <si>
    <t>Correctie inkomsten transportdiensten HS</t>
  </si>
  <si>
    <t>Omzet aansluitdienst en meterhuur</t>
  </si>
  <si>
    <t>Controle tarieven</t>
  </si>
  <si>
    <t>Berekening van correcties</t>
  </si>
  <si>
    <t>Inkoopkosten transport bij regionale netbeheerder(s)</t>
  </si>
  <si>
    <t>Correctie inkoopkosten transport bij regionale netbeheerder(s)</t>
  </si>
  <si>
    <t>Berekening omzetcorrectie</t>
  </si>
  <si>
    <t>Toevoegingen RCR-investeringen</t>
  </si>
  <si>
    <t>Consumenten Prijs Index</t>
  </si>
  <si>
    <t>CPI als jaarlijks percentage</t>
  </si>
  <si>
    <t xml:space="preserve">ACM gebruikt dit rentepercentage voor de vergoeding van de tijdwaarde van geld in het geval van het toekennen van correcties in de tarieven die volgen uit nacalculaties over eerdere jaren. </t>
  </si>
  <si>
    <t>Zowel de heffingsrente als de belastingrente werden/worden per kwartaal vastgesteld. ACM berekent de jaarlijkse percentages van 1 juli tot 1 juli in het volgende jaar.</t>
  </si>
  <si>
    <t>Dekking kosten door tariefdragers TAVT</t>
  </si>
  <si>
    <t>Verhouding tarieven TAVT</t>
  </si>
  <si>
    <t>kW gecontracteerd max 600: kW gecontracteerd min 600</t>
  </si>
  <si>
    <t>kW max per week: kW max per maand</t>
  </si>
  <si>
    <t>Inzet veilinggelden in 2017</t>
  </si>
  <si>
    <t>Inzet veilinggelden in 2018</t>
  </si>
  <si>
    <t>Inzet veilinggelden in 2019</t>
  </si>
  <si>
    <t>Inzet veilinggelden in 2020</t>
  </si>
  <si>
    <t>Inzet veilinggelden in 2021</t>
  </si>
  <si>
    <t>kW max
per week
(max 600 uur)</t>
  </si>
  <si>
    <t>kW max per week 
(max 600 uur)</t>
  </si>
  <si>
    <t>Uitkomst</t>
  </si>
  <si>
    <t>Berekening van prognoses</t>
  </si>
  <si>
    <t>Totale inkomsten op basis van wettelijke formule</t>
  </si>
  <si>
    <t>Realisatie inkoopkosten transport bij regionale netbeheerder(s) 2013</t>
  </si>
  <si>
    <t>Realisatie inkoopkosten transport bij regionale netbeheerder(s) 2014</t>
  </si>
  <si>
    <t>Realisatie inkoopkosten transport bij regionale netbeheerder(s) 2015</t>
  </si>
  <si>
    <t>EUR, pp 2013</t>
  </si>
  <si>
    <t>EUR, pp 2014</t>
  </si>
  <si>
    <t>EUR, pp 2015</t>
  </si>
  <si>
    <t>Realisatie inkoopkosten transport bij regionale netbeheerder(s)</t>
  </si>
  <si>
    <t>Realisatie InterTSO compensation</t>
  </si>
  <si>
    <t>Verschil tussen toegestane tariefinkomsten en gerealiseerde tariefinkomsten</t>
  </si>
  <si>
    <t>Boekjaar waarvoor CPI-mutatie berekend wordt:</t>
  </si>
  <si>
    <t>CBS Statline</t>
  </si>
  <si>
    <t>Hyperlink</t>
  </si>
  <si>
    <t>Belastingdienst</t>
  </si>
  <si>
    <t>Frontier shift methodebesluit 2014-2016</t>
  </si>
  <si>
    <t>Frontier shift methodebesluit 2017-2021</t>
  </si>
  <si>
    <t>2e Wijziging Methodebesluit TenneT 2014-2016 Transport</t>
  </si>
  <si>
    <t>Tarievencode elektriciteit</t>
  </si>
  <si>
    <t>Rekenmodule HS-installatie Deltius</t>
  </si>
  <si>
    <t>Rekenmodule RCR-investeringen</t>
  </si>
  <si>
    <t xml:space="preserve">Inkomstenberekening tarieven TenneT elektriciteit 2017 </t>
  </si>
  <si>
    <t>Omzetcorrectie EHS</t>
  </si>
  <si>
    <t>Omzetcorrectie HS</t>
  </si>
  <si>
    <t xml:space="preserve">Bevoegdhedenovereenkomst ACM en TenneT veilingmiddelen </t>
  </si>
  <si>
    <t>Bevoegdhedenovereenkomst veilingmiddelen</t>
  </si>
  <si>
    <t>EUR, pp 2020</t>
  </si>
  <si>
    <t>EUR, pp 2021</t>
  </si>
  <si>
    <t>kW gecontracteerd per jaar</t>
  </si>
  <si>
    <t>N.v.t.</t>
  </si>
  <si>
    <t>Transporttaak</t>
  </si>
  <si>
    <t>Systeemtaak</t>
  </si>
  <si>
    <t>Restitutie systeemdienstentarieven n.a.v. DOW-uitspraak: claimperiode vóór 1-7-2011</t>
  </si>
  <si>
    <t>Restitutie systeemdienstentarieven n.a.v. DOW-uitspraak: claimperiode na 1-7-2011</t>
  </si>
  <si>
    <t>Correctie inkomsten systeemdiensten 2011-2014</t>
  </si>
  <si>
    <t>kW gecontracteerd (min/max 600 uur)</t>
  </si>
  <si>
    <t>kW gecontracteerd max 600 uur : kWgecontracteerd min 600 uur</t>
  </si>
  <si>
    <t>50% kW gecontracteerd</t>
  </si>
  <si>
    <t>50% kW max per maand</t>
  </si>
  <si>
    <t>Totale inkomsten EHS TOVT</t>
  </si>
  <si>
    <t>Totale inkomsten EHS TAVT</t>
  </si>
  <si>
    <t>Totale inkomsten EHS TAVT uit EHS</t>
  </si>
  <si>
    <t>Totale inkomsten HS TOVT</t>
  </si>
  <si>
    <t>Totale inkomsten HS TAVT (zonder EHS)</t>
  </si>
  <si>
    <t>Totale inkomsten HS TAVT (met EHS)</t>
  </si>
  <si>
    <t>Tarieven EHS volgens de TarievenCode</t>
  </si>
  <si>
    <t xml:space="preserve">Tarieven HS volgens de TarievenCode </t>
  </si>
  <si>
    <t>Voldoet het tarievenvoorstel van TenneT?</t>
  </si>
  <si>
    <t>Overige opmerkingen</t>
  </si>
  <si>
    <t>Inputs</t>
  </si>
  <si>
    <t>Berekeningen</t>
  </si>
  <si>
    <t>Resultaten</t>
  </si>
  <si>
    <t>Hulpberekeningen</t>
  </si>
  <si>
    <t>Tabblad 1 - Titelblad</t>
  </si>
  <si>
    <t>Tabblad 2 - Toelichting bij dit bestand</t>
  </si>
  <si>
    <t>Tabblad 3 - Bronnenoverzicht en specifieke toepassingen</t>
  </si>
  <si>
    <t>Tabblad 6 - Correcties en prognoses</t>
  </si>
  <si>
    <t>Tabblad 7 - Toevoeging geschatte kosten RCR-investeringen</t>
  </si>
  <si>
    <t>Tabblad 12 - Berekening op basis van parameters</t>
  </si>
  <si>
    <t>Tabblad 13 - Inkomsten op basis van wettelijke formule</t>
  </si>
  <si>
    <t>Tabblad 14 - Budget systeemtaken</t>
  </si>
  <si>
    <t>Postbus 16326</t>
  </si>
  <si>
    <t>2500 BH DEN HAAG</t>
  </si>
  <si>
    <t>Tab 6_Correcties en prognoses</t>
  </si>
  <si>
    <t>Tab 7_Toevoegingen kosten RCR</t>
  </si>
  <si>
    <t>Tab 8_Voorstel tarieven en RV</t>
  </si>
  <si>
    <t>Tab 12_Berekening parameters</t>
  </si>
  <si>
    <t>Tab 13_Wettelijke formule</t>
  </si>
  <si>
    <t>Tab 14_Budget systeemtaken</t>
  </si>
  <si>
    <t>Tab 9_Parameters</t>
  </si>
  <si>
    <t>Tab 10_Brondata</t>
  </si>
  <si>
    <t>Tab 11_Tarieven, RV en omzet</t>
  </si>
  <si>
    <t xml:space="preserve">Tabblad 9 - Parameters </t>
  </si>
  <si>
    <t>Tabblad 10 - Brondata</t>
  </si>
  <si>
    <t>Netto veilinggelden</t>
  </si>
  <si>
    <t>Zijn de tarieven conform voorstel TenneT?</t>
  </si>
  <si>
    <t>Voldoet het voorstel voor de tarieven?</t>
  </si>
  <si>
    <t>ja/nee</t>
  </si>
  <si>
    <t>kW gecontracteerd
per jaar
(max 600 uur)</t>
  </si>
  <si>
    <t>kW gecontracteerd
per jaar</t>
  </si>
  <si>
    <t>Reële WACC vóór belastingen bestaand vermogen</t>
  </si>
  <si>
    <t>WACC</t>
  </si>
  <si>
    <t>Controles</t>
  </si>
  <si>
    <t>Controle 2: veroorzaken de verwachte volumina een wijziging van meer dan 1% in de inkomsten?</t>
  </si>
  <si>
    <t>Toevoeging als bedoeld in artikel 41b, eerste en derde lid, van de E-wet</t>
  </si>
  <si>
    <t>Deze correctie verrekent de inkomsten als gevolg van de afrekening van voorschotten over de periode 2011-2014, waarbij meetdata pas laat is ontvangen van de klanten.</t>
  </si>
  <si>
    <t xml:space="preserve">In het methodebesluit systeemtaken 2014-2016 heeft de ACM geconcludeerd dat, ten gevolge van de uitspraak van het CBb van 23 juli 2012 inzake DOW Benelux B.V. bepaalde afnemers in het verleden onverschuldigde systeemdiensten hebben betaald. Deze correctie verrekent de wijzigingen in inkomsten uit de systeemdienstentarieven omdat TenneT deze afnemers dient te restitueren. </t>
  </si>
  <si>
    <t>Tabblad 8 - Voorstel tarieven en rekenvolumina</t>
  </si>
  <si>
    <t>Zijn de verwachte tariefinkomsten minder of gelijk aan de toegestane tariefinkomsten?</t>
  </si>
  <si>
    <t xml:space="preserve">minder of gelijk aan de toegestane tariefinkomsten? </t>
  </si>
  <si>
    <t>Tariefinkomsten op basis van niet-afgeronde tarieven</t>
  </si>
  <si>
    <t>Tariefinkomsten op basis van afgeronde tarieven</t>
  </si>
  <si>
    <t>Frontier shift periode 2014-2016</t>
  </si>
  <si>
    <t>Frontier shift periode 2017-2021</t>
  </si>
  <si>
    <t>X-factor periode 2017-2021</t>
  </si>
  <si>
    <t>Tarievencode elektricteit, artikel 3.7.5 a</t>
  </si>
  <si>
    <t>Tarievencode elektricteit, artikel 3.7.5 b</t>
  </si>
  <si>
    <t>Tarievencode elektricteit, artikel 3.7.5a a</t>
  </si>
  <si>
    <t>Tarievencode elektriciteit, artikel 3.7.5a b</t>
  </si>
  <si>
    <r>
      <rPr>
        <b/>
        <sz val="10"/>
        <rFont val="Arial"/>
        <family val="2"/>
      </rPr>
      <t>Beschrijving berekening</t>
    </r>
    <r>
      <rPr>
        <sz val="10"/>
        <rFont val="Arial"/>
        <family val="2"/>
      </rPr>
      <t xml:space="preserve">
Op dit tabblad berekent de ACM samengestelde percentages voor de toepassing van de CPI, het rentepercentage tariefcorrecties en de frontier shift. Percentages worden weergegeven met één decimaal, maar kunnen uit meer decimalen bestaan. Bij de toepassing van deze samengestelde percentages wordt niet tussentijds afgerond. </t>
    </r>
  </si>
  <si>
    <t>Aantal jaren waarover netto veilinggelden worden verdeeld</t>
  </si>
  <si>
    <t>Bevoegdhedenovereenkomst veilingmiddelen, p. 5, rnnr. 2.6</t>
  </si>
  <si>
    <t>Beschikbaar voor teruggave in 2017-2020 per jaar</t>
  </si>
  <si>
    <t>Verschil in de inkomsten groter dan 1%?</t>
  </si>
  <si>
    <t>Tarievencode Elektriciteit 3.6.3 a</t>
  </si>
  <si>
    <t>Als de verwachte tariefinkomsten hoger zijn dan de toegestane tariefinkomsten, dan voldoet het voorstel niet.</t>
  </si>
  <si>
    <t>In deze rij wordt voor elke tariefdrager het tarief afgeleid uit het vastrechttarief en de tarievencodebepalingen. De formule verschilt per tariefdrager.</t>
  </si>
  <si>
    <t>Berekening b: wat zijn de HS-tarieven volgens de TarievenCode?</t>
  </si>
  <si>
    <t xml:space="preserve">Controle berekening: zijn de tariefinkomsten op basis van de tarieven volgens de TarievenCode </t>
  </si>
  <si>
    <t>Zijn de rekenvolumina conform voorstel TenneT?</t>
  </si>
  <si>
    <t>Berekening a: wat zijn de EHS-tarieven volgens de TarievenCode?</t>
  </si>
  <si>
    <t>Controle: verwachte tariefinkomsten minder of gelijk aan toegestane inkomsten?</t>
  </si>
  <si>
    <t>Tabblad 11 - Tarieven, rekenvolumina en omzet</t>
  </si>
  <si>
    <t>De relatieve wijziging van de consumentenprijsindex wordt berekend uit het quotiënt van deze index, gepubliceerd in de vierde maand voorafgaande aan het jaar t, en van deze index, gepubliceerd</t>
  </si>
  <si>
    <t>De gegevens zijn afkomstig uit StatLine, zie voor recente CPI-cijfers: https://opendata.cbs.nl/statline/#/CBS/nl/dataset/70936ned/table?ts=1532343719053.</t>
  </si>
  <si>
    <t>Voor de toepassing van dit CPI-percentage in de wettelijke formule moet dit getal nog vermenigvuldigd worden met 100.</t>
  </si>
  <si>
    <t>Stelt de ACM de rekenvolumina gewijzigd vast?</t>
  </si>
  <si>
    <t>e-mail : DE-tarievenbesluiten@acm.nl</t>
  </si>
  <si>
    <t>Disclaimer</t>
  </si>
  <si>
    <t>Dit bestand is bedoeld ter verduidelijking van de berekeningen door ACM. Aan dit bestand kunnen geen rechten worden ontleend.</t>
  </si>
  <si>
    <t>Deze rekenmodule wordt gebruikt bij het vaststellen van het Tarievenbesluit TenneT 2020.</t>
  </si>
  <si>
    <t>Deze rekenmodule bevat alle gegevens die nodig zijn om de tarieven voor het landelijk hoogspanningsnet te berekenen voor het jaar 2020.</t>
  </si>
  <si>
    <t>Tab 4_Totale inkomsten 2020</t>
  </si>
  <si>
    <t>Tab 5_Tarieven en RV 2020</t>
  </si>
  <si>
    <t>Rekenvolumina 2020</t>
  </si>
  <si>
    <t>Voor bedragen oorspronkelijk in prijspeil 2019</t>
  </si>
  <si>
    <t>Realisatie netverliezen HS</t>
  </si>
  <si>
    <t>Realisatie blindvermogen HS</t>
  </si>
  <si>
    <t>Realisatie oplossen transportbeperkingen HS</t>
  </si>
  <si>
    <t>Realisatie netverliezen EHS</t>
  </si>
  <si>
    <t>Realisatie blindvermogen EHS</t>
  </si>
  <si>
    <t>CPI 2013 --&gt; CPI 2016</t>
  </si>
  <si>
    <t>CPI 2014 --&gt; CPI 2016</t>
  </si>
  <si>
    <t>CPI 2015 --&gt; CPI 2016</t>
  </si>
  <si>
    <t>Prognose regel- en reservevermogen</t>
  </si>
  <si>
    <t>Prognose noodvermogen</t>
  </si>
  <si>
    <t>Prognose primaire reserve</t>
  </si>
  <si>
    <t>Prognose herstelvoorzieningen</t>
  </si>
  <si>
    <t>Realisatie oplossen transportbeperkingen EHS</t>
  </si>
  <si>
    <t>Prognose netverliezen EHS</t>
  </si>
  <si>
    <t>Prognose blindvermogen EHS</t>
  </si>
  <si>
    <t>Prognose netverliezen HS</t>
  </si>
  <si>
    <t>Prognose blindvermogen HS</t>
  </si>
  <si>
    <t>Verschil tussen realisatie en prognose</t>
  </si>
  <si>
    <t>Risico van TenneT (25% van verschil)</t>
  </si>
  <si>
    <t>Maximum risico van TenneT (25%*20% van prognose)</t>
  </si>
  <si>
    <t>Netto risico van TenneT</t>
  </si>
  <si>
    <t>Nacalculatie</t>
  </si>
  <si>
    <t>Prognose oplossen transportbeperkingen EHS</t>
  </si>
  <si>
    <t>Prognose oplossen transportbeperkingen HS</t>
  </si>
  <si>
    <t>De gegevens zijn afkomstig van de Belastingdienst, zie: https://belastingdienst.nl/wps/wcm/connect/bldcontentnl/standaard_functies/prive/contact/rechten_en_plichten_bij_de_belastingdienst/belastingrente/overzicht_percentages_belastingrente.</t>
  </si>
  <si>
    <t>Geschatte beheerkosten 2020</t>
  </si>
  <si>
    <t>Frontier shift in jaar t</t>
  </si>
  <si>
    <t>Herstel formules bij MB TenneT Systeemtaken 2017-2021, formule 7</t>
  </si>
  <si>
    <t>Herstel formules bij MB TenneT Systeemtaken 2017-2021, formule 11</t>
  </si>
  <si>
    <t>Herstel formules bij MB TenneT Systeemtaken 2017-2021, formule 8</t>
  </si>
  <si>
    <t>Herstel formules bij MB TenneT Systeemtaken 2017-2021, formule 9</t>
  </si>
  <si>
    <t>Herstel formules bij MB TenneT Systeemtaken 2017-2021, formule 13</t>
  </si>
  <si>
    <t>Frontier shift</t>
  </si>
  <si>
    <t>Berekening nacalculatie per product met bonus/malus-regeling</t>
  </si>
  <si>
    <t>2011</t>
  </si>
  <si>
    <t>2012</t>
  </si>
  <si>
    <t>Inkoopkosten transporttaak EHS</t>
  </si>
  <si>
    <t>Inkoopkosten transporttaak HS</t>
  </si>
  <si>
    <t>Inkoopkosten systeemtaak</t>
  </si>
  <si>
    <t>Gemiddelde inkoopkosten netverliezen EHS</t>
  </si>
  <si>
    <t>Gemiddelde inkoopkosten blindvermogen EHS</t>
  </si>
  <si>
    <t>Gemiddelde inkoopkosten oplossen transportbeperkingen EHS</t>
  </si>
  <si>
    <t>Gemiddelde inkoopkosten netverliezen HS</t>
  </si>
  <si>
    <t>Gemiddelde inkoopkosten blindvermogen HS</t>
  </si>
  <si>
    <t>Gemiddelde inkoopkosten oplossen transportbeperkingen HS</t>
  </si>
  <si>
    <t>Prognose inkoopkosten per product transporttaak EHS</t>
  </si>
  <si>
    <t>Gemiddelde inkoopkosten per product transporttaak EHS in 2016</t>
  </si>
  <si>
    <t>Gemiddelde inkoopkosten per product transporttaak HS in 2016</t>
  </si>
  <si>
    <t>Prognose inkoopkosten per product transporttaak HS</t>
  </si>
  <si>
    <t>Transporttaak EHS</t>
  </si>
  <si>
    <t>Transporttaak HS</t>
  </si>
  <si>
    <r>
      <t xml:space="preserve">Op dit tabblad berekent de ACM de overige correcties. </t>
    </r>
    <r>
      <rPr>
        <sz val="10"/>
        <rFont val="Arial"/>
        <family val="2"/>
      </rPr>
      <t xml:space="preserve">
</t>
    </r>
    <r>
      <rPr>
        <i/>
        <sz val="10"/>
        <rFont val="Arial"/>
        <family val="2"/>
      </rPr>
      <t>Toelichting bij bijzonderheden</t>
    </r>
    <r>
      <rPr>
        <sz val="10"/>
        <rFont val="Arial"/>
        <family val="2"/>
      </rPr>
      <t xml:space="preserve">
Bedragen in de berekening zijn inclusief het rentepercentage voor tariefcorrecties.</t>
    </r>
  </si>
  <si>
    <t>Tarieven, rekenvolumina en inkomsten</t>
  </si>
  <si>
    <t>Het overige gedeelte van EHS TAVT wordt door toedoen van het cascade-beginsel afgenomen door HS.</t>
  </si>
  <si>
    <t>Realisatie inkoopkosten overdracht HS-Stedin</t>
  </si>
  <si>
    <t>Let op: de inkoopkosten overdracht HS-Stedin worden hierna toegerekend aan het product netverliezen.</t>
  </si>
  <si>
    <t xml:space="preserve">Let op: formule op deze regel kan niet worden doorgetrokken. </t>
  </si>
  <si>
    <t>Data ten behoeve van inkoopkosten transport naastgelegen netten</t>
  </si>
  <si>
    <t>Deze correctie verrekent de inkomsten op het EHS netvlak als gevolg van wijzigingen in de inkomsten van de transportdiensten in afgelopen jaren. Wijzigingen kunnen bijvoorbeeld plaatsvinden door het wijzigen van een factuur of als gevolg van een geschilprocedure.</t>
  </si>
  <si>
    <t>Deze correctie verrekent de inkomsten op het HS netvlak als gevolg van wijzigingen in de inkomsten van de transportdiensten in afgelopen jaren. Wijzigingen kunnen bijvoorbeeld plaatsvinden door het wijzigen van een factuur of als gevolg van een geschilprocedure.</t>
  </si>
  <si>
    <t>Data en input (bron wordt vermeld)</t>
  </si>
  <si>
    <t>Berekende waarde die wordt opgehaald op een ander tabblad, incl. (eind)resultaat van berekening</t>
  </si>
  <si>
    <t>Waarde of berekening die speciale aandacht vraagt (zie toelichting in opmerking)</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</si>
  <si>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</si>
  <si>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</si>
  <si>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</si>
  <si>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Gestandaardiseerde tabbladen, omvat tenminste: 'Titelblad', 'Toelichting' en 'Bronnen en toepassingen' (kleur: ACM-lichtpaars)</t>
  </si>
  <si>
    <t>WACC vastgesteld in herstelde methode voor 2017-2021</t>
  </si>
  <si>
    <t>Tabblad 15 - Nacalculatie inkoopkosten energie en vermogen</t>
  </si>
  <si>
    <t>Tabblad 16 - Prognoses inkoopkosten transport naastgelegen netten</t>
  </si>
  <si>
    <t>Tabblad 17 - Correcties omzet aansluitdienst &amp; meterhuur en inkoopkosten transport naastgelegen netten</t>
  </si>
  <si>
    <t>Tabblad 18 - Overige correcties</t>
  </si>
  <si>
    <t>Tabblad 19 - Omzetcorrectie op basis van volumeverschillen</t>
  </si>
  <si>
    <t>Tabblad 20 - Inzet veilinggelden</t>
  </si>
  <si>
    <t>Tabblad 21 - Controle rekenvolumina</t>
  </si>
  <si>
    <t>Tabblad 22 - Controle tarieven</t>
  </si>
  <si>
    <t>Nacalculatie netverliezen transporttaak EHS</t>
  </si>
  <si>
    <t>Nacalculatie blindvermogen transporttaak EHS</t>
  </si>
  <si>
    <t>Nacalculatie oplossen transportbeperkingen transporttaak EHS</t>
  </si>
  <si>
    <t>Totale nacalculatie inkoopkosten transporttaak EHS</t>
  </si>
  <si>
    <t>Nacalculatie netverliezen transporttaak HS</t>
  </si>
  <si>
    <t>Nacalculatie blindvermogen transporttaak HS</t>
  </si>
  <si>
    <t>Nacalculatie oplossen transportbeperkingen transporttaak HS</t>
  </si>
  <si>
    <t>Totale nacalculatie inkoopkosten transporttaak HS</t>
  </si>
  <si>
    <t>Nacalculatie regel- en reservevermogen systeemtaak</t>
  </si>
  <si>
    <t>Nacalculatie noodvermogen systeemtaak</t>
  </si>
  <si>
    <t>Nacalculatie primaire reserve systeemtaak</t>
  </si>
  <si>
    <t>Nacalculatie herstelvoorzieningen systeemtaak</t>
  </si>
  <si>
    <t>Totale nacalculatie inkoopkosten systeemtaak</t>
  </si>
  <si>
    <t xml:space="preserve">De ACM heeft de rekenvolumina (de afzet die in een jaar te verwachten is) voor de reguleringsperiode 2017-2021 in het Tarievenbesluit 2019 bijgesteld. De ACM hanteert niet langer als uitgangspunt de gerealiseerde volumina in 2016, zoals randnummer 290 van het methodebesluit voorschrijft, maar de door TenneT voorgestelde rekenvolumina 2019 op basis van de gerealiseerde volumina in 2017. </t>
  </si>
  <si>
    <t>Tab 15_Nacalculatie IK&amp;EV</t>
  </si>
  <si>
    <t>Tab 16_Prognoses IKTNN</t>
  </si>
  <si>
    <t>Tab 17_Correcties OA&amp;M en IKTNN</t>
  </si>
  <si>
    <t>Tab 18_Overige correcties</t>
  </si>
  <si>
    <t>Tab 19_Omzetcorrectie</t>
  </si>
  <si>
    <t>Tab 20_Inzet veilinggelden</t>
  </si>
  <si>
    <t>Tab 21_Controle rekenvolume</t>
  </si>
  <si>
    <t>Tab 22_Controle tarieven</t>
  </si>
  <si>
    <t>Frontier shift en X-factor</t>
  </si>
  <si>
    <t>Methodebesluit TenneT 2014-2016 Transport, p.73, rnnr. 196</t>
  </si>
  <si>
    <t>Gewijzigd methodebesluit TenneT Transporttaken 2017-2021 d.d. 24-01-2019, p.70, rn. 244</t>
  </si>
  <si>
    <t>Rekenmodule Tarievenbesluit TenneT 2017, tab 3, rij 55</t>
  </si>
  <si>
    <t>hier</t>
  </si>
  <si>
    <t>Herstel uitwerking van de methode voor de WACC</t>
  </si>
  <si>
    <t>Gewijzigd methodebesluit TenneT Transporttaken 2017-2021 d.d. 24-01-2019</t>
  </si>
  <si>
    <t>Rekenmodule Tarievenbesluit TenneT 2019</t>
  </si>
  <si>
    <t>Rekenmodule Tarievenbesluit TenneT 2017</t>
  </si>
  <si>
    <t>Rekenmodule Tarievenbesluit TenneT 2018</t>
  </si>
  <si>
    <t>Reguleringsdata TenneT 2017</t>
  </si>
  <si>
    <t>Reguleringsdata TenneT 2018</t>
  </si>
  <si>
    <t>Reguleringsdata TenneT 2015</t>
  </si>
  <si>
    <t>Reguleringsdata TenneT 2013</t>
  </si>
  <si>
    <t>Reguleringsdata TenneT 2014</t>
  </si>
  <si>
    <t>Verslag veilingopbrengsten TenneT 2018/2019</t>
  </si>
  <si>
    <t>Verslag veilingopbrengsten TenneT 2017/2018</t>
  </si>
  <si>
    <t xml:space="preserve">Bijlage 1 rekenmodule tarievenbesluit TenneT 2018 </t>
  </si>
  <si>
    <t>Herstel formules bij methodebesluit systeemtaken TenneT 2017-2021</t>
  </si>
  <si>
    <t>WACC-methode Gewijzigd methodebesluit TenneT Transporttaken 2017-2021 d.d. 24-01-2019</t>
  </si>
  <si>
    <t>Methodebesluit TenneT 2014-2016 Transport</t>
  </si>
  <si>
    <t>Herstel methodebesluit TenneT transport 2017-2021</t>
  </si>
  <si>
    <t>Deze correctie verrekent de inkomsten als gevolg van wijzigingen in de inkomsten van de transportdiensten in afgelopen jaren. Wijzigingen kunnen bijvoorbeeld plaatsvinden door het wijzigen van een factuur of als gevolg van een geschilprocedure.</t>
  </si>
  <si>
    <t>Herstel formules bij MB TenneT Systeemtaken 2017-2021, formule 12; let op: t/m 2016 paste de ACM geen frontier shift toe in de berekening van de uitvoeringskosten (formule niet doortrekken).</t>
  </si>
  <si>
    <t>Correctie Inter-TSO Compensation</t>
  </si>
  <si>
    <t>Realisatie InterTSO Compensation</t>
  </si>
  <si>
    <t>Realisatie Inter-TSO Compensation 2013</t>
  </si>
  <si>
    <t>Realisatie Inter-TSO Compensation 2014</t>
  </si>
  <si>
    <t>Realisatie Inter-TSO Compensation 2015</t>
  </si>
  <si>
    <t>Addendum bij bevoegdhedenovereenkomst</t>
  </si>
  <si>
    <t>De bedragen voor 2022 en 2023 zijn nog niet opgenomen.</t>
  </si>
  <si>
    <t>GAW-berekening TenneT</t>
  </si>
  <si>
    <t>Addendum bevoegdhedenovereenkomst veilingmiddelen</t>
  </si>
  <si>
    <t>Data ten behoeve van berekening verschuiving inkomsten naar 2021</t>
  </si>
  <si>
    <t>X-factorberekening bij tweede herstel x-factorbesluit TenneT 2017-2021 d.d. 12-12-2019, tab Overzicht paramaters, cel D23</t>
  </si>
  <si>
    <t>X-factorberekening bij tweede herstel x-factorbesluit TenneT 2017-2021 d.d. 12-12-2019, tab Overzicht paramaters, cel D24</t>
  </si>
  <si>
    <t>X-factorberekening bij tweede herstel x-factorbesluit TenneT 2017-2021 d.d. 12-12-2019, tab Overzicht paramaters, cel D25</t>
  </si>
  <si>
    <t>X-factorberekening bij tweede herstel x-factorbesluit TenneT 2017-2021 d.d. 12-12-2019, tab Overzicht paramaters, cel D26</t>
  </si>
  <si>
    <t>X-factorberekening bij tweede herstel x-factorbesluit TenneT 2017-2021 d.d. 12-12-2019, tab Overzicht paramaters, cel D21</t>
  </si>
  <si>
    <t>X-factorberekening bij tweede herstel x-factorbesluit TenneT 2017-2021 d.d. 12-12-2019</t>
  </si>
  <si>
    <t>Te verschuiven naar 2021: correctie inkoopkosten energie en vermogen systeemtaak 2018 in 2020</t>
  </si>
  <si>
    <t>Herstel uitwerking van de methode voor de WACC 2017-2021, p. 27, rn. 97a; einduitspraak CBb d.d. 28-11-2019</t>
  </si>
  <si>
    <t>WACC beginjaar 2016 volgt uit herstel uitwerking methode WACC (4,5%) en WACC eindjaar 2021 volgt uit einduitspraak CBb (3,0%). WACC in begin- en eindjaar worden afgerond vastgesteld op één decimaal. WACC in tussenliggende jaren wordt berekend met lineaire ingroei op basis van onafgeronde percentages in begin- en eindjaar.</t>
  </si>
  <si>
    <t>X-factorberekening bij tweede herstel XB TenneT 2017-2021 d.d. 12-12-2019, tab Overzicht paramaters, cel D30</t>
  </si>
  <si>
    <t>Einduitspraak CBb d.d. 28-11-2019</t>
  </si>
  <si>
    <t>Beschikbaar voor teruggave in 2020 t/m 2021</t>
  </si>
  <si>
    <t>Beschikbaar voor teruggave in 2020-2021 per jaar</t>
  </si>
  <si>
    <t>ACM/20/040186</t>
  </si>
  <si>
    <t>Rekenmodule netbeheerder van het landelijke hoogspanningsnet 2021</t>
  </si>
  <si>
    <t>Tarievenbesluit TenneT TSO B.V. 2021</t>
  </si>
  <si>
    <t>Nee</t>
  </si>
  <si>
    <t>Correctie omzet aansluitdienst en meterhuur EHS 2019</t>
  </si>
  <si>
    <t>Deze correctie verrekent de inkomsten op het EHS netvlak als gevolg van een verschil tussen de realisatie en de prognose van de aansluitdienst en meterhuur in 2019.</t>
  </si>
  <si>
    <t>Prognose omzet aansluitdienst en meterhuur EHS 2021</t>
  </si>
  <si>
    <t>Correctie omzet aansluitdienst en meterhuur HS 2019</t>
  </si>
  <si>
    <t>Deze correctie verrekent de inkomsten op het HS netvlak als gevolg van een verschil tussen de realisatie en de prognose van de aansluitdienst en meterhuur in 2019.</t>
  </si>
  <si>
    <t>Prognose omzet aansluitdienst en meterhuur HS 2021</t>
  </si>
  <si>
    <t>Vrijval saldo onbalans 2020</t>
  </si>
  <si>
    <r>
      <rPr>
        <b/>
        <sz val="10"/>
        <rFont val="Arial"/>
        <family val="2"/>
      </rPr>
      <t>Beschrijving gegevens</t>
    </r>
    <r>
      <rPr>
        <sz val="10"/>
        <rFont val="Arial"/>
        <family val="2"/>
      </rPr>
      <t xml:space="preserve">
Op dit tabblad vult TenneT voor de RCR-investeringen de geschatte vermogenskosten (voor investeringen in aanbouw) en de geschatte totale kosten (voor investeringen in gebruik) in 2021 in. De omvang van deze kosten wordt berekend in een aparte rekenmodule. </t>
    </r>
  </si>
  <si>
    <t>Toevoeging vermogenskosten RCR-investeringen 2021</t>
  </si>
  <si>
    <t>Toevoeging totale kosten RCR-investeringen 2021</t>
  </si>
  <si>
    <t>Realisatie volumina 2019</t>
  </si>
  <si>
    <t>Realisatie volumina EHS 2019</t>
  </si>
  <si>
    <t>Zijn de voorgestelde volumina gelijk aan de realisaties 2019?</t>
  </si>
  <si>
    <t>Realisatie volumina HS 2019</t>
  </si>
  <si>
    <t>Voorstel tarieven en rekenvolumina 2021</t>
  </si>
  <si>
    <t>Voorstel tarieven 2021</t>
  </si>
  <si>
    <t>Voorstel rekenvolumina 2021</t>
  </si>
  <si>
    <t>Tarieven 2019</t>
  </si>
  <si>
    <t>Rekenmodule Tarievenbesluit TenneT 2019, tab 5, rij 22</t>
  </si>
  <si>
    <t>Rekenmodule Tarievenbesluit TenneT 2019, tab 5, rij 26</t>
  </si>
  <si>
    <t>Rekenmodule Tarievenbesluit TenneT 2020, tab 5, rij 23</t>
  </si>
  <si>
    <t>Rekenmodule Tarievenbesluit TenneT 2020, tab 5, rij 27</t>
  </si>
  <si>
    <t>Rekenmodule Tarievenbesluit TenneT 2019, tab 21, cel H44</t>
  </si>
  <si>
    <t>Totale inkomsten EHS TOVT 2019</t>
  </si>
  <si>
    <t>Totale inkomsten EHS TAVT 2019, afname EHS</t>
  </si>
  <si>
    <t>Rekenmodule Tarievenbesluit TenneT 2019, tab 21, cel H47</t>
  </si>
  <si>
    <t>Totale inkomsten HS TOVT 2019</t>
  </si>
  <si>
    <t>Rekenmodule Tarievenbesluit TenneT 2019, tab 21, cel H61</t>
  </si>
  <si>
    <t>Rekenmodule Tarievebensluit TenneT 2019, tab 21, cel H65</t>
  </si>
  <si>
    <t>Totale inkomsten HS TAVT 2019</t>
  </si>
  <si>
    <t>Voor bedragen oorspronkelijk in prijspeil 2020</t>
  </si>
  <si>
    <t>2021</t>
  </si>
  <si>
    <t>Rentepercentage tariefcorrecties van 31/12/2019 tot 1/7/2021</t>
  </si>
  <si>
    <t>Rekenmodule RCR-investeringen, Rekenmodule HS-installatie Deltius, Rekenmodule verkabelingsprojecten</t>
  </si>
  <si>
    <t>Tabblad 4 - Totale inkomsten TenneT 2021</t>
  </si>
  <si>
    <r>
      <rPr>
        <b/>
        <sz val="10"/>
        <rFont val="Arial"/>
        <family val="2"/>
      </rPr>
      <t>Beschrijving resultaat</t>
    </r>
    <r>
      <rPr>
        <sz val="10"/>
        <rFont val="Arial"/>
        <family val="2"/>
      </rPr>
      <t xml:space="preserve">
Dit tabblad is een overzicht van de totale inkomsten 2021 van de beheerder van het landelijke hoogspanningsnet, TenneT TSO B.V.. De ACM bepaalt de totale inkomsten inclusief tariefcorrecties in drie stappen:
1: de ACM berekent de totale inkomsten exclusief tariefcorrecties;
2: de ACM bepaalt de tariefcorrecties;
3: de berekening van de totale inkomsten inclusief tariefcorrecties.
</t>
    </r>
    <r>
      <rPr>
        <i/>
        <sz val="10"/>
        <rFont val="Arial"/>
        <family val="2"/>
      </rPr>
      <t xml:space="preserve">
Toelichting bij bijzonderheden</t>
    </r>
    <r>
      <rPr>
        <sz val="10"/>
        <rFont val="Arial"/>
        <family val="2"/>
      </rPr>
      <t xml:space="preserve">
Bedragen zijn inclusief het rentepercentage voor tariefcorrecties.
</t>
    </r>
  </si>
  <si>
    <t>Totale inkomsten op basis van wettelijke formule 2021</t>
  </si>
  <si>
    <t>Toevoeging HS-installatie Deltius 2021</t>
  </si>
  <si>
    <t>Toevoeging budget systeemtaken 2021</t>
  </si>
  <si>
    <t>Toevoeging prognose inkoopkosten transport bij regionale netbeheerder(s) 2021</t>
  </si>
  <si>
    <t>Toevoeging prognose Inter-TSO compensation 2021</t>
  </si>
  <si>
    <t>Totale inkomsten exclusief tariefcorrecties 2021</t>
  </si>
  <si>
    <t>Tabblad 5 - Tarieven en rekenvolumina 2021</t>
  </si>
  <si>
    <r>
      <rPr>
        <b/>
        <sz val="10"/>
        <rFont val="Arial"/>
        <family val="2"/>
      </rPr>
      <t>Beschrijving resultaat</t>
    </r>
    <r>
      <rPr>
        <sz val="10"/>
        <rFont val="Arial"/>
        <family val="2"/>
      </rPr>
      <t xml:space="preserve">
Op dit tabblad geeft de ACM de tarieven en rekenvolumina per tariefdrager voor 2021 weer.
De controles hieronder gaan na of de tarieven en rekenvolumina die in dit resultaat worden weergegeven gelijk zijn aan de tarieven en rekenvolumina die TenneT heeft voorgesteld.</t>
    </r>
  </si>
  <si>
    <t>Voorstel Tennet voor 2021</t>
  </si>
  <si>
    <t>Tarieven 2021</t>
  </si>
  <si>
    <t>Rekenvolumina 2021</t>
  </si>
  <si>
    <t>EUR, pp jaar</t>
  </si>
  <si>
    <r>
      <rPr>
        <b/>
        <sz val="10"/>
        <rFont val="Arial"/>
        <family val="2"/>
      </rPr>
      <t>Beschrijving gegevens</t>
    </r>
    <r>
      <rPr>
        <sz val="10"/>
        <rFont val="Arial"/>
        <family val="2"/>
      </rPr>
      <t xml:space="preserve">
Op dit tabblad vult TenneT de gerealiseerde volumina 2019 in en de voorgestelde tarieven en rekenvolumina voor 2021. De rekenvolumina representeren de afzet die in een jaar te verwachten is. 
De controles hieronder gaan na of de getallen die TenneT invult voor de tarieven en de rekenvolumina voldoen aan respectievelijk de Tarievencode Elektriciteit en de bepalingen in het methodebesluit 2017-2021.
</t>
    </r>
  </si>
  <si>
    <t>Data ten behoeve van toevoeging HS-installatie Deltius</t>
  </si>
  <si>
    <t>Data ten behoeve van inkomsten o.b.v. wettelijke formule</t>
  </si>
  <si>
    <r>
      <rPr>
        <b/>
        <sz val="10"/>
        <rFont val="Arial"/>
        <family val="2"/>
      </rPr>
      <t>Beschrijving berekening</t>
    </r>
    <r>
      <rPr>
        <sz val="10"/>
        <rFont val="Arial"/>
        <family val="2"/>
      </rPr>
      <t xml:space="preserve">
Op dit tabblad staan per tariefdrager de tarieven 2019, rekenvolumina 2020 en totale inkomsten 2019, uitgesplitst voor de netvlakken EHS en HS. Deze gegevens worden gebruikt ten behoeve van de berekening van de omzetcorrectie (het verschil tussen de toegestane inkomsten en de gerealiseerde inkomsten). </t>
    </r>
  </si>
  <si>
    <t>Vanwege de coronacrisis is de belastingrente voor het laatste kwartaal tijdelijk gelijkgesteld aan 0,01%. Dit is een uitzonderlijke situatie met een tijdelijke maatregel. Om die reden kan de ACM deze belastingrente niet als representatief beschouwen en laat daarom dit laatste kwartaal buiten beschouwing.</t>
  </si>
  <si>
    <t xml:space="preserve">De roze cellen betreffen voorlopige cijfers voor de belastingrente. De ACM hanteert hiervoor de belastingrente zoals die is vastgesteld voor het meest recente kwartaal. </t>
  </si>
  <si>
    <t>Data ten behoeve van correcties op toevoegingen RCR-investeringen</t>
  </si>
  <si>
    <t>Data ten behoeve van budget systeemtaken</t>
  </si>
  <si>
    <t>Rekenmodule Tarievenbesluit TenneT 2020, tab 14, cel U66</t>
  </si>
  <si>
    <t>Y-factor TenneT</t>
  </si>
  <si>
    <t>Realisatie noodvermogen 2019</t>
  </si>
  <si>
    <t>Realisatie regel- en reservevermogen 2019</t>
  </si>
  <si>
    <t>Realisatie primaire reserve 2019</t>
  </si>
  <si>
    <t>Realisatie herstelvoorzieningen 2019</t>
  </si>
  <si>
    <t>GAW ultimo 2019</t>
  </si>
  <si>
    <t>Afschrijvingen 2019</t>
  </si>
  <si>
    <t>Operationele kosten 2019</t>
  </si>
  <si>
    <t>Begininkomsten</t>
  </si>
  <si>
    <t>Correctie toevoeging vermogenskosten RCR-investeringen EHS 2019 in 2021</t>
  </si>
  <si>
    <t>Correctie toevoeging vermogenskosten RCR-investeringen HS 2019 in 2021</t>
  </si>
  <si>
    <t>Data ten behoeve van nacalculatie inkoopkosten energie en vermogen</t>
  </si>
  <si>
    <t>Prognose regel- en reservevermogen 2019</t>
  </si>
  <si>
    <t>Prognose noodvermogen 2019</t>
  </si>
  <si>
    <t>Prognose primaire reserve 2019</t>
  </si>
  <si>
    <t>Prognose herstelvoorzieningen 2019</t>
  </si>
  <si>
    <t>Prognose inkoopkosten transport bij regionale netbeheerder(s) 2019</t>
  </si>
  <si>
    <t>Prognose InterTSO compensation 2019</t>
  </si>
  <si>
    <t>Rekenmodule Tarievenbesluit TenneT 2020, tab 4, cel H67</t>
  </si>
  <si>
    <t>Data ten behoeve van toevoeging verkabelingsprojecten</t>
  </si>
  <si>
    <t>Rekenmodule Tarievenbesluit TenneT 2017, tab 3, rij 24; Rekenmodule Tarievenbesluit TenneT 2018, tab Inzet Veilinggelden, E23, rij 55; Verslag veilingopbrengsten TenneT 2017/2018, tab 2, cel J44; Verslag veilingopbrengsten TenneT 2018/2019, tab 2, cel J44; Verslag veilingopbrengsten Tennet 2019, tab 2, cel J53</t>
  </si>
  <si>
    <t>Rekenmodule Tarievenbesluit TenneT 2019, tab 15, cel J33</t>
  </si>
  <si>
    <t>Rekenmodule Tarievenbesluit TenneT 2019, tab 15, cel J35</t>
  </si>
  <si>
    <r>
      <rPr>
        <b/>
        <sz val="10"/>
        <rFont val="Arial"/>
        <family val="2"/>
      </rPr>
      <t>Beschrijving berekening</t>
    </r>
    <r>
      <rPr>
        <sz val="10"/>
        <rFont val="Arial"/>
        <family val="2"/>
      </rPr>
      <t xml:space="preserve">
Op dit tabblad berekent de ACM de toegestane inkomsten van TenneT voor de algemene transporttaken op basis van de wettelijke formule. Dit is de formule in artikel 41b, eerste lid, onderdeel d, van de E-wet waarmee de ACM de x-factor en de rekenvolumina toepast op de totale inkomsten.
</t>
    </r>
    <r>
      <rPr>
        <i/>
        <sz val="10"/>
        <rFont val="Arial"/>
        <family val="2"/>
      </rPr>
      <t xml:space="preserve">
Toelichting bij bijzonderheden
</t>
    </r>
    <r>
      <rPr>
        <sz val="10"/>
        <rFont val="Arial"/>
        <family val="2"/>
      </rPr>
      <t>De inkomsten voor 2021 betreffen een schatting bedoeld ter indicatie.</t>
    </r>
  </si>
  <si>
    <t xml:space="preserve">Begininkomsten </t>
  </si>
  <si>
    <t>Inkomsten op basis van wettelijke formule</t>
  </si>
  <si>
    <t>Berekening inkomsten op basis van wettelijke formule</t>
  </si>
  <si>
    <t>Y-factor 2017, …, 2021 (afgerond naar beneden op twee decimalen)</t>
  </si>
  <si>
    <t>Geschatte beheerkosten 2021</t>
  </si>
  <si>
    <t>CPI 2019 → 2021</t>
  </si>
  <si>
    <t>Berekening beheerkosten</t>
  </si>
  <si>
    <t>Berekening inkoopkosten</t>
  </si>
  <si>
    <t>Berekening uitvoeringskosten</t>
  </si>
  <si>
    <t>Uitvoeringskosten in jaar t-2</t>
  </si>
  <si>
    <t>Geschatte inkoopkosten 2021 (na aftrek vrijval saldo onbalans)</t>
  </si>
  <si>
    <t>Geschatte uitvoeringskosten 2021</t>
  </si>
  <si>
    <t>Berekening budget systeemtaken 2021</t>
  </si>
  <si>
    <t>Budget systeemtaken 2021</t>
  </si>
  <si>
    <r>
      <t xml:space="preserve">Op dit tabblad berekent de ACM de nacalculatie op de inkoopkosten energie en vermogen. Het gaat niet om een volledige nacalculatie van het verschil tussen prognose en realisatie, maar om een gedeeltelijke nacalculatie op basis van een bonus-malusregeling. Een kwart van het verschil tussen prognose en realisatie is voor rekening van TenneT, tot een maximum van 20% afwijking op de prognose. De prognose voor de inkoopkosten energie en vermogen binnen de transporttaak is gebaseerd op de realisatie in de jaren 2013 t/m 2015; de prognose voor de inkoopkosten energie en vermogen binnen de systeemtaak is gebaseerd op de realisatie in het jaar t-2. 
</t>
    </r>
    <r>
      <rPr>
        <i/>
        <sz val="10"/>
        <rFont val="Arial"/>
        <family val="2"/>
      </rPr>
      <t>Toelichting bij bijzonderheden</t>
    </r>
    <r>
      <rPr>
        <sz val="10"/>
        <rFont val="Arial"/>
        <family val="2"/>
      </rPr>
      <t xml:space="preserve">
Bedragen in de berekening zijn inclusief het rentepercentage voor tariefcorrecties.</t>
    </r>
  </si>
  <si>
    <t>Rentepercentage tariefcorrecties 2018 → 2021</t>
  </si>
  <si>
    <t>Rentepercentage tariefcorrecties 2019 → 2021</t>
  </si>
  <si>
    <t>Correctie inkoopkosten systeemtaak 2019 in 2021</t>
  </si>
  <si>
    <t>Correctie inkoopkosten transporttaak EHS 2019 in 2021</t>
  </si>
  <si>
    <t>Correctie inkoopkosten transporttaak HS 2019 in 2021</t>
  </si>
  <si>
    <t>Berekening prognose inkoopkosten transporttaak per product</t>
  </si>
  <si>
    <t>CPI 2013 → 2021</t>
  </si>
  <si>
    <t>CPI 2014 → 2021</t>
  </si>
  <si>
    <t>CPI 2015 → 2021</t>
  </si>
  <si>
    <t>Prognose inkoopkosten transport bij regionale netbeheerders 2021</t>
  </si>
  <si>
    <t>Prognose InterTSO compensation 2021</t>
  </si>
  <si>
    <r>
      <rPr>
        <b/>
        <sz val="10"/>
        <rFont val="Arial"/>
        <family val="2"/>
      </rPr>
      <t>Beschrijving berekening</t>
    </r>
    <r>
      <rPr>
        <sz val="10"/>
        <rFont val="Arial"/>
        <family val="2"/>
      </rPr>
      <t xml:space="preserve">
Op dit tabblad berekent de ACM de prognoses voor de inkoopkosten transport naastgelegen netten 2021. Deze bestaan uit de inkoopkosten transport bij regionale netbeheerders en de InterTSO Compensation. ACM schat deze kosten aan de hand van het gemiddelde over 2013 t/m 2015 met toepassing van een inflatiecorrectie. (Bron: MB TenneT 2017-2021 Transport, p. 90, rnnr. 324)</t>
    </r>
  </si>
  <si>
    <r>
      <rPr>
        <b/>
        <sz val="10"/>
        <rFont val="Arial"/>
        <family val="2"/>
      </rPr>
      <t>Beschrijving berekening</t>
    </r>
    <r>
      <rPr>
        <sz val="10"/>
        <rFont val="Arial"/>
        <family val="2"/>
      </rPr>
      <t xml:space="preserve">
Op dit tabblad berekent de ACM de correcties voor de omzet aansluitdienst en meterhuur 2019 en voor de inkoopkosten transport naastgelegen netten 2019. Die laatste categorie omvat de inkoopkosten transport bij regionale netbeheerder(s) en de Inter-TSO Compensation. De ACM berekent telkens het verschil tussen de realisatie en de prognose, vervolgens wordt dit bedrag met het rentepercentage tariefcorrecties aangepast.</t>
    </r>
    <r>
      <rPr>
        <i/>
        <sz val="10"/>
        <rFont val="Arial"/>
        <family val="2"/>
      </rPr>
      <t/>
    </r>
  </si>
  <si>
    <t>Correctie omzet aansluitdienst en meterhuur 2019</t>
  </si>
  <si>
    <t>Realisatie inkoopkosten transport bij regionale netbeheerder(s) 2019</t>
  </si>
  <si>
    <t>EUR, 2019</t>
  </si>
  <si>
    <t>Realisatie InterTSO compensation 2019</t>
  </si>
  <si>
    <t>InterTSO compensation 2019</t>
  </si>
  <si>
    <t>EUR, 2021</t>
  </si>
  <si>
    <t>Rentepercentage tariefcorrecties 2011 → 2021</t>
  </si>
  <si>
    <t>Rentepercentage tariefcorrecties 2012 → 2021</t>
  </si>
  <si>
    <t>Rentepercentage tariefcorrecties 2013 → 2021</t>
  </si>
  <si>
    <t>Rentepercentage tariefcorrecties 2014 → 2021</t>
  </si>
  <si>
    <t>Rentepercentage tariefcorrecties 2015 → 2021</t>
  </si>
  <si>
    <t>Rentepercentage tariefcorrecties 2016 → 2021</t>
  </si>
  <si>
    <t>Rentepercentage tariefcorrecties 2017 → 2021</t>
  </si>
  <si>
    <t>Rentepercentage tariefcorrecties 2020 → 2021</t>
  </si>
  <si>
    <t>Correctie inkomsten transportdiensten EHS in 2021</t>
  </si>
  <si>
    <t>Correctie inkomsten transportdiensten HS in 2021</t>
  </si>
  <si>
    <t>Correctie inkomsten systeemdiensten 2011-2014 in 2021</t>
  </si>
  <si>
    <t>Correctie systeemdienstentarieven n.a.v. DOW-uitspraak: claimperiode vóór 1-7-2011 in 2021</t>
  </si>
  <si>
    <t>Correctie systeemdienstentarieven n.a.v. DOW-uitspraak: claimperiode na 1-7-2011 in 2021</t>
  </si>
  <si>
    <r>
      <rPr>
        <b/>
        <sz val="10"/>
        <rFont val="Arial"/>
        <family val="2"/>
      </rPr>
      <t>Beschrijving berekening</t>
    </r>
    <r>
      <rPr>
        <sz val="10"/>
        <rFont val="Arial"/>
        <family val="2"/>
      </rPr>
      <t xml:space="preserve">
Op dit tabblad berekent de ACM de omzet van TenneT in 2019 op basis van daadwerkelijk gefactureerde volumina. De ACM berekent vervolgens de correctie op de omzet 2019, door het verschil te nemen tussen de toegestane tariefinkomsten (op basis van de rekenvolumina 2019) en de gerealiseerde tariefinkomsten (op basis van de daadwerkelijk gefactureerde volumina). Op deze tariefcorrectie wordt nog het rentepercentage voor tariefcorrecties toegepast. </t>
    </r>
  </si>
  <si>
    <t>Toegestane tariefinkomsten EHS 2019</t>
  </si>
  <si>
    <t>Toegestane tariefinkomsten HS 2019</t>
  </si>
  <si>
    <t>Realisatie tariefinkomsten EHS 2019</t>
  </si>
  <si>
    <t>Omzetcorrectie op basis van volumeverschillen EHS 2019 in 2021</t>
  </si>
  <si>
    <t>Realisatie tariefinkomsten HS 2019</t>
  </si>
  <si>
    <t>Omzetcorrectie op basis van volumeverschillen HS 2019 in 2021</t>
  </si>
  <si>
    <t>TenneT mag een voorstel doen tot wijziging van de rekenvolumima. Op dit tabblad controleert de ACM de voorgestelde rekenvolumina 2021. Eerst controleert de ACM of de voorgestelde rekenvolumina 2021 overeenkomen met de gerealiseerde volumina in 2019. Daarna controleert de ACM of de verwachte volumina een wijziging van meer dan 1% van de inkomsten van TenneT in 2021 veroorzaken. Indien dit het geval is, is de ACM voornemens om de rekenvolumina aan te passen aan de actuele verwachtingen van TenneT. (Bron: MB Tennet 2017-2021 Transport, rn. 291)</t>
  </si>
  <si>
    <t>Controle 1: zijn de rekenvolumina 2021 gelijk aan de gerealiseerde volumina in 2019?</t>
  </si>
  <si>
    <t>Verwachte omzet 2021 obv voorstel rekenvolumina 2021 EHS</t>
  </si>
  <si>
    <t>Verwachte omzet 2021 obv voorstel rekenvolumina 2021 HS</t>
  </si>
  <si>
    <t>Verwachte omzet 2021 obv voorstel rekenvolumina 2021 Totaal</t>
  </si>
  <si>
    <t>Verwachte omzet 2021 obv rekenvolumina 2020 EHS</t>
  </si>
  <si>
    <t>Verwachte omzet 2021 obv rekenvolumina 2020 HS</t>
  </si>
  <si>
    <t>Verwachte omzet 2021 obv rekenvolumina 2020 Totaal</t>
  </si>
  <si>
    <t>Verschil omzet 2021 obv voorstel rekenvolumina 2021 en rekenvolumina 2020</t>
  </si>
  <si>
    <t>Rekenvolumina 2021 EHS</t>
  </si>
  <si>
    <t>Rekenvolumina 2021 HS</t>
  </si>
  <si>
    <t xml:space="preserve">Als deze controle tot een 'ja' leidt, dan zijn de voorgestelde volumina door TenneT gelijk aan de gerealiseerde volumina 2019. </t>
  </si>
  <si>
    <t xml:space="preserve">Als deze controle tot een 'ja' leidt, dan veranderen de inkomsten van TenneT op basis van de verwachte volumina met meer dan 1% ten opzichte van de inkomsten op basis de rekenvolumina 2019. </t>
  </si>
  <si>
    <t>Tennet doet een voorstel voor de tarieven 2021. Op dit tabblad controleert de ACM het voorstel voor de tarieven van TenneT. Eerst berekent de ACM of de voorgestelde tarieven voldoen aan de toegestane inkomsten. Daarna berekent de ACM zelf de tarieven aan de hand van de Tarievencode Elektriciteit. Indien het voorstel van TenneT niet voldoet, dan stelt de ACM de tarieven vast op basis van de zelf berekende tarieven.</t>
  </si>
  <si>
    <t>Toegestane tariefinkomsten transporttarieven voor 2021 EHS</t>
  </si>
  <si>
    <t>Toegestane tariefinkomsten transporttarieven voor 2021 HS</t>
  </si>
  <si>
    <t>Correctie toevoeging vermogenskosten RCR-investeringen 2019 in 2021</t>
  </si>
  <si>
    <t>Correctie omzet aansluitdienst en meterhuur 2019 in 2021</t>
  </si>
  <si>
    <t>Prognose omzet aansluitdienst en meterhuur 2021</t>
  </si>
  <si>
    <t>Correctie inkoopkosten energie en vermogen transporttaak 2019 in 2021</t>
  </si>
  <si>
    <t>Correctie inkoopkosten energie en vermogen systeemtaak 2019 in 2021</t>
  </si>
  <si>
    <t>Correctie inkomsten transportdiensten in 2021</t>
  </si>
  <si>
    <t>Te verschuiven naar 2021: correctie inkoopkosten energie en vermogen systeemtaak 2018 in 2020 in 2021</t>
  </si>
  <si>
    <t>Ten behoeve van een stabiele tariefontwikkeling heeft de ACM een deel van de correctie op de inkoopkosten energie en vermogen systeemtaak 2018 in 2020 naar het tariefjaar 2021 verschoven.</t>
  </si>
  <si>
    <t>Correctie inkoopkosten transport bij regionale netbeheerders(s) 2019 in 2021</t>
  </si>
  <si>
    <t>Correctie Inter-TSO Compensation 2019 in 2021</t>
  </si>
  <si>
    <t>Omzetcorrectie op basis van volumeverschillen 2019 in 2021</t>
  </si>
  <si>
    <t>Inzet veilinggelden 2021</t>
  </si>
  <si>
    <t>Totaal tariefcorrecties 2021</t>
  </si>
  <si>
    <t>Totale inkomsten 2021</t>
  </si>
  <si>
    <t>Verwachte tariefinkomsten met tarievenvoorstel 2021</t>
  </si>
  <si>
    <t>Toegestane tariefinkomsten uit transporttarieven 2021</t>
  </si>
  <si>
    <t>Dit getal mag niet positief zijn, indien dit wel het geval is, dan handmatig een afgerond tarief aanpassen.</t>
  </si>
  <si>
    <t>Tarieven 2021 EHS</t>
  </si>
  <si>
    <t>Tarieven 2021 HS</t>
  </si>
  <si>
    <t>Rekenmodule Tarievenbeluit TenneT 2020, tab 14, cel H64</t>
  </si>
  <si>
    <t>Rekenmodule Tarievenbesluit TenneT 2020</t>
  </si>
  <si>
    <t>Rekenmodule tarievenbesluit TenneT 2020</t>
  </si>
  <si>
    <t>Rekenmodule tarievenbesluit TenneT 2019</t>
  </si>
  <si>
    <t>Reguleringsdata TenneT 2019</t>
  </si>
  <si>
    <t>Rekenmodule verkabelingsprojecten</t>
  </si>
  <si>
    <t>Toevoeging als bedoeld in artikel 41b, eerste lid, onderdeel l van de E-wet</t>
  </si>
  <si>
    <r>
      <rPr>
        <b/>
        <sz val="10"/>
        <rFont val="Arial"/>
        <family val="2"/>
      </rPr>
      <t>Beschrijving gegevens</t>
    </r>
    <r>
      <rPr>
        <sz val="10"/>
        <rFont val="Arial"/>
        <family val="2"/>
      </rPr>
      <t xml:space="preserve">
Op dit tabblad vult TenneT gegevens in ten behoeve van de berekening van de totale inkomsten in 2021.
De ACM schrijft een aantal correcties en prognoses voor die TenneT jaarlijks in moet vullen. Daarnaast heeft TenneT zelf de mogelijkheid een aantal (incidentele) correcties op te geven. </t>
    </r>
  </si>
  <si>
    <t xml:space="preserve">Onderdeel van de gemaakte kosten voor de uitvoering van artikel 22a van de E-wet. </t>
  </si>
  <si>
    <t>Correctie toevoeging verkabelingsprojecten 2019 in 2021</t>
  </si>
  <si>
    <t>Correctie onderzoekskosten niet-geactiveerde verkabelingsprojecten 2019</t>
  </si>
  <si>
    <t>Correctie onderzoekskosten niet-geactiveerde verkabelingsprojecten 2019 in 2021</t>
  </si>
  <si>
    <r>
      <rPr>
        <b/>
        <sz val="10"/>
        <rFont val="Arial"/>
        <family val="2"/>
      </rPr>
      <t>Beschrijving gegevens</t>
    </r>
    <r>
      <rPr>
        <sz val="10"/>
        <rFont val="Arial"/>
        <family val="2"/>
      </rPr>
      <t xml:space="preserve">
Op dit blad staan inputgegevens voor relevante parameters in de berekening van de totale inkomsten en de tarieven. Deze parameters betreffen achtereenvolgens: CPI, rentepercentage tariefcorrecties, WACC, frontier shift, x-factoren, y-factor en overige parameters.</t>
    </r>
  </si>
  <si>
    <t>Op dit tabblad staan per jaar de gegevens die de ACM gebruikt voor de berekening van de totale inkomsten van TenneT in 2021. Bij elk gegeven is een bron aangegeven.</t>
  </si>
  <si>
    <t>Rekenmodule verkabelingsprojecten, tab 4, cel J13</t>
  </si>
  <si>
    <t>Reguleringsdata 2019, Tabel 2A, cel K54</t>
  </si>
  <si>
    <t>Reguleringsdata TenneT 2013 (tab 8, cel D13), 2014 (tab 8, cel D13), 2015 (tab 10, cel D11) en 2019 (tab 2A, cel J33)</t>
  </si>
  <si>
    <t>Reguleringsdata TenneT 2013 (tab 7, cel D13), 2014 (tab 7, cel D13), 2015 (tab 9, cel D11) en 2019 (tab 2A, cel I31)</t>
  </si>
  <si>
    <t>Verschil tussen realisatie en prognose 2019</t>
  </si>
  <si>
    <t>Controle en berekening rekenvolumina 2021</t>
  </si>
  <si>
    <t>Verschil rekenvolumina 2021 en gerealiseerde volumina 2019 EHS</t>
  </si>
  <si>
    <t>Verschil rekenvolumina 2021 en gerealiseerde volumina 2019 HS</t>
  </si>
  <si>
    <t>Zijn de rekenvolumina 2021 gelijk aan de gerealiseerde volumina 2019?</t>
  </si>
  <si>
    <t>Rekenmodule HS-installatie Deltius, tab 2, cel D64</t>
  </si>
  <si>
    <t>Verslag veilingopbrengsten TenneT 2019</t>
  </si>
  <si>
    <t>Nacalculatie efficiënte (vermogens)kosten Station Breukelen-Kortrijk 2016 t/m 2019 in 2021</t>
  </si>
  <si>
    <t>Rekenmodule RCR-investeringen, tab 4, cel L68 en M68</t>
  </si>
  <si>
    <t>Rekenmodule RCR-investeringen, tab,4 cel L71 en M71</t>
  </si>
  <si>
    <t>Nacalculatie efficiënte (vermogens)kosten</t>
  </si>
  <si>
    <t>Nacalculatie efficiënte (vermogens)kosten Breukelen-Kortrijk EHS 2016 t/m 2019 in 2021</t>
  </si>
  <si>
    <t>Nacalculatie efficiënte (vermogens)kosten Breukelen-Kortrijk HS 2016 t/m 2019 in 2021</t>
  </si>
  <si>
    <t>Rekenmodule RCR-investeringen, tab 4, cel  L75</t>
  </si>
  <si>
    <t>Rekenmodule RCR-investeringen, tab 4, cel M75</t>
  </si>
  <si>
    <t>Correctie toevoeging vermogenkosten</t>
  </si>
  <si>
    <r>
      <rPr>
        <b/>
        <sz val="10"/>
        <rFont val="Arial"/>
        <family val="2"/>
      </rPr>
      <t>Beschrijving berekening</t>
    </r>
    <r>
      <rPr>
        <sz val="10"/>
        <rFont val="Arial"/>
        <family val="2"/>
      </rPr>
      <t xml:space="preserve">
Op dit tabblad berekent de ACM hoeveel veilinggelden TenneT moet inzetten ter verlaging van de transporttarieven in 2021. Het bedrag aan netto ontvangen veilinggelden wordt over een aantal jaren verdeeld om tariefschommelingen te beperken.
</t>
    </r>
    <r>
      <rPr>
        <i/>
        <sz val="10"/>
        <rFont val="Arial"/>
        <family val="2"/>
      </rPr>
      <t xml:space="preserve">
Toelichting bij bijzonderheden</t>
    </r>
    <r>
      <rPr>
        <sz val="10"/>
        <rFont val="Arial"/>
        <family val="2"/>
      </rPr>
      <t xml:space="preserve">
Op de inzet veilinggelden wordt niet het rentepercentage voor tariefcorrecties toegepast omdat de netto ontvangen veilinggelden al inclusief de netto rentebaten zijn.</t>
    </r>
  </si>
  <si>
    <t>GAW-berekening TenneT, tab 'Resultaat', cel Z23, selectie 'Methodebesluit = Systeem', alle andere parameters aan</t>
  </si>
  <si>
    <t>GAW-berekening TenneT, tab 'Resultaat', cel Z21, selectie 'Methodebesluit = Systeem', alle andere parameters aan</t>
  </si>
  <si>
    <t>GAW ultimo 2018 na correctie</t>
  </si>
  <si>
    <t>Afschrijvingen 2018 na correctie</t>
  </si>
  <si>
    <t>Rekenmodule Tarievenbesluit TenneT 2020, tab 14, cel U95</t>
  </si>
  <si>
    <t>Operationele kosten 2018</t>
  </si>
  <si>
    <t>Reguleringsdata 2018, Tabel 2A, cel K53</t>
  </si>
  <si>
    <t>CPI 2018 → 2020</t>
  </si>
  <si>
    <t>Uitvoeringskosten 2018 na correctie GAW module</t>
  </si>
  <si>
    <t>GAW-berekening TenneT, tab 'Resultaat', cel Y23, selectie 'Methodebesluit = Systeem', alle andere parameters aan</t>
  </si>
  <si>
    <t>GAW-berekening TenneT, tab 'Resultaat', cel Y21, selectie 'Methodebesluit = Systeem', alle andere parameters aan</t>
  </si>
  <si>
    <t>GAW-berekening voor tarieven 2021</t>
  </si>
  <si>
    <t>Correctie uitvoeringskosten systeemtaken 2020</t>
  </si>
  <si>
    <t>Vergoede uitvoeringskosten 2020</t>
  </si>
  <si>
    <t>Correctie uitvoeringskosten systeemtaken 2020 in 2021</t>
  </si>
  <si>
    <t>Berekening correctie uitvoeringskosten systeemtaken 2020</t>
  </si>
  <si>
    <t>Uitvoeringskosten 2020</t>
  </si>
  <si>
    <t>Correctie uitvoeringskosten 2020</t>
  </si>
  <si>
    <t>Uitvoeringskosten 2020 na correctie GAW module</t>
  </si>
  <si>
    <t>Verschil tussen uitvoeringskosten 2020 na en vóór correctie GAW module</t>
  </si>
  <si>
    <r>
      <rPr>
        <b/>
        <sz val="10"/>
        <rFont val="Arial"/>
        <family val="2"/>
      </rPr>
      <t>Beschrijving berekening</t>
    </r>
    <r>
      <rPr>
        <sz val="10"/>
        <rFont val="Arial"/>
        <family val="2"/>
      </rPr>
      <t xml:space="preserve">
Op dit tabblad berekent de ACM het budget dat TenneT in 2021 ter beschikking krijgt voor het uitvoeren van de systeemtaken. Het budget voor systeemtaken bestaat uit beheerkosten, inkoopkosten en uitvoeringskosten. De wijze van berekening is omgeschreven in het Methodebesluit TenneT 2017-2021 Systeem en de bijbehorende formulebijlage. Tevens berekent de ACM een correctie op de uitvoeringskosten 2020, welke onderdeel zijn van het budget systeemtaken 2020. Deze correctie volgt uit een verkeerde verwerking van de startdatum voor afschrijvingen in de GAW module voor enkele investeringen in 2018 die invloed hebben op het budget systeemtaken 2020.  </t>
    </r>
  </si>
  <si>
    <t>Rekenmodule RCR-investeringen, tab 4, cel L78</t>
  </si>
  <si>
    <t>Rekenmodule RCR-investeringen, tab 4, cel  M78</t>
  </si>
  <si>
    <t>De roze cel betreft een voorlopige CPI-cijfer voor 2021 zoals gepubliceerd door het CBS per 08/09/2020.</t>
  </si>
  <si>
    <t>=T32-T66</t>
  </si>
  <si>
    <t>=25%*T78</t>
  </si>
  <si>
    <t>=ALS(T79&lt;0;-5%*T66;5%*T66)</t>
  </si>
  <si>
    <t>=ALS(T78&lt;0;MAX(T79;T80);MIN(T79;T80))</t>
  </si>
  <si>
    <t>=T78-T81</t>
  </si>
  <si>
    <t>=T33-T67</t>
  </si>
  <si>
    <t>=25%*T85</t>
  </si>
  <si>
    <t>=ALS(T86&lt;0;-5%*T67;5%*T67)</t>
  </si>
  <si>
    <t>=ALS(T85&lt;0;MAX(T86;T87);MIN(T86;T87))</t>
  </si>
  <si>
    <t>=T85-T88</t>
  </si>
  <si>
    <t>=T34-T68</t>
  </si>
  <si>
    <t>=25%*T92</t>
  </si>
  <si>
    <t>=ALS(T93&lt;0;-5%*T68;5%*T68)</t>
  </si>
  <si>
    <t>=ALS(T92&lt;0;MAX(T93;T94);MIN(T93;T94))</t>
  </si>
  <si>
    <t>=T92-T95</t>
  </si>
  <si>
    <t>=T37-T71</t>
  </si>
  <si>
    <t>=25%*T102</t>
  </si>
  <si>
    <t>=ALS(T103&lt;0;-5%*T71;5%*T71)</t>
  </si>
  <si>
    <t>=ALS(T102&lt;0;MAX(T103;T104);MIN(T103;T104))</t>
  </si>
  <si>
    <t>=T102-T105</t>
  </si>
  <si>
    <t>=T38-T72</t>
  </si>
  <si>
    <t>=25%*T109</t>
  </si>
  <si>
    <t>=ALS(T110&lt;0;-5%*T72;5%*T72)</t>
  </si>
  <si>
    <t>=ALS(T109&lt;0;MAX(T110;T111);MIN(T110;T111))</t>
  </si>
  <si>
    <t>=T109-T112</t>
  </si>
  <si>
    <t>=T39-T73</t>
  </si>
  <si>
    <t>=25%*T116</t>
  </si>
  <si>
    <t>=ALS(T117&lt;0;-5%*T73;5%*T73)</t>
  </si>
  <si>
    <t>=ALS(T116&lt;0;MAX(T117;T118);MIN(T117;T118))</t>
  </si>
  <si>
    <t>=T116-T119</t>
  </si>
  <si>
    <t>=T43-T48</t>
  </si>
  <si>
    <t>=25%*T126</t>
  </si>
  <si>
    <t>=ALS(T127&lt;0;-5%*T48;5%*T48)</t>
  </si>
  <si>
    <t>=ALS(T126&lt;0;MAX(T127;T128);MIN(T127;T128))</t>
  </si>
  <si>
    <t>=T126-T129</t>
  </si>
  <si>
    <t>=T44-T49</t>
  </si>
  <si>
    <t>=25%*T133</t>
  </si>
  <si>
    <t>=ALS(T134&lt;0;-5%*T49;5%*T49)</t>
  </si>
  <si>
    <t>=ALS(T133&lt;0;MAX(T134;T135);MIN(T134;T135))</t>
  </si>
  <si>
    <t>=T133-T136</t>
  </si>
  <si>
    <t>=T45-T50</t>
  </si>
  <si>
    <t>=25%*T140</t>
  </si>
  <si>
    <t>=ALS(T141&lt;0;-5%*T50;5%*T50)</t>
  </si>
  <si>
    <t>=ALS(T140&lt;0;MAX(T141;T142);MIN(T141;T142))</t>
  </si>
  <si>
    <t>=T140-T143</t>
  </si>
  <si>
    <t>=T46-T51</t>
  </si>
  <si>
    <t>=25%*T147</t>
  </si>
  <si>
    <t>=ALS(T148&lt;0;-5%*T51;5%*T51)</t>
  </si>
  <si>
    <t>=ALS(T147&lt;0;MAX(T148;T149);MIN(T148;T149))</t>
  </si>
  <si>
    <t>=T147-T150</t>
  </si>
  <si>
    <t>=S73*(1+(T$19-$H$29/100))</t>
  </si>
  <si>
    <t>=S72*(1+(T$19-$H$29/100))</t>
  </si>
  <si>
    <t>'=S71*(1+(T$19-$H$29/100))</t>
  </si>
  <si>
    <t>=Q61*(1+(R$19-$H$29/100))</t>
  </si>
  <si>
    <t>=Q62*(1+(R$19-$H$29/100))</t>
  </si>
  <si>
    <t>=Q63*(1+(R$19-$H$29/100))</t>
  </si>
  <si>
    <t>=R71*(1+(S$19-$H$29/100))</t>
  </si>
  <si>
    <t>=R72*(1+(S$19-$H$29/100))</t>
  </si>
  <si>
    <t>=R73*(1+(S$19-$H$29/100))</t>
  </si>
  <si>
    <t>=Q56*(1+(R$19-$H$29/100))</t>
  </si>
  <si>
    <t>=Q57*(1+(R$19-$H$29/100))</t>
  </si>
  <si>
    <t>=Q58*(1+(R$19-$H$29/100))</t>
  </si>
  <si>
    <t>=R66*(1+(S$19-$H$29/100))</t>
  </si>
  <si>
    <t>=R67*(1+(S$19-$H$29/100))</t>
  </si>
  <si>
    <t>=R68*(1+(S$19-$H$29/100))</t>
  </si>
  <si>
    <t>=S66*(1+(T$19-$H$29/100))</t>
  </si>
  <si>
    <t>=S67*(1+(T$19-$H$29/100))</t>
  </si>
  <si>
    <t>=S68*(1+(T$19-$H$29/100))</t>
  </si>
  <si>
    <t>=(1/3)*(N32*(1+$H$21)+O32*(1+$H$22)+P32*(1+$H$23))</t>
  </si>
  <si>
    <t>=(1/3)*(N33*(1+$H$21)+O33*(1+$H$22)+P33*(1+$H$23))</t>
  </si>
  <si>
    <t>=(1/3)*(N34*(1+$H$21)+O34*(1+$H$22)+P34*(1+$H$23))</t>
  </si>
  <si>
    <t>=(1/3)*(N37*(1+$H$21)+O37*(1+$H$22)+P37*(1+$H$23))+(1/3)*(N40*(1+H21)+O40*(1+H22)+P40*(1+H23))</t>
  </si>
  <si>
    <t>=(1/3)*(N38*(1+$H$21)+O38*(1+$H$22)+P38*(1+$H$23))</t>
  </si>
  <si>
    <t>=(1/3)*(N39*(1+$H$21)+O39*(1+$H$22)+P39*(1+$H$23))</t>
  </si>
  <si>
    <t>='Tab 10_Brondata'!N62</t>
  </si>
  <si>
    <t>='Tab 10_Brondata'!N63</t>
  </si>
  <si>
    <t>='Tab 10_Brondata'!N64</t>
  </si>
  <si>
    <t>='Tab 10_Brondata'!O62</t>
  </si>
  <si>
    <t>='Tab 10_Brondata'!O63</t>
  </si>
  <si>
    <t>='Tab 10_Brondata'!O64</t>
  </si>
  <si>
    <t>='Tab 10_Brondata'!P62</t>
  </si>
  <si>
    <t>='Tab 10_Brondata'!P63</t>
  </si>
  <si>
    <t>='Tab 10_Brondata'!P64</t>
  </si>
  <si>
    <t>='Tab 10_Brondata'!T62</t>
  </si>
  <si>
    <t>='Tab 10_Brondata'!T63</t>
  </si>
  <si>
    <t>='Tab 10_Brondata'!T64</t>
  </si>
  <si>
    <t>='Tab 10_Brondata'!N67</t>
  </si>
  <si>
    <t>='Tab 10_Brondata'!N68</t>
  </si>
  <si>
    <t>='Tab 10_Brondata'!N69</t>
  </si>
  <si>
    <t>='Tab 10_Brondata'!N70</t>
  </si>
  <si>
    <t>='Tab 10_Brondata'!O67</t>
  </si>
  <si>
    <t>='Tab 10_Brondata'!O68</t>
  </si>
  <si>
    <t>='Tab 10_Brondata'!O69</t>
  </si>
  <si>
    <t>='Tab 10_Brondata'!O70</t>
  </si>
  <si>
    <t>='Tab 10_Brondata'!P67</t>
  </si>
  <si>
    <t>='Tab 10_Brondata'!P68</t>
  </si>
  <si>
    <t>='Tab 10_Brondata'!P69</t>
  </si>
  <si>
    <t>='Tab 10_Brondata'!P70</t>
  </si>
  <si>
    <t>='Tab 10_Brondata'!T67</t>
  </si>
  <si>
    <t>='Tab 10_Brondata'!T68</t>
  </si>
  <si>
    <t>='Tab 10_Brondata'!T69</t>
  </si>
  <si>
    <t>='Tab 10_Brondata'!T43</t>
  </si>
  <si>
    <t>='Tab 10_Brondata'!T44</t>
  </si>
  <si>
    <t>='Tab 10_Brondata'!T45</t>
  </si>
  <si>
    <t>='Tab 10_Brondata'!T46</t>
  </si>
  <si>
    <t>='Tab 10_Brondata'!T73</t>
  </si>
  <si>
    <t>='Tab 10_Brondata'!T74</t>
  </si>
  <si>
    <t>='Tab 10_Brondata'!T75</t>
  </si>
  <si>
    <t>='Tab 10_Brondata'!T76</t>
  </si>
  <si>
    <t>=U43*(1+$H$22)*(1-V$31)*(1-W$31)</t>
  </si>
  <si>
    <t>=U42*(1+$H$22)*(1-V$31)*(1-W$31)</t>
  </si>
  <si>
    <t>=U40*(1+$H$22)*(1-V$31)*(1-W$31)</t>
  </si>
  <si>
    <t>=U41*(1+$H$22)*(1-V$31)*(1-W$31)</t>
  </si>
  <si>
    <r>
      <rPr>
        <i/>
        <sz val="10"/>
        <rFont val="Arial"/>
        <family val="2"/>
      </rPr>
      <t xml:space="preserve">Opmerking TenneT: </t>
    </r>
    <r>
      <rPr>
        <sz val="10"/>
        <rFont val="Arial"/>
        <family val="2"/>
      </rPr>
      <t>Bedrijfsvertrouwelijk</t>
    </r>
  </si>
  <si>
    <t>Ja</t>
  </si>
  <si>
    <t>Rekenmodule tarievenvoorstel TenneT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</si>
</sst>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43" formatCode="_ * #,##0.00_ ;_ * \-#,##0.00_ ;_ * &quot;-&quot;??_ ;_ @_ "/>
    <numFmt numFmtId="164" formatCode="_-* #,##0_-;_-* #,##0\-;_-* &quot;-&quot;??_-;_-@_-"/>
    <numFmt numFmtId="165" formatCode="0.0%"/>
    <numFmt numFmtId="166" formatCode="_ * #,##0_ ;_ * \-#,##0_ ;_ * &quot;-&quot;??_ ;_ @_ "/>
    <numFmt numFmtId="167" formatCode="#,##0.00_ ;\-#,##0.00\ "/>
    <numFmt numFmtId="168" formatCode="#,##0_ ;\-#,##0\ "/>
  </numFmts>
  <fonts count="40">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sz val="10"/>
      <name val="DTLArgoT"/>
    </font>
    <font>
      <sz val="10"/>
      <color indexed="8"/>
      <name val="Arial"/>
      <family val="2"/>
    </font>
    <font>
      <sz val="12"/>
      <name val="Times New Roman"/>
      <family val="1"/>
    </font>
    <font>
      <sz val="10"/>
      <color indexed="8"/>
      <name val="MS Sans Serif"/>
      <family val="2"/>
    </font>
    <font>
      <b/>
      <sz val="10"/>
      <color indexed="8"/>
      <name val="Arial"/>
      <family val="2"/>
    </font>
    <font>
      <sz val="11"/>
      <color indexed="8"/>
      <name val="Arial"/>
      <family val="2"/>
    </font>
    <font>
      <sz val="10"/>
      <color theme="0"/>
      <name val="Arial"/>
      <family val="2"/>
    </font>
    <font>
      <b/>
      <sz val="10"/>
      <color rgb="FFFFC000"/>
      <name val="Arial"/>
      <family val="2"/>
    </font>
    <font>
      <sz val="8"/>
      <color indexed="81"/>
      <name val="Tahoma"/>
      <family val="2"/>
    </font>
    <font>
      <u/>
      <sz val="11"/>
      <color theme="10"/>
      <name val="Calibri"/>
      <family val="2"/>
      <scheme val="minor"/>
    </font>
    <font>
      <u/>
      <sz val="10"/>
      <color theme="10"/>
      <name val="Arial"/>
      <family val="2"/>
    </font>
    <font>
      <b/>
      <sz val="15"/>
      <color theme="3"/>
      <name val="Arial"/>
      <family val="2"/>
    </font>
    <font>
      <b/>
      <sz val="13"/>
      <color theme="3"/>
      <name val="Arial"/>
      <family val="2"/>
    </font>
    <font>
      <b/>
      <sz val="11"/>
      <color theme="3"/>
      <name val="Arial"/>
      <family val="2"/>
    </font>
    <font>
      <i/>
      <sz val="10"/>
      <color rgb="FF7F7F7F"/>
      <name val="Arial"/>
      <family val="2"/>
    </font>
    <font>
      <b/>
      <sz val="18"/>
      <color theme="3"/>
      <name val="Cambria"/>
      <family val="2"/>
      <scheme val="major"/>
    </font>
    <font>
      <b/>
      <sz val="10"/>
      <color theme="1"/>
      <name val="Arial"/>
      <family val="2"/>
    </font>
    <font>
      <sz val="10"/>
      <color rgb="FF006100"/>
      <name val="Arial"/>
      <family val="2"/>
    </font>
    <font>
      <sz val="10"/>
      <color rgb="FF9C0006"/>
      <name val="Arial"/>
      <family val="2"/>
    </font>
    <font>
      <sz val="10"/>
      <color rgb="FF9C6500"/>
      <name val="Arial"/>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1"/>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3" tint="0.79998168889431442"/>
        <bgColor indexed="64"/>
      </patternFill>
    </fill>
    <fill>
      <patternFill patternType="solid">
        <fgColor theme="0"/>
        <bgColor indexed="64"/>
      </patternFill>
    </fill>
    <fill>
      <patternFill patternType="solid">
        <fgColor rgb="FF99FF9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3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bottom/>
      <diagonal/>
    </border>
    <border>
      <left style="dotted">
        <color indexed="64"/>
      </left>
      <right/>
      <top/>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style="dotted">
        <color indexed="64"/>
      </top>
      <bottom style="dotted">
        <color indexed="64"/>
      </bottom>
      <diagonal/>
    </border>
    <border>
      <left/>
      <right style="dotted">
        <color indexed="64"/>
      </right>
      <top/>
      <bottom style="dotted">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286">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9" fillId="5" borderId="1">
      <alignment vertical="top"/>
    </xf>
    <xf numFmtId="49" fontId="6" fillId="20" borderId="1">
      <alignment vertical="top"/>
    </xf>
    <xf numFmtId="49" fontId="6" fillId="0" borderId="0">
      <alignment vertical="top"/>
    </xf>
    <xf numFmtId="43" fontId="5" fillId="13" borderId="0">
      <alignment vertical="top"/>
    </xf>
    <xf numFmtId="43" fontId="5" fillId="12" borderId="0">
      <alignment vertical="top"/>
    </xf>
    <xf numFmtId="43" fontId="5" fillId="10" borderId="0">
      <alignment vertical="top"/>
    </xf>
    <xf numFmtId="43" fontId="5" fillId="6" borderId="0">
      <alignment vertical="top"/>
    </xf>
    <xf numFmtId="43" fontId="5" fillId="8" borderId="0">
      <alignment vertical="top"/>
    </xf>
    <xf numFmtId="43" fontId="5" fillId="14" borderId="0">
      <alignment vertical="top"/>
    </xf>
    <xf numFmtId="49" fontId="11" fillId="0" borderId="0">
      <alignment vertical="top"/>
    </xf>
    <xf numFmtId="49" fontId="10" fillId="0" borderId="0">
      <alignment vertical="top"/>
    </xf>
    <xf numFmtId="0" fontId="16" fillId="16" borderId="3" applyNumberFormat="0" applyAlignment="0" applyProtection="0"/>
    <xf numFmtId="0" fontId="17" fillId="17" borderId="4" applyNumberFormat="0" applyAlignment="0" applyProtection="0"/>
    <xf numFmtId="0" fontId="18" fillId="17" borderId="3" applyNumberFormat="0" applyAlignment="0" applyProtection="0"/>
    <xf numFmtId="0" fontId="19" fillId="0" borderId="5" applyNumberFormat="0" applyFill="0" applyAlignment="0" applyProtection="0"/>
    <xf numFmtId="0" fontId="13" fillId="18" borderId="6" applyNumberFormat="0" applyAlignment="0" applyProtection="0"/>
    <xf numFmtId="0" fontId="15" fillId="19" borderId="7" applyNumberFormat="0" applyFont="0" applyAlignment="0" applyProtection="0"/>
    <xf numFmtId="0" fontId="20" fillId="0" borderId="0"/>
    <xf numFmtId="0" fontId="5" fillId="0" borderId="0"/>
    <xf numFmtId="0" fontId="22" fillId="0" borderId="0"/>
    <xf numFmtId="0" fontId="20" fillId="0" borderId="0"/>
    <xf numFmtId="0" fontId="23" fillId="0" borderId="0"/>
    <xf numFmtId="0" fontId="23" fillId="0" borderId="0"/>
    <xf numFmtId="0" fontId="5" fillId="0" borderId="0"/>
    <xf numFmtId="0" fontId="5" fillId="0" borderId="0"/>
    <xf numFmtId="9" fontId="15" fillId="0" borderId="0" applyFont="0" applyFill="0" applyBorder="0" applyAlignment="0" applyProtection="0"/>
    <xf numFmtId="0" fontId="5" fillId="0" borderId="0"/>
    <xf numFmtId="43" fontId="5" fillId="23" borderId="0">
      <alignment vertical="top"/>
    </xf>
    <xf numFmtId="43" fontId="15" fillId="0" borderId="0" applyFont="0" applyFill="0" applyBorder="0" applyAlignment="0" applyProtection="0"/>
    <xf numFmtId="0" fontId="29"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14" fillId="0" borderId="0" applyNumberFormat="0" applyFill="0" applyBorder="0" applyAlignment="0" applyProtection="0"/>
    <xf numFmtId="0" fontId="34" fillId="0" borderId="0" applyNumberFormat="0" applyFill="0" applyBorder="0" applyAlignment="0" applyProtection="0"/>
    <xf numFmtId="0" fontId="36" fillId="0" borderId="30" applyNumberFormat="0" applyFill="0" applyAlignment="0" applyProtection="0"/>
    <xf numFmtId="0" fontId="26"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26" fillId="47" borderId="0" applyNumberFormat="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 fillId="3"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3" fillId="18" borderId="6" applyNumberFormat="0" applyAlignment="0" applyProtection="0"/>
    <xf numFmtId="0" fontId="15" fillId="19" borderId="7" applyNumberFormat="0" applyFont="0" applyAlignment="0" applyProtection="0"/>
    <xf numFmtId="0" fontId="31" fillId="0" borderId="27" applyNumberFormat="0" applyFill="0" applyAlignment="0" applyProtection="0"/>
    <xf numFmtId="0" fontId="32" fillId="0" borderId="28" applyNumberFormat="0" applyFill="0" applyAlignment="0" applyProtection="0"/>
    <xf numFmtId="0" fontId="33" fillId="0" borderId="29" applyNumberFormat="0" applyFill="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7" fillId="2" borderId="0" applyNumberFormat="0" applyBorder="0" applyAlignment="0" applyProtection="0"/>
    <xf numFmtId="0" fontId="38" fillId="3" borderId="0" applyNumberFormat="0" applyBorder="0" applyAlignment="0" applyProtection="0"/>
    <xf numFmtId="0" fontId="39" fillId="4" borderId="0" applyNumberFormat="0" applyBorder="0" applyAlignment="0" applyProtection="0"/>
    <xf numFmtId="0" fontId="16" fillId="16" borderId="3" applyNumberFormat="0" applyAlignment="0" applyProtection="0"/>
    <xf numFmtId="0" fontId="17" fillId="17" borderId="4" applyNumberFormat="0" applyAlignment="0" applyProtection="0"/>
    <xf numFmtId="0" fontId="18" fillId="17" borderId="3" applyNumberFormat="0" applyAlignment="0" applyProtection="0"/>
    <xf numFmtId="0" fontId="19" fillId="0" borderId="5" applyNumberFormat="0" applyFill="0" applyAlignment="0" applyProtection="0"/>
    <xf numFmtId="0" fontId="13" fillId="18" borderId="6" applyNumberFormat="0" applyAlignment="0" applyProtection="0"/>
    <xf numFmtId="0" fontId="1" fillId="19" borderId="7" applyNumberFormat="0" applyFont="0" applyAlignment="0" applyProtection="0"/>
  </cellStyleXfs>
  <cellXfs count="310">
    <xf numFmtId="0" fontId="0" fillId="0" borderId="0" xfId="0"/>
    <xf numFmtId="0" fontId="6" fillId="0" borderId="0" xfId="4" applyFont="1">
      <alignment vertical="top"/>
    </xf>
    <xf numFmtId="0" fontId="5" fillId="0" borderId="0" xfId="4">
      <alignment vertical="top"/>
    </xf>
    <xf numFmtId="0" fontId="7" fillId="0" borderId="0" xfId="4" applyFont="1">
      <alignment vertical="top"/>
    </xf>
    <xf numFmtId="0" fontId="10" fillId="0" borderId="0" xfId="4" applyFont="1">
      <alignment vertical="top"/>
    </xf>
    <xf numFmtId="0" fontId="11" fillId="0" borderId="0" xfId="4" applyFont="1">
      <alignment vertical="top"/>
    </xf>
    <xf numFmtId="0" fontId="5" fillId="0" borderId="2" xfId="4" applyBorder="1">
      <alignment vertical="top"/>
    </xf>
    <xf numFmtId="49" fontId="6" fillId="20" borderId="1" xfId="6">
      <alignment vertical="top"/>
    </xf>
    <xf numFmtId="0" fontId="5" fillId="0" borderId="0" xfId="4" applyFill="1">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0" fontId="9" fillId="5" borderId="1" xfId="4" applyFont="1" applyFill="1" applyBorder="1">
      <alignment vertical="top"/>
    </xf>
    <xf numFmtId="0" fontId="8" fillId="5" borderId="1" xfId="4" applyFont="1" applyFill="1" applyBorder="1">
      <alignment vertical="top"/>
    </xf>
    <xf numFmtId="0" fontId="11" fillId="0" borderId="0" xfId="4" applyFont="1" applyFill="1">
      <alignment vertical="top"/>
    </xf>
    <xf numFmtId="0" fontId="5" fillId="7" borderId="0" xfId="4" applyFill="1">
      <alignment vertical="top"/>
    </xf>
    <xf numFmtId="2" fontId="5" fillId="11" borderId="0" xfId="4" applyNumberFormat="1" applyFill="1">
      <alignment vertical="top"/>
    </xf>
    <xf numFmtId="1" fontId="5" fillId="0" borderId="0" xfId="4" applyNumberFormat="1" applyFill="1">
      <alignment vertical="top"/>
    </xf>
    <xf numFmtId="1" fontId="10" fillId="0" borderId="0" xfId="4" applyNumberFormat="1" applyFont="1" applyFill="1">
      <alignment vertical="top"/>
    </xf>
    <xf numFmtId="0" fontId="12" fillId="0" borderId="0" xfId="4" applyFont="1" applyFill="1">
      <alignment vertical="top"/>
    </xf>
    <xf numFmtId="49" fontId="7" fillId="20" borderId="2" xfId="6" applyFont="1" applyBorder="1">
      <alignment vertical="top"/>
    </xf>
    <xf numFmtId="0" fontId="9" fillId="5" borderId="1" xfId="5" applyNumberFormat="1">
      <alignment vertical="top"/>
    </xf>
    <xf numFmtId="0" fontId="14" fillId="0" borderId="0" xfId="4" applyFont="1">
      <alignment vertical="top"/>
    </xf>
    <xf numFmtId="0" fontId="5" fillId="15" borderId="0" xfId="4" applyFill="1">
      <alignment vertical="top"/>
    </xf>
    <xf numFmtId="0" fontId="5" fillId="0" borderId="0" xfId="4" applyFont="1">
      <alignment vertical="top"/>
    </xf>
    <xf numFmtId="49" fontId="5" fillId="20" borderId="2" xfId="6" applyFont="1" applyBorder="1">
      <alignment vertical="top"/>
    </xf>
    <xf numFmtId="0" fontId="5" fillId="0" borderId="2" xfId="4" applyFont="1" applyBorder="1">
      <alignment vertical="top"/>
    </xf>
    <xf numFmtId="49" fontId="11" fillId="0" borderId="0" xfId="14">
      <alignment vertical="top"/>
    </xf>
    <xf numFmtId="0" fontId="6" fillId="20" borderId="1" xfId="6" applyNumberFormat="1" applyAlignment="1">
      <alignment horizontal="left" vertical="top" wrapText="1"/>
    </xf>
    <xf numFmtId="3" fontId="5" fillId="0" borderId="0" xfId="4" applyNumberFormat="1" applyFill="1">
      <alignment vertical="top"/>
    </xf>
    <xf numFmtId="0" fontId="5" fillId="0" borderId="0" xfId="4" applyFont="1" applyFill="1">
      <alignment vertical="top"/>
    </xf>
    <xf numFmtId="3" fontId="5" fillId="7" borderId="0" xfId="4" applyNumberFormat="1" applyFill="1">
      <alignment vertical="top"/>
    </xf>
    <xf numFmtId="49" fontId="6" fillId="20" borderId="1" xfId="6" applyAlignment="1">
      <alignment vertical="top" wrapText="1"/>
    </xf>
    <xf numFmtId="0" fontId="5" fillId="0" borderId="0" xfId="4" applyAlignment="1">
      <alignment horizontal="left" vertical="top"/>
    </xf>
    <xf numFmtId="3" fontId="21" fillId="0" borderId="0" xfId="22" applyNumberFormat="1" applyFont="1" applyFill="1" applyBorder="1" applyAlignment="1" applyProtection="1">
      <protection locked="0"/>
    </xf>
    <xf numFmtId="3" fontId="5" fillId="0" borderId="0" xfId="4" applyNumberFormat="1">
      <alignment vertical="top"/>
    </xf>
    <xf numFmtId="49" fontId="11" fillId="20" borderId="1" xfId="6" applyFont="1">
      <alignment vertical="top"/>
    </xf>
    <xf numFmtId="166" fontId="5" fillId="14" borderId="0" xfId="13" applyNumberFormat="1">
      <alignment vertical="top"/>
    </xf>
    <xf numFmtId="166" fontId="5" fillId="12" borderId="0" xfId="9" applyNumberFormat="1">
      <alignment vertical="top"/>
    </xf>
    <xf numFmtId="166" fontId="5" fillId="13" borderId="0" xfId="8" applyNumberFormat="1">
      <alignment vertical="top"/>
    </xf>
    <xf numFmtId="0" fontId="5" fillId="0" borderId="0" xfId="23" applyFont="1"/>
    <xf numFmtId="43" fontId="5" fillId="6" borderId="0" xfId="11">
      <alignment vertical="top"/>
    </xf>
    <xf numFmtId="49" fontId="6" fillId="20" borderId="1" xfId="6" applyFont="1" applyAlignment="1">
      <alignment vertical="top" wrapText="1"/>
    </xf>
    <xf numFmtId="4" fontId="14" fillId="0" borderId="0" xfId="4" applyNumberFormat="1" applyFont="1">
      <alignment vertical="top"/>
    </xf>
    <xf numFmtId="49" fontId="5" fillId="0" borderId="0" xfId="4" applyNumberFormat="1">
      <alignment vertical="top"/>
    </xf>
    <xf numFmtId="166" fontId="5" fillId="0" borderId="0" xfId="13" applyNumberFormat="1" applyFill="1">
      <alignment vertical="top"/>
    </xf>
    <xf numFmtId="41" fontId="5" fillId="12" borderId="0" xfId="9" applyNumberFormat="1">
      <alignment vertical="top"/>
    </xf>
    <xf numFmtId="166" fontId="5" fillId="0" borderId="0" xfId="4" applyNumberFormat="1">
      <alignment vertical="top"/>
    </xf>
    <xf numFmtId="3" fontId="5" fillId="0" borderId="0" xfId="24" applyNumberFormat="1" applyFont="1" applyFill="1" applyBorder="1" applyAlignment="1" applyProtection="1">
      <alignment vertical="center"/>
    </xf>
    <xf numFmtId="3" fontId="6" fillId="0" borderId="0" xfId="24" applyNumberFormat="1" applyFont="1" applyFill="1" applyBorder="1" applyAlignment="1" applyProtection="1">
      <alignment vertical="center"/>
    </xf>
    <xf numFmtId="39" fontId="5" fillId="0" borderId="0" xfId="25" applyNumberFormat="1" applyFont="1" applyFill="1" applyBorder="1" applyAlignment="1" applyProtection="1">
      <alignment vertical="center"/>
    </xf>
    <xf numFmtId="3" fontId="5" fillId="0" borderId="0" xfId="24" applyNumberFormat="1" applyFont="1" applyBorder="1" applyAlignment="1" applyProtection="1">
      <alignment vertical="center"/>
    </xf>
    <xf numFmtId="0" fontId="6" fillId="0" borderId="0" xfId="26" applyFont="1" applyBorder="1"/>
    <xf numFmtId="0" fontId="5" fillId="0" borderId="0" xfId="26" applyFont="1" applyFill="1" applyBorder="1"/>
    <xf numFmtId="0" fontId="21" fillId="0" borderId="0" xfId="26" applyFont="1" applyFill="1" applyBorder="1"/>
    <xf numFmtId="0" fontId="5" fillId="0" borderId="0" xfId="27" applyFont="1" applyFill="1" applyBorder="1"/>
    <xf numFmtId="4" fontId="5" fillId="0" borderId="0" xfId="26" applyNumberFormat="1" applyFont="1" applyFill="1" applyBorder="1"/>
    <xf numFmtId="0" fontId="5" fillId="0" borderId="0" xfId="26" quotePrefix="1" applyFont="1" applyFill="1" applyBorder="1"/>
    <xf numFmtId="3" fontId="5" fillId="0" borderId="0" xfId="26" applyNumberFormat="1" applyFont="1" applyFill="1" applyBorder="1"/>
    <xf numFmtId="0" fontId="5" fillId="0" borderId="0" xfId="27" applyFont="1" applyBorder="1"/>
    <xf numFmtId="165" fontId="5" fillId="12" borderId="0" xfId="9" applyNumberFormat="1">
      <alignment vertical="top"/>
    </xf>
    <xf numFmtId="164" fontId="5" fillId="0" borderId="0" xfId="26" applyNumberFormat="1" applyFont="1" applyFill="1" applyBorder="1"/>
    <xf numFmtId="0" fontId="5" fillId="0" borderId="0" xfId="4" applyBorder="1">
      <alignment vertical="top"/>
    </xf>
    <xf numFmtId="39" fontId="5" fillId="0" borderId="0" xfId="28" applyNumberFormat="1" applyFont="1" applyFill="1" applyBorder="1" applyAlignment="1" applyProtection="1">
      <alignment vertical="center"/>
    </xf>
    <xf numFmtId="0" fontId="5" fillId="0" borderId="0" xfId="26" applyFont="1" applyBorder="1"/>
    <xf numFmtId="3" fontId="5" fillId="0" borderId="0" xfId="26" applyNumberFormat="1" applyFont="1" applyBorder="1"/>
    <xf numFmtId="167" fontId="5" fillId="12" borderId="0" xfId="9" applyNumberFormat="1">
      <alignment vertical="top"/>
    </xf>
    <xf numFmtId="41" fontId="5" fillId="12" borderId="0" xfId="9" applyNumberFormat="1" applyFill="1">
      <alignment vertical="top"/>
    </xf>
    <xf numFmtId="0" fontId="5" fillId="0" borderId="0" xfId="29" applyFont="1" applyFill="1" applyBorder="1"/>
    <xf numFmtId="3" fontId="5" fillId="0" borderId="0" xfId="24" applyNumberFormat="1" applyFont="1" applyBorder="1" applyAlignment="1" applyProtection="1">
      <alignment horizontal="center" vertical="center"/>
    </xf>
    <xf numFmtId="0" fontId="6" fillId="20" borderId="1" xfId="4" applyFont="1" applyFill="1" applyBorder="1">
      <alignment vertical="top"/>
    </xf>
    <xf numFmtId="0" fontId="5" fillId="20" borderId="1" xfId="4" applyFill="1" applyBorder="1">
      <alignment vertical="top"/>
    </xf>
    <xf numFmtId="0" fontId="9" fillId="5" borderId="1" xfId="5" applyNumberFormat="1" applyFont="1">
      <alignment vertical="top"/>
    </xf>
    <xf numFmtId="0" fontId="6" fillId="20" borderId="1" xfId="6" applyNumberFormat="1" applyAlignment="1">
      <alignment horizontal="left" vertical="top"/>
    </xf>
    <xf numFmtId="166" fontId="5" fillId="13" borderId="0" xfId="4" applyNumberFormat="1" applyFill="1">
      <alignment vertical="top"/>
    </xf>
    <xf numFmtId="49" fontId="5" fillId="0" borderId="0" xfId="4" applyNumberFormat="1" applyAlignment="1">
      <alignment horizontal="left" vertical="top"/>
    </xf>
    <xf numFmtId="49" fontId="6" fillId="20" borderId="1" xfId="6" applyFont="1">
      <alignment vertical="top"/>
    </xf>
    <xf numFmtId="4" fontId="5" fillId="0" borderId="0" xfId="4" applyNumberFormat="1" applyFont="1" applyFill="1">
      <alignment vertical="top"/>
    </xf>
    <xf numFmtId="3" fontId="5" fillId="0" borderId="0" xfId="4" applyNumberFormat="1" applyFont="1" applyFill="1">
      <alignment vertical="top"/>
    </xf>
    <xf numFmtId="0" fontId="8" fillId="5" borderId="1" xfId="5" applyNumberFormat="1" applyFont="1">
      <alignment vertical="top"/>
    </xf>
    <xf numFmtId="43" fontId="5" fillId="12" borderId="0" xfId="9" applyFont="1">
      <alignment vertical="top"/>
    </xf>
    <xf numFmtId="0" fontId="6" fillId="0" borderId="0" xfId="4" applyFont="1">
      <alignment vertical="top"/>
    </xf>
    <xf numFmtId="0" fontId="5" fillId="0" borderId="0" xfId="4">
      <alignment vertical="top"/>
    </xf>
    <xf numFmtId="0" fontId="5" fillId="0" borderId="0" xfId="4" applyFont="1">
      <alignment vertical="top"/>
    </xf>
    <xf numFmtId="0" fontId="14" fillId="0" borderId="0" xfId="4" applyFont="1">
      <alignment vertical="top"/>
    </xf>
    <xf numFmtId="0" fontId="10" fillId="0" borderId="0" xfId="4" applyFont="1">
      <alignment vertical="top"/>
    </xf>
    <xf numFmtId="49" fontId="6" fillId="20" borderId="1" xfId="6">
      <alignment vertical="top"/>
    </xf>
    <xf numFmtId="49" fontId="6" fillId="20" borderId="1" xfId="6" applyFont="1" applyAlignment="1">
      <alignment vertical="top" wrapText="1"/>
    </xf>
    <xf numFmtId="39" fontId="5" fillId="0" borderId="0" xfId="25" applyNumberFormat="1" applyFont="1" applyFill="1" applyBorder="1" applyAlignment="1" applyProtection="1">
      <alignment vertical="center"/>
    </xf>
    <xf numFmtId="165" fontId="5" fillId="12" borderId="0" xfId="30" applyNumberFormat="1" applyFont="1" applyFill="1" applyAlignment="1">
      <alignment vertical="top"/>
    </xf>
    <xf numFmtId="166" fontId="5" fillId="7" borderId="0" xfId="4" applyNumberFormat="1" applyFill="1">
      <alignment vertical="top"/>
    </xf>
    <xf numFmtId="165" fontId="5" fillId="0" borderId="0" xfId="30" applyNumberFormat="1" applyFont="1" applyFill="1" applyAlignment="1">
      <alignment vertical="top"/>
    </xf>
    <xf numFmtId="165" fontId="5" fillId="14" borderId="0" xfId="13" applyNumberFormat="1">
      <alignment vertical="top"/>
    </xf>
    <xf numFmtId="3" fontId="5" fillId="0" borderId="0" xfId="24" applyNumberFormat="1" applyFont="1" applyFill="1" applyBorder="1" applyAlignment="1" applyProtection="1">
      <alignment vertical="center"/>
    </xf>
    <xf numFmtId="43" fontId="5" fillId="0" borderId="0" xfId="4" applyNumberFormat="1" applyFill="1">
      <alignment vertical="top"/>
    </xf>
    <xf numFmtId="0" fontId="6" fillId="0" borderId="0" xfId="4" applyFont="1" applyFill="1">
      <alignment vertical="top"/>
    </xf>
    <xf numFmtId="43" fontId="5" fillId="14" borderId="0" xfId="13">
      <alignment vertical="top"/>
    </xf>
    <xf numFmtId="43" fontId="5" fillId="12" borderId="0" xfId="9">
      <alignment vertical="top"/>
    </xf>
    <xf numFmtId="43" fontId="5" fillId="12" borderId="0" xfId="9" applyAlignment="1">
      <alignment horizontal="left" vertical="top"/>
    </xf>
    <xf numFmtId="43" fontId="5" fillId="13" borderId="0" xfId="8" applyNumberFormat="1">
      <alignment vertical="top"/>
    </xf>
    <xf numFmtId="43" fontId="5" fillId="0" borderId="0" xfId="9" applyFill="1">
      <alignment vertical="top"/>
    </xf>
    <xf numFmtId="166" fontId="5" fillId="0" borderId="0" xfId="9" applyNumberFormat="1" applyFill="1">
      <alignment vertical="top"/>
    </xf>
    <xf numFmtId="9" fontId="5" fillId="14" borderId="0" xfId="13" applyNumberFormat="1">
      <alignment vertical="top"/>
    </xf>
    <xf numFmtId="10" fontId="5" fillId="14" borderId="0" xfId="13" applyNumberFormat="1">
      <alignment vertical="top"/>
    </xf>
    <xf numFmtId="43" fontId="5" fillId="0" borderId="0" xfId="13" applyFill="1">
      <alignment vertical="top"/>
    </xf>
    <xf numFmtId="165" fontId="5" fillId="6" borderId="0" xfId="11" applyNumberFormat="1">
      <alignment vertical="top"/>
    </xf>
    <xf numFmtId="9" fontId="5" fillId="6" borderId="0" xfId="11" applyNumberFormat="1">
      <alignment vertical="top"/>
    </xf>
    <xf numFmtId="0" fontId="5" fillId="0" borderId="0" xfId="31" applyFont="1" applyFill="1"/>
    <xf numFmtId="0" fontId="24" fillId="21" borderId="8" xfId="0" applyFont="1" applyFill="1" applyBorder="1" applyAlignment="1">
      <alignment vertical="top"/>
    </xf>
    <xf numFmtId="0" fontId="24" fillId="21" borderId="9" xfId="0" applyFont="1" applyFill="1" applyBorder="1" applyAlignment="1">
      <alignment vertical="top"/>
    </xf>
    <xf numFmtId="0" fontId="25" fillId="22" borderId="10" xfId="0" applyFont="1" applyFill="1" applyBorder="1" applyAlignment="1">
      <alignment vertical="top"/>
    </xf>
    <xf numFmtId="0" fontId="25" fillId="22" borderId="11" xfId="0" applyFont="1" applyFill="1" applyBorder="1" applyAlignment="1">
      <alignment vertical="top"/>
    </xf>
    <xf numFmtId="0" fontId="25" fillId="22" borderId="0" xfId="0" applyFont="1" applyFill="1" applyBorder="1" applyAlignment="1">
      <alignment vertical="top"/>
    </xf>
    <xf numFmtId="0" fontId="5" fillId="0" borderId="12" xfId="31" applyFont="1" applyFill="1" applyBorder="1"/>
    <xf numFmtId="0" fontId="25" fillId="22" borderId="13" xfId="0" applyFont="1" applyFill="1" applyBorder="1" applyAlignment="1">
      <alignment vertical="top"/>
    </xf>
    <xf numFmtId="0" fontId="21" fillId="22" borderId="14" xfId="0" applyFont="1" applyFill="1" applyBorder="1" applyAlignment="1">
      <alignment vertical="top"/>
    </xf>
    <xf numFmtId="0" fontId="21" fillId="22" borderId="15" xfId="0" applyFont="1" applyFill="1" applyBorder="1" applyAlignment="1">
      <alignment vertical="top"/>
    </xf>
    <xf numFmtId="0" fontId="21" fillId="22" borderId="16" xfId="0" applyFont="1" applyFill="1" applyBorder="1" applyAlignment="1">
      <alignment vertical="top"/>
    </xf>
    <xf numFmtId="0" fontId="21" fillId="22" borderId="0" xfId="0" applyFont="1" applyFill="1" applyBorder="1" applyAlignment="1">
      <alignment vertical="top"/>
    </xf>
    <xf numFmtId="0" fontId="21" fillId="22" borderId="17" xfId="0" applyFont="1" applyFill="1" applyBorder="1" applyAlignment="1">
      <alignment vertical="top"/>
    </xf>
    <xf numFmtId="0" fontId="21" fillId="6" borderId="0" xfId="0" applyFont="1" applyFill="1" applyBorder="1" applyAlignment="1">
      <alignment horizontal="center" vertical="top"/>
    </xf>
    <xf numFmtId="0" fontId="21" fillId="22" borderId="18" xfId="0" applyFont="1" applyFill="1" applyBorder="1" applyAlignment="1">
      <alignment vertical="top"/>
    </xf>
    <xf numFmtId="0" fontId="21" fillId="22" borderId="19" xfId="0" applyFont="1" applyFill="1" applyBorder="1" applyAlignment="1">
      <alignment vertical="top"/>
    </xf>
    <xf numFmtId="0" fontId="21" fillId="22" borderId="20" xfId="0" applyFont="1" applyFill="1" applyBorder="1" applyAlignment="1">
      <alignment vertical="top"/>
    </xf>
    <xf numFmtId="0" fontId="21" fillId="22" borderId="21" xfId="0" applyFont="1" applyFill="1" applyBorder="1" applyAlignment="1">
      <alignment vertical="top"/>
    </xf>
    <xf numFmtId="0" fontId="11" fillId="0" borderId="0" xfId="31" applyFont="1" applyFill="1"/>
    <xf numFmtId="0" fontId="21" fillId="12" borderId="0" xfId="0" applyFont="1" applyFill="1" applyBorder="1" applyAlignment="1">
      <alignment horizontal="center" vertical="top"/>
    </xf>
    <xf numFmtId="0" fontId="5" fillId="0" borderId="0" xfId="31" applyFont="1" applyFill="1" applyBorder="1"/>
    <xf numFmtId="0" fontId="21" fillId="22" borderId="0" xfId="0" applyFont="1" applyFill="1" applyAlignment="1">
      <alignment vertical="top"/>
    </xf>
    <xf numFmtId="0" fontId="21" fillId="13" borderId="0" xfId="0" applyFont="1" applyFill="1" applyBorder="1" applyAlignment="1">
      <alignment horizontal="center" vertical="top"/>
    </xf>
    <xf numFmtId="0" fontId="5" fillId="0" borderId="22" xfId="4" applyBorder="1">
      <alignment vertical="top"/>
    </xf>
    <xf numFmtId="0" fontId="5" fillId="0" borderId="23" xfId="4" applyBorder="1">
      <alignment vertical="top"/>
    </xf>
    <xf numFmtId="0" fontId="24" fillId="21" borderId="24" xfId="0" applyFont="1" applyFill="1" applyBorder="1" applyAlignment="1">
      <alignment vertical="top"/>
    </xf>
    <xf numFmtId="0" fontId="5" fillId="0" borderId="12" xfId="4" applyBorder="1">
      <alignment vertical="top"/>
    </xf>
    <xf numFmtId="0" fontId="5" fillId="0" borderId="25" xfId="4" applyBorder="1">
      <alignment vertical="top"/>
    </xf>
    <xf numFmtId="0" fontId="5" fillId="0" borderId="13" xfId="4" applyBorder="1">
      <alignment vertical="top"/>
    </xf>
    <xf numFmtId="0" fontId="5" fillId="0" borderId="2" xfId="4" applyFont="1" applyBorder="1" applyAlignment="1">
      <alignment horizontal="left" vertical="top" wrapText="1"/>
    </xf>
    <xf numFmtId="0" fontId="13" fillId="5" borderId="1" xfId="4" applyFont="1" applyFill="1" applyBorder="1">
      <alignment vertical="top"/>
    </xf>
    <xf numFmtId="165" fontId="5" fillId="10" borderId="0" xfId="10" applyNumberFormat="1">
      <alignment vertical="top"/>
    </xf>
    <xf numFmtId="41" fontId="5" fillId="6" borderId="0" xfId="11" applyNumberFormat="1">
      <alignment vertical="top"/>
    </xf>
    <xf numFmtId="41" fontId="5" fillId="14" borderId="0" xfId="13" applyNumberFormat="1">
      <alignment vertical="top"/>
    </xf>
    <xf numFmtId="43" fontId="5" fillId="10" borderId="0" xfId="10">
      <alignment vertical="top"/>
    </xf>
    <xf numFmtId="10" fontId="5" fillId="6" borderId="0" xfId="11" applyNumberFormat="1">
      <alignment vertical="top"/>
    </xf>
    <xf numFmtId="10" fontId="5" fillId="12" borderId="0" xfId="9" applyNumberFormat="1">
      <alignment vertical="top"/>
    </xf>
    <xf numFmtId="10" fontId="5" fillId="7" borderId="0" xfId="4" applyNumberFormat="1" applyFill="1">
      <alignment vertical="top"/>
    </xf>
    <xf numFmtId="0" fontId="5" fillId="0" borderId="0" xfId="4">
      <alignment vertical="top"/>
    </xf>
    <xf numFmtId="49" fontId="5" fillId="0" borderId="0" xfId="14" applyFont="1">
      <alignment vertical="top"/>
    </xf>
    <xf numFmtId="49" fontId="5" fillId="0" borderId="0" xfId="14" applyFont="1">
      <alignment vertical="top"/>
    </xf>
    <xf numFmtId="0" fontId="5" fillId="0" borderId="0" xfId="4">
      <alignment vertical="top"/>
    </xf>
    <xf numFmtId="49" fontId="5" fillId="0" borderId="0" xfId="14" applyFont="1">
      <alignment vertical="top"/>
    </xf>
    <xf numFmtId="49" fontId="5" fillId="0" borderId="0" xfId="14" applyFont="1">
      <alignment vertical="top"/>
    </xf>
    <xf numFmtId="49" fontId="5" fillId="0" borderId="0" xfId="14" applyFont="1">
      <alignment vertical="top"/>
    </xf>
    <xf numFmtId="49" fontId="5" fillId="0" borderId="0" xfId="14" applyFont="1">
      <alignment vertical="top"/>
    </xf>
    <xf numFmtId="49" fontId="5" fillId="0" borderId="0" xfId="14" applyFont="1">
      <alignment vertical="top"/>
    </xf>
    <xf numFmtId="0" fontId="5" fillId="0" borderId="0" xfId="4">
      <alignment vertical="top"/>
    </xf>
    <xf numFmtId="0" fontId="9" fillId="5" borderId="1" xfId="5" applyNumberFormat="1" applyFont="1">
      <alignment vertical="top"/>
    </xf>
    <xf numFmtId="0" fontId="5" fillId="0" borderId="0" xfId="4">
      <alignment vertical="top"/>
    </xf>
    <xf numFmtId="0" fontId="14" fillId="0" borderId="0" xfId="4" applyFont="1">
      <alignment vertical="top"/>
    </xf>
    <xf numFmtId="49" fontId="5" fillId="0" borderId="0" xfId="14" applyFont="1">
      <alignment vertical="top"/>
    </xf>
    <xf numFmtId="0" fontId="5" fillId="0" borderId="0" xfId="4">
      <alignment vertical="top"/>
    </xf>
    <xf numFmtId="0" fontId="5" fillId="0" borderId="0" xfId="4">
      <alignment vertical="top"/>
    </xf>
    <xf numFmtId="0" fontId="5" fillId="0" borderId="2" xfId="4" applyFont="1" applyBorder="1" applyAlignment="1">
      <alignment horizontal="left" vertical="top" wrapText="1"/>
    </xf>
    <xf numFmtId="0" fontId="5" fillId="0" borderId="0" xfId="4">
      <alignment vertical="top"/>
    </xf>
    <xf numFmtId="0" fontId="5" fillId="22" borderId="0" xfId="26" applyFont="1" applyFill="1" applyBorder="1"/>
    <xf numFmtId="0" fontId="5" fillId="22" borderId="0" xfId="4" applyFill="1">
      <alignment vertical="top"/>
    </xf>
    <xf numFmtId="41" fontId="5" fillId="0" borderId="0" xfId="4" applyNumberFormat="1">
      <alignment vertical="top"/>
    </xf>
    <xf numFmtId="49" fontId="14" fillId="0" borderId="0" xfId="14" applyFont="1">
      <alignment vertical="top"/>
    </xf>
    <xf numFmtId="167" fontId="5" fillId="10" borderId="0" xfId="9" applyNumberFormat="1" applyFill="1">
      <alignment vertical="top"/>
    </xf>
    <xf numFmtId="43" fontId="5" fillId="10" borderId="0" xfId="10" applyFill="1">
      <alignment vertical="top"/>
    </xf>
    <xf numFmtId="49" fontId="5" fillId="0" borderId="0" xfId="14" applyFont="1" applyFill="1">
      <alignment vertical="top"/>
    </xf>
    <xf numFmtId="49" fontId="6" fillId="0" borderId="0" xfId="14" applyFont="1">
      <alignment vertical="top"/>
    </xf>
    <xf numFmtId="166" fontId="5" fillId="14" borderId="0" xfId="13" applyNumberFormat="1" applyFill="1">
      <alignment vertical="top"/>
    </xf>
    <xf numFmtId="0" fontId="5" fillId="0" borderId="0" xfId="4">
      <alignment vertical="top"/>
    </xf>
    <xf numFmtId="49" fontId="5" fillId="20" borderId="1" xfId="6" applyFont="1">
      <alignment vertical="top"/>
    </xf>
    <xf numFmtId="0" fontId="26" fillId="0" borderId="0" xfId="4" applyFont="1" applyFill="1">
      <alignment vertical="top"/>
    </xf>
    <xf numFmtId="0" fontId="5" fillId="22" borderId="2" xfId="4" applyFont="1" applyFill="1" applyBorder="1">
      <alignment vertical="top"/>
    </xf>
    <xf numFmtId="43" fontId="5" fillId="6" borderId="0" xfId="11" applyNumberFormat="1">
      <alignment vertical="top"/>
    </xf>
    <xf numFmtId="4" fontId="5" fillId="0" borderId="0" xfId="4" applyNumberFormat="1" applyFont="1">
      <alignment vertical="top"/>
    </xf>
    <xf numFmtId="0" fontId="5" fillId="0" borderId="0" xfId="4" applyFont="1">
      <alignment vertical="top"/>
    </xf>
    <xf numFmtId="165" fontId="5" fillId="6" borderId="0" xfId="11" applyNumberFormat="1">
      <alignment vertical="top"/>
    </xf>
    <xf numFmtId="10" fontId="5" fillId="6" borderId="0" xfId="11" applyNumberFormat="1">
      <alignment vertical="top"/>
    </xf>
    <xf numFmtId="166" fontId="5" fillId="6" borderId="0" xfId="11" applyNumberFormat="1" applyFont="1">
      <alignment vertical="top"/>
    </xf>
    <xf numFmtId="0" fontId="6" fillId="0" borderId="0" xfId="4" applyFont="1">
      <alignment vertical="top"/>
    </xf>
    <xf numFmtId="0" fontId="5" fillId="0" borderId="0" xfId="4">
      <alignment vertical="top"/>
    </xf>
    <xf numFmtId="0" fontId="5" fillId="0" borderId="0" xfId="4" applyFont="1">
      <alignment vertical="top"/>
    </xf>
    <xf numFmtId="49" fontId="6" fillId="20" borderId="1" xfId="6">
      <alignment vertical="top"/>
    </xf>
    <xf numFmtId="0" fontId="5" fillId="0" borderId="0" xfId="4" applyFill="1">
      <alignment vertical="top"/>
    </xf>
    <xf numFmtId="0" fontId="5" fillId="0" borderId="0" xfId="4" applyFont="1" applyFill="1">
      <alignment vertical="top"/>
    </xf>
    <xf numFmtId="3" fontId="5" fillId="0" borderId="0" xfId="4" applyNumberFormat="1">
      <alignment vertical="top"/>
    </xf>
    <xf numFmtId="166" fontId="5" fillId="14" borderId="0" xfId="13" applyNumberFormat="1">
      <alignment vertical="top"/>
    </xf>
    <xf numFmtId="49" fontId="5" fillId="0" borderId="0" xfId="14" applyFont="1">
      <alignment vertical="top"/>
    </xf>
    <xf numFmtId="0" fontId="5" fillId="0" borderId="0" xfId="4">
      <alignment vertical="top"/>
    </xf>
    <xf numFmtId="0" fontId="5" fillId="0" borderId="0" xfId="4" applyFont="1">
      <alignment vertical="top"/>
    </xf>
    <xf numFmtId="0" fontId="5" fillId="0" borderId="0" xfId="4" applyFill="1">
      <alignment vertical="top"/>
    </xf>
    <xf numFmtId="166" fontId="5" fillId="0" borderId="0" xfId="11" applyNumberFormat="1" applyFill="1">
      <alignment vertical="top"/>
    </xf>
    <xf numFmtId="49" fontId="6" fillId="20" borderId="1" xfId="6" applyFont="1">
      <alignment vertical="top"/>
    </xf>
    <xf numFmtId="43" fontId="5" fillId="14" borderId="0" xfId="13" applyNumberFormat="1" applyFill="1">
      <alignment vertical="top"/>
    </xf>
    <xf numFmtId="43" fontId="5" fillId="12" borderId="0" xfId="9" applyNumberFormat="1">
      <alignment vertical="top"/>
    </xf>
    <xf numFmtId="43" fontId="5" fillId="14" borderId="0" xfId="13" applyNumberFormat="1">
      <alignment vertical="top"/>
    </xf>
    <xf numFmtId="43" fontId="5" fillId="13" borderId="0" xfId="8" applyNumberFormat="1">
      <alignment vertical="top"/>
    </xf>
    <xf numFmtId="0" fontId="5" fillId="0" borderId="0" xfId="4">
      <alignment vertical="top"/>
    </xf>
    <xf numFmtId="0" fontId="5" fillId="0" borderId="0" xfId="4">
      <alignment vertical="top"/>
    </xf>
    <xf numFmtId="0" fontId="5" fillId="0" borderId="0" xfId="4">
      <alignment vertical="top"/>
    </xf>
    <xf numFmtId="0" fontId="5" fillId="0" borderId="0" xfId="4">
      <alignment vertical="top"/>
    </xf>
    <xf numFmtId="166" fontId="11" fillId="0" borderId="0" xfId="11" applyNumberFormat="1" applyFont="1" applyFill="1">
      <alignment vertical="top"/>
    </xf>
    <xf numFmtId="166" fontId="5" fillId="23" borderId="0" xfId="32" applyNumberFormat="1">
      <alignment vertical="top"/>
    </xf>
    <xf numFmtId="0" fontId="27" fillId="0" borderId="0" xfId="4" applyFont="1">
      <alignment vertical="top"/>
    </xf>
    <xf numFmtId="0" fontId="5" fillId="0" borderId="0" xfId="4">
      <alignment vertical="top"/>
    </xf>
    <xf numFmtId="0" fontId="5" fillId="0" borderId="0" xfId="4" applyFont="1">
      <alignment vertical="top"/>
    </xf>
    <xf numFmtId="0" fontId="11" fillId="0" borderId="0" xfId="4" applyFont="1">
      <alignment vertical="top"/>
    </xf>
    <xf numFmtId="43" fontId="5" fillId="13" borderId="0" xfId="8" applyFont="1">
      <alignment vertical="top"/>
    </xf>
    <xf numFmtId="43" fontId="5" fillId="13" borderId="0" xfId="8" applyNumberFormat="1" applyFont="1">
      <alignment vertical="top"/>
    </xf>
    <xf numFmtId="41" fontId="5" fillId="13" borderId="0" xfId="8" applyNumberFormat="1" applyFont="1">
      <alignment vertical="top"/>
    </xf>
    <xf numFmtId="0" fontId="5" fillId="0" borderId="0" xfId="4">
      <alignment vertical="top"/>
    </xf>
    <xf numFmtId="49" fontId="6" fillId="0" borderId="0" xfId="7">
      <alignment vertical="top"/>
    </xf>
    <xf numFmtId="41" fontId="5" fillId="13" borderId="0" xfId="8" applyNumberFormat="1">
      <alignment vertical="top"/>
    </xf>
    <xf numFmtId="0" fontId="14" fillId="0" borderId="0" xfId="23" applyFont="1"/>
    <xf numFmtId="0" fontId="5" fillId="0" borderId="0" xfId="4">
      <alignment vertical="top"/>
    </xf>
    <xf numFmtId="0" fontId="5" fillId="0" borderId="0" xfId="4">
      <alignment vertical="top"/>
    </xf>
    <xf numFmtId="165" fontId="5" fillId="0" borderId="0" xfId="13" applyNumberFormat="1" applyFill="1">
      <alignment vertical="top"/>
    </xf>
    <xf numFmtId="41" fontId="5" fillId="0" borderId="0" xfId="8" applyNumberFormat="1" applyFill="1">
      <alignment vertical="top"/>
    </xf>
    <xf numFmtId="0" fontId="5" fillId="0" borderId="0" xfId="4">
      <alignment vertical="top"/>
    </xf>
    <xf numFmtId="165" fontId="5" fillId="6" borderId="0" xfId="11" applyNumberFormat="1" applyFont="1">
      <alignment vertical="top"/>
    </xf>
    <xf numFmtId="1" fontId="6" fillId="20" borderId="1" xfId="6" applyNumberFormat="1" applyAlignment="1">
      <alignment horizontal="left" vertical="top"/>
    </xf>
    <xf numFmtId="0" fontId="5" fillId="0" borderId="0" xfId="4">
      <alignment vertical="top"/>
    </xf>
    <xf numFmtId="0" fontId="11" fillId="5" borderId="1" xfId="5" applyNumberFormat="1" applyFont="1">
      <alignment vertical="top"/>
    </xf>
    <xf numFmtId="0" fontId="5" fillId="0" borderId="0" xfId="4">
      <alignment vertical="top"/>
    </xf>
    <xf numFmtId="0" fontId="5" fillId="0" borderId="0" xfId="4">
      <alignment vertical="top"/>
    </xf>
    <xf numFmtId="43" fontId="5" fillId="13" borderId="0" xfId="8">
      <alignment vertical="top"/>
    </xf>
    <xf numFmtId="49" fontId="10" fillId="0" borderId="0" xfId="15">
      <alignment vertical="top"/>
    </xf>
    <xf numFmtId="43" fontId="5" fillId="8" borderId="0" xfId="12">
      <alignment vertical="top"/>
    </xf>
    <xf numFmtId="43" fontId="5" fillId="23" borderId="0" xfId="32">
      <alignment vertical="top"/>
    </xf>
    <xf numFmtId="43" fontId="5" fillId="6" borderId="2" xfId="11" applyBorder="1">
      <alignment vertical="top"/>
    </xf>
    <xf numFmtId="43" fontId="12" fillId="0" borderId="0" xfId="33" applyFont="1" applyFill="1" applyAlignment="1">
      <alignment vertical="top"/>
    </xf>
    <xf numFmtId="0" fontId="5" fillId="9" borderId="0" xfId="4" applyFont="1" applyFill="1">
      <alignment vertical="top"/>
    </xf>
    <xf numFmtId="0" fontId="5" fillId="12" borderId="0" xfId="4" applyFont="1" applyFill="1">
      <alignment vertical="top"/>
    </xf>
    <xf numFmtId="49" fontId="5" fillId="20" borderId="0" xfId="6" applyFont="1" applyBorder="1">
      <alignment vertical="top"/>
    </xf>
    <xf numFmtId="0" fontId="14" fillId="0" borderId="0" xfId="4" applyFont="1" applyFill="1">
      <alignment vertical="top"/>
    </xf>
    <xf numFmtId="43" fontId="5" fillId="23" borderId="0" xfId="32" applyAlignment="1">
      <alignment horizontal="center" vertical="top"/>
    </xf>
    <xf numFmtId="0" fontId="5" fillId="0" borderId="0" xfId="4">
      <alignment vertical="top"/>
    </xf>
    <xf numFmtId="0" fontId="5" fillId="0" borderId="0" xfId="4" applyAlignment="1">
      <alignment vertical="top" wrapText="1"/>
    </xf>
    <xf numFmtId="0" fontId="5" fillId="0" borderId="0" xfId="4">
      <alignment vertical="top"/>
    </xf>
    <xf numFmtId="0" fontId="30" fillId="0" borderId="2" xfId="34" applyFont="1" applyBorder="1" applyAlignment="1">
      <alignment vertical="top"/>
    </xf>
    <xf numFmtId="0" fontId="5" fillId="0" borderId="0" xfId="4">
      <alignment vertical="top"/>
    </xf>
    <xf numFmtId="166" fontId="5" fillId="0" borderId="0" xfId="4" applyNumberFormat="1" applyFill="1">
      <alignment vertical="top"/>
    </xf>
    <xf numFmtId="166" fontId="5" fillId="0" borderId="0" xfId="8" applyNumberFormat="1" applyFill="1">
      <alignment vertical="top"/>
    </xf>
    <xf numFmtId="0" fontId="5" fillId="0" borderId="0" xfId="4">
      <alignment vertical="top"/>
    </xf>
    <xf numFmtId="166" fontId="5" fillId="0" borderId="0" xfId="11" applyNumberFormat="1" applyFont="1" applyFill="1">
      <alignment vertical="top"/>
    </xf>
    <xf numFmtId="0" fontId="5" fillId="0" borderId="0" xfId="4">
      <alignment vertical="top"/>
    </xf>
    <xf numFmtId="166" fontId="5" fillId="14" borderId="0" xfId="13" applyNumberFormat="1" applyFont="1">
      <alignment vertical="top"/>
    </xf>
    <xf numFmtId="43" fontId="5" fillId="14" borderId="0" xfId="13" applyFont="1">
      <alignment vertical="top"/>
    </xf>
    <xf numFmtId="165" fontId="5" fillId="0" borderId="0" xfId="13" applyNumberFormat="1" applyFont="1" applyFill="1">
      <alignment vertical="top"/>
    </xf>
    <xf numFmtId="166" fontId="5" fillId="0" borderId="0" xfId="13" applyNumberFormat="1" applyFont="1" applyFill="1">
      <alignment vertical="top"/>
    </xf>
    <xf numFmtId="165" fontId="14" fillId="0" borderId="0" xfId="11" applyNumberFormat="1" applyFont="1" applyFill="1">
      <alignment vertical="top"/>
    </xf>
    <xf numFmtId="43" fontId="5" fillId="6" borderId="0" xfId="11" applyFont="1">
      <alignment vertical="top"/>
    </xf>
    <xf numFmtId="3" fontId="5" fillId="0" borderId="0" xfId="22" applyNumberFormat="1" applyFont="1" applyFill="1" applyBorder="1" applyAlignment="1" applyProtection="1">
      <protection locked="0"/>
    </xf>
    <xf numFmtId="3" fontId="5" fillId="0" borderId="0" xfId="4" applyNumberFormat="1" applyFont="1">
      <alignment vertical="top"/>
    </xf>
    <xf numFmtId="0" fontId="5" fillId="0" borderId="0" xfId="4">
      <alignment vertical="top"/>
    </xf>
    <xf numFmtId="0" fontId="5" fillId="0" borderId="0" xfId="4">
      <alignment vertical="top"/>
    </xf>
    <xf numFmtId="0" fontId="5" fillId="0" borderId="0" xfId="4">
      <alignment vertical="top"/>
    </xf>
    <xf numFmtId="0" fontId="5" fillId="0" borderId="0" xfId="4">
      <alignment vertical="top"/>
    </xf>
    <xf numFmtId="0" fontId="5" fillId="0" borderId="0" xfId="4">
      <alignment vertical="top"/>
    </xf>
    <xf numFmtId="10" fontId="5" fillId="6" borderId="0" xfId="30" applyNumberFormat="1" applyFont="1" applyFill="1" applyAlignment="1">
      <alignment vertical="top"/>
    </xf>
    <xf numFmtId="10" fontId="5" fillId="10" borderId="0" xfId="30" applyNumberFormat="1" applyFont="1" applyFill="1" applyAlignment="1">
      <alignment vertical="top"/>
    </xf>
    <xf numFmtId="43" fontId="5" fillId="6" borderId="0" xfId="11" applyNumberFormat="1" applyFont="1">
      <alignment vertical="top"/>
    </xf>
    <xf numFmtId="41" fontId="5" fillId="6" borderId="0" xfId="11" applyNumberFormat="1" applyFont="1">
      <alignment vertical="top"/>
    </xf>
    <xf numFmtId="0" fontId="5" fillId="0" borderId="0" xfId="4" applyAlignment="1">
      <alignment vertical="top" wrapText="1"/>
    </xf>
    <xf numFmtId="0" fontId="5" fillId="0" borderId="0" xfId="4">
      <alignment vertical="top"/>
    </xf>
    <xf numFmtId="0" fontId="5" fillId="0" borderId="0" xfId="4" applyFont="1" applyAlignment="1">
      <alignment vertical="top" wrapText="1"/>
    </xf>
    <xf numFmtId="0" fontId="5" fillId="0" borderId="0" xfId="4" applyAlignment="1">
      <alignment horizontal="left" vertical="top" wrapText="1"/>
    </xf>
    <xf numFmtId="43" fontId="5" fillId="14" borderId="0" xfId="13" applyNumberFormat="1" applyFont="1">
      <alignment vertical="top"/>
    </xf>
    <xf numFmtId="41" fontId="5" fillId="0" borderId="0" xfId="9" applyNumberFormat="1" applyFill="1">
      <alignment vertical="top"/>
    </xf>
    <xf numFmtId="41" fontId="5" fillId="0" borderId="0" xfId="13" applyNumberFormat="1" applyFill="1">
      <alignment vertical="top"/>
    </xf>
    <xf numFmtId="0" fontId="5" fillId="0" borderId="26" xfId="4" applyBorder="1" applyAlignment="1">
      <alignment vertical="top" wrapText="1"/>
    </xf>
    <xf numFmtId="0" fontId="10" fillId="0" borderId="0" xfId="4" applyFont="1" applyAlignment="1">
      <alignment vertical="top" wrapText="1"/>
    </xf>
    <xf numFmtId="0" fontId="5" fillId="0" borderId="0" xfId="4">
      <alignment vertical="top"/>
    </xf>
    <xf numFmtId="0" fontId="5" fillId="0" borderId="0" xfId="4">
      <alignment vertical="top"/>
    </xf>
    <xf numFmtId="166" fontId="5" fillId="0" borderId="0" xfId="32" applyNumberFormat="1" applyFill="1">
      <alignment vertical="top"/>
    </xf>
    <xf numFmtId="165" fontId="5" fillId="0" borderId="0" xfId="11" applyNumberFormat="1" applyFill="1">
      <alignment vertical="top"/>
    </xf>
    <xf numFmtId="0" fontId="30" fillId="0" borderId="2" xfId="34" applyFont="1" applyFill="1" applyBorder="1" applyAlignment="1">
      <alignment vertical="top"/>
    </xf>
    <xf numFmtId="0" fontId="5" fillId="0" borderId="0" xfId="4">
      <alignment vertical="top"/>
    </xf>
    <xf numFmtId="0" fontId="5" fillId="0" borderId="0" xfId="4" applyAlignment="1">
      <alignment vertical="top" wrapText="1"/>
    </xf>
    <xf numFmtId="0" fontId="5" fillId="0" borderId="0" xfId="4">
      <alignment vertical="top"/>
    </xf>
    <xf numFmtId="166" fontId="5" fillId="22" borderId="0" xfId="13" applyNumberFormat="1" applyFont="1" applyFill="1">
      <alignment vertical="top"/>
    </xf>
    <xf numFmtId="166" fontId="5" fillId="22" borderId="0" xfId="11" applyNumberFormat="1" applyFont="1" applyFill="1">
      <alignment vertical="top"/>
    </xf>
    <xf numFmtId="0" fontId="5" fillId="0" borderId="0" xfId="4" applyFont="1">
      <alignment vertical="top"/>
    </xf>
    <xf numFmtId="166" fontId="5" fillId="0" borderId="0" xfId="33" applyNumberFormat="1" applyFont="1" applyFill="1" applyAlignment="1">
      <alignment vertical="top"/>
    </xf>
    <xf numFmtId="166" fontId="5" fillId="0" borderId="0" xfId="33" applyNumberFormat="1" applyFont="1" applyAlignment="1">
      <alignment vertical="top"/>
    </xf>
    <xf numFmtId="166" fontId="5" fillId="23" borderId="0" xfId="33" applyNumberFormat="1" applyFont="1" applyFill="1" applyAlignment="1">
      <alignment vertical="top"/>
    </xf>
    <xf numFmtId="166" fontId="6" fillId="20" borderId="1" xfId="33" applyNumberFormat="1" applyFont="1" applyFill="1" applyBorder="1" applyAlignment="1">
      <alignment vertical="top"/>
    </xf>
    <xf numFmtId="43" fontId="5" fillId="23" borderId="0" xfId="32" applyNumberFormat="1" applyFont="1">
      <alignment vertical="top"/>
    </xf>
    <xf numFmtId="166" fontId="5" fillId="23" borderId="0" xfId="32" applyNumberFormat="1" applyFont="1">
      <alignment vertical="top"/>
    </xf>
    <xf numFmtId="0" fontId="5" fillId="0" borderId="0" xfId="4">
      <alignment vertical="top"/>
    </xf>
    <xf numFmtId="0" fontId="5" fillId="0" borderId="0" xfId="4">
      <alignment vertical="top"/>
    </xf>
    <xf numFmtId="41" fontId="5" fillId="12" borderId="0" xfId="9" quotePrefix="1" applyNumberFormat="1">
      <alignment vertical="top"/>
    </xf>
    <xf numFmtId="41" fontId="5" fillId="14" borderId="0" xfId="13" quotePrefix="1" applyNumberFormat="1">
      <alignment vertical="top"/>
    </xf>
    <xf numFmtId="168" fontId="5" fillId="14" borderId="0" xfId="13" quotePrefix="1" applyNumberFormat="1">
      <alignment vertical="top"/>
    </xf>
    <xf numFmtId="166" fontId="5" fillId="12" borderId="0" xfId="9" quotePrefix="1" applyNumberFormat="1">
      <alignment vertical="top"/>
    </xf>
    <xf numFmtId="166" fontId="5" fillId="14" borderId="0" xfId="13" quotePrefix="1" applyNumberFormat="1">
      <alignment vertical="top"/>
    </xf>
    <xf numFmtId="166" fontId="5" fillId="48" borderId="0" xfId="11" applyNumberFormat="1" applyFont="1" applyFill="1">
      <alignment vertical="top"/>
    </xf>
    <xf numFmtId="168" fontId="5" fillId="48" borderId="0" xfId="11" applyNumberFormat="1" applyFont="1" applyFill="1">
      <alignment vertical="top"/>
    </xf>
    <xf numFmtId="0" fontId="5" fillId="0" borderId="0" xfId="4" applyAlignment="1">
      <alignment vertical="top" wrapText="1"/>
    </xf>
    <xf numFmtId="0" fontId="5" fillId="0" borderId="0" xfId="4">
      <alignment vertical="top"/>
    </xf>
    <xf numFmtId="0" fontId="5" fillId="0" borderId="0" xfId="4" applyFont="1" applyAlignment="1">
      <alignment vertical="top" wrapText="1"/>
    </xf>
    <xf numFmtId="0" fontId="5" fillId="0" borderId="0" xfId="4" applyFont="1" applyAlignment="1">
      <alignment horizontal="left" vertical="top" wrapText="1"/>
    </xf>
    <xf numFmtId="3" fontId="5" fillId="0" borderId="0" xfId="24" applyNumberFormat="1" applyFont="1" applyFill="1" applyBorder="1" applyAlignment="1" applyProtection="1">
      <alignment vertical="center"/>
    </xf>
    <xf numFmtId="0" fontId="5" fillId="0" borderId="26" xfId="4" applyFont="1" applyBorder="1" applyAlignment="1">
      <alignment horizontal="left" vertical="top" wrapText="1"/>
    </xf>
    <xf numFmtId="0" fontId="5" fillId="0" borderId="0" xfId="4" applyAlignment="1">
      <alignment horizontal="left" vertical="top" wrapText="1"/>
    </xf>
    <xf numFmtId="0" fontId="14" fillId="0" borderId="0" xfId="4" applyFont="1" applyAlignment="1">
      <alignment horizontal="left" vertical="top" wrapText="1"/>
    </xf>
    <xf numFmtId="0" fontId="10" fillId="0" borderId="0" xfId="4" applyFont="1" applyAlignment="1">
      <alignment horizontal="left" vertical="top" wrapText="1"/>
    </xf>
    <xf numFmtId="0" fontId="5" fillId="22" borderId="0" xfId="4" applyFont="1" applyFill="1" applyAlignment="1">
      <alignment horizontal="left" vertical="top" wrapText="1"/>
    </xf>
  </cellXfs>
  <cellStyles count="286">
    <cellStyle name="_x000d__x000a_JournalTemplate=C:\COMFO\CTALK\JOURSTD.TPL_x000d__x000a_LbStateAddress=3 3 0 251 1 89 2 311_x000d__x000a_LbStateJou" xfId="22"/>
    <cellStyle name="_x000d__x000a_JournalTemplate=C:\COMFO\CTALK\JOURSTD.TPL_x000d__x000a_LbStateAddress=3 3 0 251 1 89 2 311_x000d__x000a_LbStateJou 16" xfId="25"/>
    <cellStyle name="_kop1 Bladtitel" xfId="5"/>
    <cellStyle name="_kop2 Bloktitel" xfId="6"/>
    <cellStyle name="_kop3 Subkop" xfId="7"/>
    <cellStyle name="20% - Accent1" xfId="114" builtinId="30" customBuiltin="1"/>
    <cellStyle name="20% - Accent2" xfId="118" builtinId="34" customBuiltin="1"/>
    <cellStyle name="20% - Accent3" xfId="122" builtinId="38" customBuiltin="1"/>
    <cellStyle name="20% - Accent4" xfId="126" builtinId="42" customBuiltin="1"/>
    <cellStyle name="20% - Accent5" xfId="130" builtinId="46" customBuiltin="1"/>
    <cellStyle name="20% - Accent6" xfId="134" builtinId="50" customBuiltin="1"/>
    <cellStyle name="40% - Accent1" xfId="115" builtinId="31" customBuiltin="1"/>
    <cellStyle name="40% - Accent2" xfId="119" builtinId="35" customBuiltin="1"/>
    <cellStyle name="40% - Accent3" xfId="123" builtinId="39" customBuiltin="1"/>
    <cellStyle name="40% - Accent4" xfId="127" builtinId="43" customBuiltin="1"/>
    <cellStyle name="40% - Accent5" xfId="131" builtinId="47" customBuiltin="1"/>
    <cellStyle name="40% - Accent6" xfId="135" builtinId="51" customBuiltin="1"/>
    <cellStyle name="60% - Accent1" xfId="116" builtinId="32" customBuiltin="1"/>
    <cellStyle name="60% - Accent2" xfId="120" builtinId="36" customBuiltin="1"/>
    <cellStyle name="60% - Accent3" xfId="124" builtinId="40" customBuiltin="1"/>
    <cellStyle name="60% - Accent4" xfId="128" builtinId="44" customBuiltin="1"/>
    <cellStyle name="60% - Accent5" xfId="132" builtinId="48" customBuiltin="1"/>
    <cellStyle name="60% - Accent6" xfId="136" builtinId="52" customBuiltin="1"/>
    <cellStyle name="Accent1" xfId="113" builtinId="29" customBuiltin="1"/>
    <cellStyle name="Accent2" xfId="117" builtinId="33" customBuiltin="1"/>
    <cellStyle name="Accent3" xfId="121" builtinId="37" customBuiltin="1"/>
    <cellStyle name="Accent4" xfId="125" builtinId="41" customBuiltin="1"/>
    <cellStyle name="Accent5" xfId="129" builtinId="45" customBuiltin="1"/>
    <cellStyle name="Accent6" xfId="133" builtinId="49" customBuiltin="1"/>
    <cellStyle name="Bad" xfId="35" hidden="1"/>
    <cellStyle name="Bad" xfId="45" hidden="1"/>
    <cellStyle name="Bad" xfId="55" hidden="1"/>
    <cellStyle name="Bad" xfId="65" hidden="1"/>
    <cellStyle name="Bad" xfId="75" hidden="1"/>
    <cellStyle name="Bad" xfId="85" hidden="1"/>
    <cellStyle name="Bad" xfId="95" hidden="1"/>
    <cellStyle name="Bad" xfId="137" hidden="1"/>
    <cellStyle name="Bad" xfId="147" hidden="1"/>
    <cellStyle name="Bad" xfId="157" hidden="1"/>
    <cellStyle name="Bad" xfId="167" hidden="1"/>
    <cellStyle name="Bad" xfId="177" hidden="1"/>
    <cellStyle name="Bad" xfId="187" hidden="1"/>
    <cellStyle name="Bad" xfId="197" hidden="1"/>
    <cellStyle name="Bad" xfId="207" hidden="1"/>
    <cellStyle name="Bad" xfId="217" hidden="1"/>
    <cellStyle name="Bad" xfId="227" hidden="1"/>
    <cellStyle name="Bad" xfId="237" hidden="1"/>
    <cellStyle name="Bad" xfId="247" hidden="1"/>
    <cellStyle name="Bad" xfId="257" hidden="1"/>
    <cellStyle name="Bad" xfId="267" hidden="1"/>
    <cellStyle name="Berekening" xfId="18" builtinId="22" hidden="1"/>
    <cellStyle name="Berekening" xfId="282" builtinId="22" customBuiltin="1"/>
    <cellStyle name="Cel (tussen)resultaat" xfId="8"/>
    <cellStyle name="Cel Berekening" xfId="9"/>
    <cellStyle name="Cel Bijzonderheid" xfId="10"/>
    <cellStyle name="Cel Input" xfId="11"/>
    <cellStyle name="Cel Input Data" xfId="32"/>
    <cellStyle name="Cel PM extern" xfId="12"/>
    <cellStyle name="Cel Verwijzing" xfId="13"/>
    <cellStyle name="Check Cell" xfId="38" hidden="1"/>
    <cellStyle name="Check Cell" xfId="48" hidden="1"/>
    <cellStyle name="Check Cell" xfId="58" hidden="1"/>
    <cellStyle name="Check Cell" xfId="68" hidden="1"/>
    <cellStyle name="Check Cell" xfId="78" hidden="1"/>
    <cellStyle name="Check Cell" xfId="88" hidden="1"/>
    <cellStyle name="Check Cell" xfId="98" hidden="1"/>
    <cellStyle name="Check Cell" xfId="140" hidden="1"/>
    <cellStyle name="Check Cell" xfId="150" hidden="1"/>
    <cellStyle name="Check Cell" xfId="160" hidden="1"/>
    <cellStyle name="Check Cell" xfId="170" hidden="1"/>
    <cellStyle name="Check Cell" xfId="180" hidden="1"/>
    <cellStyle name="Check Cell" xfId="190" hidden="1"/>
    <cellStyle name="Check Cell" xfId="200" hidden="1"/>
    <cellStyle name="Check Cell" xfId="210" hidden="1"/>
    <cellStyle name="Check Cell" xfId="220" hidden="1"/>
    <cellStyle name="Check Cell" xfId="230" hidden="1"/>
    <cellStyle name="Check Cell" xfId="240" hidden="1"/>
    <cellStyle name="Check Cell" xfId="250" hidden="1"/>
    <cellStyle name="Check Cell" xfId="260" hidden="1"/>
    <cellStyle name="Check Cell" xfId="270" hidden="1"/>
    <cellStyle name="Controlecel" xfId="20" builtinId="23" hidden="1"/>
    <cellStyle name="Controlecel" xfId="284" builtinId="23" customBuiltin="1"/>
    <cellStyle name="Explanatory Text" xfId="44" hidden="1"/>
    <cellStyle name="Explanatory Text" xfId="54" hidden="1"/>
    <cellStyle name="Explanatory Text" xfId="64" hidden="1"/>
    <cellStyle name="Explanatory Text" xfId="74" hidden="1"/>
    <cellStyle name="Explanatory Text" xfId="84" hidden="1"/>
    <cellStyle name="Explanatory Text" xfId="94" hidden="1"/>
    <cellStyle name="Explanatory Text" xfId="104" hidden="1"/>
    <cellStyle name="Explanatory Text" xfId="146" hidden="1"/>
    <cellStyle name="Explanatory Text" xfId="156" hidden="1"/>
    <cellStyle name="Explanatory Text" xfId="166" hidden="1"/>
    <cellStyle name="Explanatory Text" xfId="176" hidden="1"/>
    <cellStyle name="Explanatory Text" xfId="186" hidden="1"/>
    <cellStyle name="Explanatory Text" xfId="196" hidden="1"/>
    <cellStyle name="Explanatory Text" xfId="206" hidden="1"/>
    <cellStyle name="Explanatory Text" xfId="216" hidden="1"/>
    <cellStyle name="Explanatory Text" xfId="226" hidden="1"/>
    <cellStyle name="Explanatory Text" xfId="236" hidden="1"/>
    <cellStyle name="Explanatory Text" xfId="246" hidden="1"/>
    <cellStyle name="Explanatory Text" xfId="256" hidden="1"/>
    <cellStyle name="Explanatory Text" xfId="266" hidden="1"/>
    <cellStyle name="Explanatory Text" xfId="276" hidden="1"/>
    <cellStyle name="Gekoppelde cel" xfId="19" builtinId="24" hidden="1"/>
    <cellStyle name="Gekoppelde cel" xfId="283" builtinId="24" customBuiltin="1"/>
    <cellStyle name="Goed" xfId="1" builtinId="26" hidden="1"/>
    <cellStyle name="Goed" xfId="277" builtinId="26" customBuiltin="1"/>
    <cellStyle name="Heading 1" xfId="40" hidden="1"/>
    <cellStyle name="Heading 1" xfId="50" hidden="1"/>
    <cellStyle name="Heading 1" xfId="60" hidden="1"/>
    <cellStyle name="Heading 1" xfId="70" hidden="1"/>
    <cellStyle name="Heading 1" xfId="80" hidden="1"/>
    <cellStyle name="Heading 1" xfId="90" hidden="1"/>
    <cellStyle name="Heading 1" xfId="100" hidden="1"/>
    <cellStyle name="Heading 1" xfId="142" hidden="1"/>
    <cellStyle name="Heading 1" xfId="152" hidden="1"/>
    <cellStyle name="Heading 1" xfId="162" hidden="1"/>
    <cellStyle name="Heading 1" xfId="172" hidden="1"/>
    <cellStyle name="Heading 1" xfId="182" hidden="1"/>
    <cellStyle name="Heading 1" xfId="192" hidden="1"/>
    <cellStyle name="Heading 1" xfId="202" hidden="1"/>
    <cellStyle name="Heading 1" xfId="212" hidden="1"/>
    <cellStyle name="Heading 1" xfId="222" hidden="1"/>
    <cellStyle name="Heading 1" xfId="232" hidden="1"/>
    <cellStyle name="Heading 1" xfId="242" hidden="1"/>
    <cellStyle name="Heading 1" xfId="252" hidden="1"/>
    <cellStyle name="Heading 1" xfId="262" hidden="1"/>
    <cellStyle name="Heading 1" xfId="272" hidden="1"/>
    <cellStyle name="Heading 2" xfId="41" hidden="1"/>
    <cellStyle name="Heading 2" xfId="51" hidden="1"/>
    <cellStyle name="Heading 2" xfId="61" hidden="1"/>
    <cellStyle name="Heading 2" xfId="71" hidden="1"/>
    <cellStyle name="Heading 2" xfId="81" hidden="1"/>
    <cellStyle name="Heading 2" xfId="91" hidden="1"/>
    <cellStyle name="Heading 2" xfId="101" hidden="1"/>
    <cellStyle name="Heading 2" xfId="143" hidden="1"/>
    <cellStyle name="Heading 2" xfId="153" hidden="1"/>
    <cellStyle name="Heading 2" xfId="163" hidden="1"/>
    <cellStyle name="Heading 2" xfId="173" hidden="1"/>
    <cellStyle name="Heading 2" xfId="183" hidden="1"/>
    <cellStyle name="Heading 2" xfId="193" hidden="1"/>
    <cellStyle name="Heading 2" xfId="203" hidden="1"/>
    <cellStyle name="Heading 2" xfId="213" hidden="1"/>
    <cellStyle name="Heading 2" xfId="223" hidden="1"/>
    <cellStyle name="Heading 2" xfId="233" hidden="1"/>
    <cellStyle name="Heading 2" xfId="243" hidden="1"/>
    <cellStyle name="Heading 2" xfId="253" hidden="1"/>
    <cellStyle name="Heading 2" xfId="263" hidden="1"/>
    <cellStyle name="Heading 2" xfId="273" hidden="1"/>
    <cellStyle name="Heading 3" xfId="42" hidden="1"/>
    <cellStyle name="Heading 3" xfId="52" hidden="1"/>
    <cellStyle name="Heading 3" xfId="62" hidden="1"/>
    <cellStyle name="Heading 3" xfId="72" hidden="1"/>
    <cellStyle name="Heading 3" xfId="82" hidden="1"/>
    <cellStyle name="Heading 3" xfId="92" hidden="1"/>
    <cellStyle name="Heading 3" xfId="102" hidden="1"/>
    <cellStyle name="Heading 3" xfId="144" hidden="1"/>
    <cellStyle name="Heading 3" xfId="154" hidden="1"/>
    <cellStyle name="Heading 3" xfId="164" hidden="1"/>
    <cellStyle name="Heading 3" xfId="174" hidden="1"/>
    <cellStyle name="Heading 3" xfId="184" hidden="1"/>
    <cellStyle name="Heading 3" xfId="194" hidden="1"/>
    <cellStyle name="Heading 3" xfId="204" hidden="1"/>
    <cellStyle name="Heading 3" xfId="214" hidden="1"/>
    <cellStyle name="Heading 3" xfId="224" hidden="1"/>
    <cellStyle name="Heading 3" xfId="234" hidden="1"/>
    <cellStyle name="Heading 3" xfId="244" hidden="1"/>
    <cellStyle name="Heading 3" xfId="254" hidden="1"/>
    <cellStyle name="Heading 3" xfId="264" hidden="1"/>
    <cellStyle name="Heading 3" xfId="274" hidden="1"/>
    <cellStyle name="Heading 4" xfId="43" hidden="1"/>
    <cellStyle name="Heading 4" xfId="53" hidden="1"/>
    <cellStyle name="Heading 4" xfId="63" hidden="1"/>
    <cellStyle name="Heading 4" xfId="73" hidden="1"/>
    <cellStyle name="Heading 4" xfId="83" hidden="1"/>
    <cellStyle name="Heading 4" xfId="93" hidden="1"/>
    <cellStyle name="Heading 4" xfId="103" hidden="1"/>
    <cellStyle name="Heading 4" xfId="145" hidden="1"/>
    <cellStyle name="Heading 4" xfId="155" hidden="1"/>
    <cellStyle name="Heading 4" xfId="165" hidden="1"/>
    <cellStyle name="Heading 4" xfId="175" hidden="1"/>
    <cellStyle name="Heading 4" xfId="185" hidden="1"/>
    <cellStyle name="Heading 4" xfId="195" hidden="1"/>
    <cellStyle name="Heading 4" xfId="205" hidden="1"/>
    <cellStyle name="Heading 4" xfId="215" hidden="1"/>
    <cellStyle name="Heading 4" xfId="225" hidden="1"/>
    <cellStyle name="Heading 4" xfId="235" hidden="1"/>
    <cellStyle name="Heading 4" xfId="245" hidden="1"/>
    <cellStyle name="Heading 4" xfId="255" hidden="1"/>
    <cellStyle name="Heading 4" xfId="265" hidden="1"/>
    <cellStyle name="Heading 4" xfId="275" hidden="1"/>
    <cellStyle name="Hyperlink" xfId="34" builtinId="8"/>
    <cellStyle name="Input" xfId="36" hidden="1"/>
    <cellStyle name="Input" xfId="46" hidden="1"/>
    <cellStyle name="Input" xfId="56" hidden="1"/>
    <cellStyle name="Input" xfId="66" hidden="1"/>
    <cellStyle name="Input" xfId="76" hidden="1"/>
    <cellStyle name="Input" xfId="86" hidden="1"/>
    <cellStyle name="Input" xfId="96" hidden="1"/>
    <cellStyle name="Input" xfId="138" hidden="1"/>
    <cellStyle name="Input" xfId="148" hidden="1"/>
    <cellStyle name="Input" xfId="158" hidden="1"/>
    <cellStyle name="Input" xfId="168" hidden="1"/>
    <cellStyle name="Input" xfId="178" hidden="1"/>
    <cellStyle name="Input" xfId="188" hidden="1"/>
    <cellStyle name="Input" xfId="198" hidden="1"/>
    <cellStyle name="Input" xfId="208" hidden="1"/>
    <cellStyle name="Input" xfId="218" hidden="1"/>
    <cellStyle name="Input" xfId="228" hidden="1"/>
    <cellStyle name="Input" xfId="238" hidden="1"/>
    <cellStyle name="Input" xfId="248" hidden="1"/>
    <cellStyle name="Input" xfId="258" hidden="1"/>
    <cellStyle name="Input" xfId="268" hidden="1"/>
    <cellStyle name="Invoer" xfId="16" builtinId="20" hidden="1"/>
    <cellStyle name="Invoer" xfId="280" builtinId="20" customBuiltin="1"/>
    <cellStyle name="Komma" xfId="33" builtinId="3"/>
    <cellStyle name="Kop 1" xfId="106" builtinId="16" customBuiltin="1"/>
    <cellStyle name="Kop 2" xfId="107" builtinId="17" customBuiltin="1"/>
    <cellStyle name="Kop 3" xfId="108" builtinId="18" customBuiltin="1"/>
    <cellStyle name="Kop 4" xfId="109" builtinId="19" customBuiltin="1"/>
    <cellStyle name="Neutraal" xfId="3" builtinId="28" hidden="1"/>
    <cellStyle name="Neutraal" xfId="279" builtinId="28" customBuiltin="1"/>
    <cellStyle name="Note" xfId="39" hidden="1"/>
    <cellStyle name="Note" xfId="49" hidden="1"/>
    <cellStyle name="Note" xfId="59" hidden="1"/>
    <cellStyle name="Note" xfId="69" hidden="1"/>
    <cellStyle name="Note" xfId="79" hidden="1"/>
    <cellStyle name="Note" xfId="89" hidden="1"/>
    <cellStyle name="Note" xfId="99" hidden="1"/>
    <cellStyle name="Note" xfId="141" hidden="1"/>
    <cellStyle name="Note" xfId="151" hidden="1"/>
    <cellStyle name="Note" xfId="161" hidden="1"/>
    <cellStyle name="Note" xfId="171" hidden="1"/>
    <cellStyle name="Note" xfId="181" hidden="1"/>
    <cellStyle name="Note" xfId="191" hidden="1"/>
    <cellStyle name="Note" xfId="201" hidden="1"/>
    <cellStyle name="Note" xfId="211" hidden="1"/>
    <cellStyle name="Note" xfId="221" hidden="1"/>
    <cellStyle name="Note" xfId="231" hidden="1"/>
    <cellStyle name="Note" xfId="241" hidden="1"/>
    <cellStyle name="Note" xfId="251" hidden="1"/>
    <cellStyle name="Note" xfId="261" hidden="1"/>
    <cellStyle name="Note" xfId="271" hidden="1"/>
    <cellStyle name="Notitie" xfId="21" builtinId="10" hidden="1"/>
    <cellStyle name="Notitie" xfId="285" builtinId="10" customBuiltin="1"/>
    <cellStyle name="Ongeldig" xfId="2" builtinId="27" hidden="1"/>
    <cellStyle name="Ongeldig" xfId="278" builtinId="27" customBuiltin="1"/>
    <cellStyle name="Opm. INTERN" xfId="14"/>
    <cellStyle name="Output" xfId="37" hidden="1"/>
    <cellStyle name="Output" xfId="47" hidden="1"/>
    <cellStyle name="Output" xfId="57" hidden="1"/>
    <cellStyle name="Output" xfId="67" hidden="1"/>
    <cellStyle name="Output" xfId="77" hidden="1"/>
    <cellStyle name="Output" xfId="87" hidden="1"/>
    <cellStyle name="Output" xfId="97" hidden="1"/>
    <cellStyle name="Output" xfId="139" hidden="1"/>
    <cellStyle name="Output" xfId="149" hidden="1"/>
    <cellStyle name="Output" xfId="159" hidden="1"/>
    <cellStyle name="Output" xfId="169" hidden="1"/>
    <cellStyle name="Output" xfId="179" hidden="1"/>
    <cellStyle name="Output" xfId="189" hidden="1"/>
    <cellStyle name="Output" xfId="199" hidden="1"/>
    <cellStyle name="Output" xfId="209" hidden="1"/>
    <cellStyle name="Output" xfId="219" hidden="1"/>
    <cellStyle name="Output" xfId="229" hidden="1"/>
    <cellStyle name="Output" xfId="239" hidden="1"/>
    <cellStyle name="Output" xfId="249" hidden="1"/>
    <cellStyle name="Output" xfId="259" hidden="1"/>
    <cellStyle name="Output" xfId="269" hidden="1"/>
    <cellStyle name="Procent" xfId="30" builtinId="5"/>
    <cellStyle name="Standaard" xfId="0" builtinId="0"/>
    <cellStyle name="Standaard 2 2 2" xfId="23"/>
    <cellStyle name="Standaard ACM-DE" xfId="4"/>
    <cellStyle name="Standaard_111103 Herberekening tarieven TenneT 2007" xfId="29"/>
    <cellStyle name="Standaard_Berekening tarieven intern_1" xfId="26"/>
    <cellStyle name="Standaard_Handboek TSO (260202)" xfId="24"/>
    <cellStyle name="Standaard_NG-TAR(i)-10-08 Concept" xfId="31"/>
    <cellStyle name="Standaard_Tabellen - CIV2" xfId="28"/>
    <cellStyle name="Standaard_test3" xfId="27"/>
    <cellStyle name="Titel" xfId="105" builtinId="15" customBuiltin="1"/>
    <cellStyle name="Toelichting" xfId="15"/>
    <cellStyle name="Totaal" xfId="112" builtinId="25" customBuiltin="1"/>
    <cellStyle name="Uitvoer" xfId="17" builtinId="21" hidden="1"/>
    <cellStyle name="Uitvoer" xfId="281" builtinId="21" customBuiltin="1"/>
    <cellStyle name="Verklarende tekst" xfId="111" builtinId="53" customBuiltin="1"/>
    <cellStyle name="Waarschuwingstekst" xfId="110" builtinId="11" customBuiltin="1"/>
  </cellStyles>
  <dxfs count="11">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2" defaultPivotStyle="PivotStyleLight16">
    <tableStyle name="PivotStyleLight16 2"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66FF"/>
      <color rgb="FF66FF66"/>
      <color rgb="FFCCFFCC"/>
      <color rgb="FFFFCCFF"/>
      <color rgb="FFFFFFCC"/>
      <color rgb="FFFFCC99"/>
      <color rgb="FF5F1F7A"/>
      <color rgb="FFCCC8D9"/>
      <color rgb="FFCCFFFF"/>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156882</xdr:colOff>
      <xdr:row>14</xdr:row>
      <xdr:rowOff>89647</xdr:rowOff>
    </xdr:from>
    <xdr:to>
      <xdr:col>10</xdr:col>
      <xdr:colOff>392205</xdr:colOff>
      <xdr:row>14</xdr:row>
      <xdr:rowOff>89648</xdr:rowOff>
    </xdr:to>
    <xdr:cxnSp macro="">
      <xdr:nvCxnSpPr>
        <xdr:cNvPr id="21" name="Rechte verbindingslijn met pijl 20"/>
        <xdr:cNvCxnSpPr/>
      </xdr:nvCxnSpPr>
      <xdr:spPr>
        <a:xfrm>
          <a:off x="7250206" y="2554941"/>
          <a:ext cx="683558" cy="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112058</xdr:colOff>
      <xdr:row>14</xdr:row>
      <xdr:rowOff>112059</xdr:rowOff>
    </xdr:from>
    <xdr:to>
      <xdr:col>10</xdr:col>
      <xdr:colOff>425823</xdr:colOff>
      <xdr:row>18</xdr:row>
      <xdr:rowOff>33617</xdr:rowOff>
    </xdr:to>
    <xdr:cxnSp macro="">
      <xdr:nvCxnSpPr>
        <xdr:cNvPr id="29" name="Rechte verbindingslijn met pijl 28"/>
        <xdr:cNvCxnSpPr/>
      </xdr:nvCxnSpPr>
      <xdr:spPr>
        <a:xfrm>
          <a:off x="7205382" y="2577353"/>
          <a:ext cx="762000" cy="6387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22092</xdr:colOff>
      <xdr:row>14</xdr:row>
      <xdr:rowOff>120064</xdr:rowOff>
    </xdr:from>
    <xdr:to>
      <xdr:col>5</xdr:col>
      <xdr:colOff>435749</xdr:colOff>
      <xdr:row>18</xdr:row>
      <xdr:rowOff>87406</xdr:rowOff>
    </xdr:to>
    <xdr:cxnSp macro="">
      <xdr:nvCxnSpPr>
        <xdr:cNvPr id="47" name="Rechte verbindingslijn met pijl 46"/>
        <xdr:cNvCxnSpPr/>
      </xdr:nvCxnSpPr>
      <xdr:spPr>
        <a:xfrm>
          <a:off x="4123445" y="2585358"/>
          <a:ext cx="413657" cy="68451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5054</xdr:colOff>
      <xdr:row>22</xdr:row>
      <xdr:rowOff>123265</xdr:rowOff>
    </xdr:from>
    <xdr:to>
      <xdr:col>9</xdr:col>
      <xdr:colOff>100852</xdr:colOff>
      <xdr:row>22</xdr:row>
      <xdr:rowOff>125147</xdr:rowOff>
    </xdr:to>
    <xdr:cxnSp macro="">
      <xdr:nvCxnSpPr>
        <xdr:cNvPr id="59" name="Rechte verbindingslijn met pijl 58"/>
        <xdr:cNvCxnSpPr/>
      </xdr:nvCxnSpPr>
      <xdr:spPr>
        <a:xfrm flipV="1">
          <a:off x="4106407" y="4022912"/>
          <a:ext cx="3087769" cy="1882"/>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22412</xdr:colOff>
      <xdr:row>27</xdr:row>
      <xdr:rowOff>62760</xdr:rowOff>
    </xdr:from>
    <xdr:to>
      <xdr:col>9</xdr:col>
      <xdr:colOff>107574</xdr:colOff>
      <xdr:row>42</xdr:row>
      <xdr:rowOff>112058</xdr:rowOff>
    </xdr:to>
    <xdr:cxnSp macro="">
      <xdr:nvCxnSpPr>
        <xdr:cNvPr id="79" name="Rechte verbindingslijn met pijl 78"/>
        <xdr:cNvCxnSpPr/>
      </xdr:nvCxnSpPr>
      <xdr:spPr>
        <a:xfrm flipV="1">
          <a:off x="4123765" y="4701995"/>
          <a:ext cx="3077133" cy="2021534"/>
        </a:xfrm>
        <a:prstGeom prst="straightConnector1">
          <a:avLst/>
        </a:prstGeom>
        <a:ln>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7292</xdr:colOff>
      <xdr:row>14</xdr:row>
      <xdr:rowOff>91870</xdr:rowOff>
    </xdr:from>
    <xdr:to>
      <xdr:col>9</xdr:col>
      <xdr:colOff>103090</xdr:colOff>
      <xdr:row>14</xdr:row>
      <xdr:rowOff>93752</xdr:rowOff>
    </xdr:to>
    <xdr:cxnSp macro="">
      <xdr:nvCxnSpPr>
        <xdr:cNvPr id="80" name="Rechte verbindingslijn met pijl 79"/>
        <xdr:cNvCxnSpPr/>
      </xdr:nvCxnSpPr>
      <xdr:spPr>
        <a:xfrm flipV="1">
          <a:off x="4108645" y="2557164"/>
          <a:ext cx="3087769" cy="188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107576</xdr:colOff>
      <xdr:row>22</xdr:row>
      <xdr:rowOff>107577</xdr:rowOff>
    </xdr:from>
    <xdr:to>
      <xdr:col>10</xdr:col>
      <xdr:colOff>414617</xdr:colOff>
      <xdr:row>30</xdr:row>
      <xdr:rowOff>0</xdr:rowOff>
    </xdr:to>
    <xdr:cxnSp macro="">
      <xdr:nvCxnSpPr>
        <xdr:cNvPr id="88" name="Rechte verbindingslijn met pijl 87"/>
        <xdr:cNvCxnSpPr/>
      </xdr:nvCxnSpPr>
      <xdr:spPr>
        <a:xfrm>
          <a:off x="7200900" y="3850342"/>
          <a:ext cx="755276" cy="1326776"/>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145678</xdr:colOff>
      <xdr:row>22</xdr:row>
      <xdr:rowOff>100854</xdr:rowOff>
    </xdr:from>
    <xdr:to>
      <xdr:col>10</xdr:col>
      <xdr:colOff>414617</xdr:colOff>
      <xdr:row>26</xdr:row>
      <xdr:rowOff>100853</xdr:rowOff>
    </xdr:to>
    <xdr:cxnSp macro="">
      <xdr:nvCxnSpPr>
        <xdr:cNvPr id="89" name="Rechte verbindingslijn met pijl 88"/>
        <xdr:cNvCxnSpPr/>
      </xdr:nvCxnSpPr>
      <xdr:spPr>
        <a:xfrm>
          <a:off x="7239002" y="3843619"/>
          <a:ext cx="717174" cy="717175"/>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134470</xdr:colOff>
      <xdr:row>18</xdr:row>
      <xdr:rowOff>89647</xdr:rowOff>
    </xdr:from>
    <xdr:to>
      <xdr:col>11</xdr:col>
      <xdr:colOff>0</xdr:colOff>
      <xdr:row>22</xdr:row>
      <xdr:rowOff>100853</xdr:rowOff>
    </xdr:to>
    <xdr:cxnSp macro="">
      <xdr:nvCxnSpPr>
        <xdr:cNvPr id="90" name="Rechte verbindingslijn met pijl 89"/>
        <xdr:cNvCxnSpPr/>
      </xdr:nvCxnSpPr>
      <xdr:spPr>
        <a:xfrm flipV="1">
          <a:off x="7227794" y="3272118"/>
          <a:ext cx="762000" cy="728382"/>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123264</xdr:colOff>
      <xdr:row>15</xdr:row>
      <xdr:rowOff>33618</xdr:rowOff>
    </xdr:from>
    <xdr:to>
      <xdr:col>10</xdr:col>
      <xdr:colOff>381000</xdr:colOff>
      <xdr:row>22</xdr:row>
      <xdr:rowOff>112060</xdr:rowOff>
    </xdr:to>
    <xdr:cxnSp macro="">
      <xdr:nvCxnSpPr>
        <xdr:cNvPr id="91" name="Rechte verbindingslijn met pijl 90"/>
        <xdr:cNvCxnSpPr/>
      </xdr:nvCxnSpPr>
      <xdr:spPr>
        <a:xfrm flipV="1">
          <a:off x="7216588" y="2678206"/>
          <a:ext cx="705971" cy="1333501"/>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107576</xdr:colOff>
      <xdr:row>19</xdr:row>
      <xdr:rowOff>156882</xdr:rowOff>
    </xdr:from>
    <xdr:to>
      <xdr:col>11</xdr:col>
      <xdr:colOff>0</xdr:colOff>
      <xdr:row>27</xdr:row>
      <xdr:rowOff>73959</xdr:rowOff>
    </xdr:to>
    <xdr:cxnSp macro="">
      <xdr:nvCxnSpPr>
        <xdr:cNvPr id="96" name="Rechte verbindingslijn met pijl 95"/>
        <xdr:cNvCxnSpPr/>
      </xdr:nvCxnSpPr>
      <xdr:spPr>
        <a:xfrm flipV="1">
          <a:off x="7200900" y="3518647"/>
          <a:ext cx="788894" cy="1351430"/>
        </a:xfrm>
        <a:prstGeom prst="straightConnector1">
          <a:avLst/>
        </a:prstGeom>
        <a:ln>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129990</xdr:colOff>
      <xdr:row>27</xdr:row>
      <xdr:rowOff>51548</xdr:rowOff>
    </xdr:from>
    <xdr:to>
      <xdr:col>10</xdr:col>
      <xdr:colOff>414617</xdr:colOff>
      <xdr:row>30</xdr:row>
      <xdr:rowOff>89647</xdr:rowOff>
    </xdr:to>
    <xdr:cxnSp macro="">
      <xdr:nvCxnSpPr>
        <xdr:cNvPr id="99" name="Rechte verbindingslijn met pijl 98"/>
        <xdr:cNvCxnSpPr/>
      </xdr:nvCxnSpPr>
      <xdr:spPr>
        <a:xfrm>
          <a:off x="7223314" y="4690783"/>
          <a:ext cx="732862" cy="575982"/>
        </a:xfrm>
        <a:prstGeom prst="straightConnector1">
          <a:avLst/>
        </a:prstGeom>
        <a:ln>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136710</xdr:colOff>
      <xdr:row>27</xdr:row>
      <xdr:rowOff>125514</xdr:rowOff>
    </xdr:from>
    <xdr:to>
      <xdr:col>10</xdr:col>
      <xdr:colOff>414617</xdr:colOff>
      <xdr:row>34</xdr:row>
      <xdr:rowOff>145677</xdr:rowOff>
    </xdr:to>
    <xdr:cxnSp macro="">
      <xdr:nvCxnSpPr>
        <xdr:cNvPr id="101" name="Rechte verbindingslijn met pijl 100"/>
        <xdr:cNvCxnSpPr/>
      </xdr:nvCxnSpPr>
      <xdr:spPr>
        <a:xfrm>
          <a:off x="7230034" y="4764749"/>
          <a:ext cx="726142" cy="1275222"/>
        </a:xfrm>
        <a:prstGeom prst="straightConnector1">
          <a:avLst/>
        </a:prstGeom>
        <a:ln>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22412</xdr:colOff>
      <xdr:row>22</xdr:row>
      <xdr:rowOff>156882</xdr:rowOff>
    </xdr:from>
    <xdr:to>
      <xdr:col>10</xdr:col>
      <xdr:colOff>403412</xdr:colOff>
      <xdr:row>42</xdr:row>
      <xdr:rowOff>78441</xdr:rowOff>
    </xdr:to>
    <xdr:cxnSp macro="">
      <xdr:nvCxnSpPr>
        <xdr:cNvPr id="107" name="Rechte verbindingslijn met pijl 106"/>
        <xdr:cNvCxnSpPr/>
      </xdr:nvCxnSpPr>
      <xdr:spPr>
        <a:xfrm>
          <a:off x="4123765" y="4056529"/>
          <a:ext cx="3821206" cy="2790265"/>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33618</xdr:colOff>
      <xdr:row>32</xdr:row>
      <xdr:rowOff>145676</xdr:rowOff>
    </xdr:from>
    <xdr:to>
      <xdr:col>11</xdr:col>
      <xdr:colOff>11206</xdr:colOff>
      <xdr:row>50</xdr:row>
      <xdr:rowOff>89647</xdr:rowOff>
    </xdr:to>
    <xdr:cxnSp macro="">
      <xdr:nvCxnSpPr>
        <xdr:cNvPr id="110" name="Rechte verbindingslijn met pijl 109"/>
        <xdr:cNvCxnSpPr/>
      </xdr:nvCxnSpPr>
      <xdr:spPr>
        <a:xfrm>
          <a:off x="4134971" y="5681382"/>
          <a:ext cx="3866029" cy="2812677"/>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33618</xdr:colOff>
      <xdr:row>50</xdr:row>
      <xdr:rowOff>145676</xdr:rowOff>
    </xdr:from>
    <xdr:to>
      <xdr:col>11</xdr:col>
      <xdr:colOff>11208</xdr:colOff>
      <xdr:row>54</xdr:row>
      <xdr:rowOff>67235</xdr:rowOff>
    </xdr:to>
    <xdr:cxnSp macro="">
      <xdr:nvCxnSpPr>
        <xdr:cNvPr id="114" name="Rechte verbindingslijn met pijl 113"/>
        <xdr:cNvCxnSpPr/>
      </xdr:nvCxnSpPr>
      <xdr:spPr>
        <a:xfrm>
          <a:off x="4134971" y="8191500"/>
          <a:ext cx="3866031" cy="638735"/>
        </a:xfrm>
        <a:prstGeom prst="straightConnector1">
          <a:avLst/>
        </a:prstGeom>
        <a:ln cmpd="sng">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22412</xdr:colOff>
      <xdr:row>32</xdr:row>
      <xdr:rowOff>123265</xdr:rowOff>
    </xdr:from>
    <xdr:to>
      <xdr:col>11</xdr:col>
      <xdr:colOff>56030</xdr:colOff>
      <xdr:row>53</xdr:row>
      <xdr:rowOff>123265</xdr:rowOff>
    </xdr:to>
    <xdr:cxnSp macro="">
      <xdr:nvCxnSpPr>
        <xdr:cNvPr id="115" name="Rechte verbindingslijn met pijl 114"/>
        <xdr:cNvCxnSpPr/>
      </xdr:nvCxnSpPr>
      <xdr:spPr>
        <a:xfrm>
          <a:off x="4123765" y="5658971"/>
          <a:ext cx="3922059" cy="3406588"/>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22412</xdr:colOff>
      <xdr:row>32</xdr:row>
      <xdr:rowOff>112059</xdr:rowOff>
    </xdr:from>
    <xdr:to>
      <xdr:col>10</xdr:col>
      <xdr:colOff>403412</xdr:colOff>
      <xdr:row>38</xdr:row>
      <xdr:rowOff>56029</xdr:rowOff>
    </xdr:to>
    <xdr:cxnSp macro="">
      <xdr:nvCxnSpPr>
        <xdr:cNvPr id="118" name="Rechte verbindingslijn met pijl 117"/>
        <xdr:cNvCxnSpPr/>
      </xdr:nvCxnSpPr>
      <xdr:spPr>
        <a:xfrm>
          <a:off x="4123765" y="5647765"/>
          <a:ext cx="3821206" cy="1019735"/>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11206</xdr:colOff>
      <xdr:row>50</xdr:row>
      <xdr:rowOff>100852</xdr:rowOff>
    </xdr:from>
    <xdr:to>
      <xdr:col>11</xdr:col>
      <xdr:colOff>22412</xdr:colOff>
      <xdr:row>50</xdr:row>
      <xdr:rowOff>145676</xdr:rowOff>
    </xdr:to>
    <xdr:cxnSp macro="">
      <xdr:nvCxnSpPr>
        <xdr:cNvPr id="121" name="Rechte verbindingslijn met pijl 120"/>
        <xdr:cNvCxnSpPr/>
      </xdr:nvCxnSpPr>
      <xdr:spPr>
        <a:xfrm>
          <a:off x="4112559" y="8146676"/>
          <a:ext cx="3899647" cy="44824"/>
        </a:xfrm>
        <a:prstGeom prst="straightConnector1">
          <a:avLst/>
        </a:prstGeom>
        <a:ln cmpd="sng">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13446</xdr:colOff>
      <xdr:row>14</xdr:row>
      <xdr:rowOff>125507</xdr:rowOff>
    </xdr:from>
    <xdr:to>
      <xdr:col>16</xdr:col>
      <xdr:colOff>896471</xdr:colOff>
      <xdr:row>44</xdr:row>
      <xdr:rowOff>112059</xdr:rowOff>
    </xdr:to>
    <xdr:cxnSp macro="">
      <xdr:nvCxnSpPr>
        <xdr:cNvPr id="125" name="Rechte verbindingslijn met pijl 124"/>
        <xdr:cNvCxnSpPr/>
      </xdr:nvCxnSpPr>
      <xdr:spPr>
        <a:xfrm>
          <a:off x="10703858" y="2590801"/>
          <a:ext cx="2093260" cy="4648199"/>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8964</xdr:colOff>
      <xdr:row>18</xdr:row>
      <xdr:rowOff>87407</xdr:rowOff>
    </xdr:from>
    <xdr:to>
      <xdr:col>16</xdr:col>
      <xdr:colOff>638735</xdr:colOff>
      <xdr:row>44</xdr:row>
      <xdr:rowOff>112059</xdr:rowOff>
    </xdr:to>
    <xdr:cxnSp macro="">
      <xdr:nvCxnSpPr>
        <xdr:cNvPr id="127" name="Rechte verbindingslijn met pijl 126"/>
        <xdr:cNvCxnSpPr/>
      </xdr:nvCxnSpPr>
      <xdr:spPr>
        <a:xfrm>
          <a:off x="10699376" y="3269878"/>
          <a:ext cx="1840006" cy="3969122"/>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15688</xdr:colOff>
      <xdr:row>22</xdr:row>
      <xdr:rowOff>82925</xdr:rowOff>
    </xdr:from>
    <xdr:to>
      <xdr:col>16</xdr:col>
      <xdr:colOff>392206</xdr:colOff>
      <xdr:row>44</xdr:row>
      <xdr:rowOff>89647</xdr:rowOff>
    </xdr:to>
    <xdr:cxnSp macro="">
      <xdr:nvCxnSpPr>
        <xdr:cNvPr id="129" name="Rechte verbindingslijn met pijl 128"/>
        <xdr:cNvCxnSpPr/>
      </xdr:nvCxnSpPr>
      <xdr:spPr>
        <a:xfrm>
          <a:off x="10706100" y="3982572"/>
          <a:ext cx="1586753" cy="3234016"/>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26</xdr:row>
      <xdr:rowOff>56030</xdr:rowOff>
    </xdr:from>
    <xdr:to>
      <xdr:col>16</xdr:col>
      <xdr:colOff>78441</xdr:colOff>
      <xdr:row>44</xdr:row>
      <xdr:rowOff>56030</xdr:rowOff>
    </xdr:to>
    <xdr:cxnSp macro="">
      <xdr:nvCxnSpPr>
        <xdr:cNvPr id="131" name="Rechte verbindingslijn met pijl 130"/>
        <xdr:cNvCxnSpPr/>
      </xdr:nvCxnSpPr>
      <xdr:spPr>
        <a:xfrm>
          <a:off x="10690412" y="4672854"/>
          <a:ext cx="1288676" cy="2510117"/>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29134</xdr:colOff>
      <xdr:row>30</xdr:row>
      <xdr:rowOff>40348</xdr:rowOff>
    </xdr:from>
    <xdr:to>
      <xdr:col>15</xdr:col>
      <xdr:colOff>358589</xdr:colOff>
      <xdr:row>44</xdr:row>
      <xdr:rowOff>89647</xdr:rowOff>
    </xdr:to>
    <xdr:cxnSp macro="">
      <xdr:nvCxnSpPr>
        <xdr:cNvPr id="133" name="Rechte verbindingslijn met pijl 132"/>
        <xdr:cNvCxnSpPr/>
      </xdr:nvCxnSpPr>
      <xdr:spPr>
        <a:xfrm>
          <a:off x="10719546" y="5374348"/>
          <a:ext cx="934572" cy="1842240"/>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2238</xdr:colOff>
      <xdr:row>34</xdr:row>
      <xdr:rowOff>80696</xdr:rowOff>
    </xdr:from>
    <xdr:to>
      <xdr:col>15</xdr:col>
      <xdr:colOff>44824</xdr:colOff>
      <xdr:row>44</xdr:row>
      <xdr:rowOff>100853</xdr:rowOff>
    </xdr:to>
    <xdr:cxnSp macro="">
      <xdr:nvCxnSpPr>
        <xdr:cNvPr id="135" name="Rechte verbindingslijn met pijl 134"/>
        <xdr:cNvCxnSpPr/>
      </xdr:nvCxnSpPr>
      <xdr:spPr>
        <a:xfrm>
          <a:off x="10692650" y="6131872"/>
          <a:ext cx="647703" cy="1095922"/>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602874</xdr:colOff>
      <xdr:row>42</xdr:row>
      <xdr:rowOff>53801</xdr:rowOff>
    </xdr:from>
    <xdr:to>
      <xdr:col>14</xdr:col>
      <xdr:colOff>582706</xdr:colOff>
      <xdr:row>45</xdr:row>
      <xdr:rowOff>168089</xdr:rowOff>
    </xdr:to>
    <xdr:cxnSp macro="">
      <xdr:nvCxnSpPr>
        <xdr:cNvPr id="137" name="Rechte verbindingslijn met pijl 136"/>
        <xdr:cNvCxnSpPr/>
      </xdr:nvCxnSpPr>
      <xdr:spPr>
        <a:xfrm>
          <a:off x="10688168" y="6822154"/>
          <a:ext cx="584950" cy="652170"/>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6722</xdr:colOff>
      <xdr:row>46</xdr:row>
      <xdr:rowOff>75841</xdr:rowOff>
    </xdr:from>
    <xdr:to>
      <xdr:col>14</xdr:col>
      <xdr:colOff>571500</xdr:colOff>
      <xdr:row>46</xdr:row>
      <xdr:rowOff>89647</xdr:rowOff>
    </xdr:to>
    <xdr:cxnSp macro="">
      <xdr:nvCxnSpPr>
        <xdr:cNvPr id="139" name="Rechte verbindingslijn met pijl 138"/>
        <xdr:cNvCxnSpPr/>
      </xdr:nvCxnSpPr>
      <xdr:spPr>
        <a:xfrm>
          <a:off x="4108075" y="7561370"/>
          <a:ext cx="7153837" cy="13806"/>
        </a:xfrm>
        <a:prstGeom prst="straightConnector1">
          <a:avLst/>
        </a:prstGeom>
        <a:ln cmpd="sng">
          <a:solidFill>
            <a:srgbClr val="FF0000"/>
          </a:solidFill>
          <a:prstDash val="dash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22412</xdr:colOff>
      <xdr:row>48</xdr:row>
      <xdr:rowOff>44823</xdr:rowOff>
    </xdr:from>
    <xdr:to>
      <xdr:col>16</xdr:col>
      <xdr:colOff>526677</xdr:colOff>
      <xdr:row>54</xdr:row>
      <xdr:rowOff>11205</xdr:rowOff>
    </xdr:to>
    <xdr:cxnSp macro="">
      <xdr:nvCxnSpPr>
        <xdr:cNvPr id="141" name="Rechte verbindingslijn met pijl 140"/>
        <xdr:cNvCxnSpPr/>
      </xdr:nvCxnSpPr>
      <xdr:spPr>
        <a:xfrm flipH="1">
          <a:off x="10712824" y="7888941"/>
          <a:ext cx="1714500" cy="1400735"/>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50</xdr:row>
      <xdr:rowOff>0</xdr:rowOff>
    </xdr:from>
    <xdr:to>
      <xdr:col>14</xdr:col>
      <xdr:colOff>593912</xdr:colOff>
      <xdr:row>55</xdr:row>
      <xdr:rowOff>22411</xdr:rowOff>
    </xdr:to>
    <xdr:cxnSp macro="">
      <xdr:nvCxnSpPr>
        <xdr:cNvPr id="144" name="Rechte verbindingslijn met pijl 143"/>
        <xdr:cNvCxnSpPr/>
      </xdr:nvCxnSpPr>
      <xdr:spPr>
        <a:xfrm>
          <a:off x="10690412" y="8561294"/>
          <a:ext cx="593912" cy="918882"/>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62752</xdr:colOff>
      <xdr:row>54</xdr:row>
      <xdr:rowOff>62759</xdr:rowOff>
    </xdr:from>
    <xdr:to>
      <xdr:col>14</xdr:col>
      <xdr:colOff>549088</xdr:colOff>
      <xdr:row>55</xdr:row>
      <xdr:rowOff>145676</xdr:rowOff>
    </xdr:to>
    <xdr:cxnSp macro="">
      <xdr:nvCxnSpPr>
        <xdr:cNvPr id="146" name="Rechte verbindingslijn met pijl 145"/>
        <xdr:cNvCxnSpPr/>
      </xdr:nvCxnSpPr>
      <xdr:spPr>
        <a:xfrm>
          <a:off x="10753164" y="9341230"/>
          <a:ext cx="486336" cy="262211"/>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38</xdr:row>
      <xdr:rowOff>78441</xdr:rowOff>
    </xdr:from>
    <xdr:to>
      <xdr:col>14</xdr:col>
      <xdr:colOff>582706</xdr:colOff>
      <xdr:row>45</xdr:row>
      <xdr:rowOff>11206</xdr:rowOff>
    </xdr:to>
    <xdr:cxnSp macro="">
      <xdr:nvCxnSpPr>
        <xdr:cNvPr id="38" name="Rechte verbindingslijn met pijl 37"/>
        <xdr:cNvCxnSpPr/>
      </xdr:nvCxnSpPr>
      <xdr:spPr>
        <a:xfrm>
          <a:off x="10690412" y="6689912"/>
          <a:ext cx="582706" cy="1187823"/>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190500</xdr:colOff>
      <xdr:row>22</xdr:row>
      <xdr:rowOff>123264</xdr:rowOff>
    </xdr:from>
    <xdr:to>
      <xdr:col>10</xdr:col>
      <xdr:colOff>425823</xdr:colOff>
      <xdr:row>22</xdr:row>
      <xdr:rowOff>123264</xdr:rowOff>
    </xdr:to>
    <xdr:cxnSp macro="">
      <xdr:nvCxnSpPr>
        <xdr:cNvPr id="41" name="Rechte verbindingslijn met pijl 40"/>
        <xdr:cNvCxnSpPr/>
      </xdr:nvCxnSpPr>
      <xdr:spPr>
        <a:xfrm>
          <a:off x="7283824" y="3866029"/>
          <a:ext cx="683558" cy="0"/>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851647</xdr:colOff>
      <xdr:row>52</xdr:row>
      <xdr:rowOff>0</xdr:rowOff>
    </xdr:from>
    <xdr:to>
      <xdr:col>12</xdr:col>
      <xdr:colOff>851647</xdr:colOff>
      <xdr:row>53</xdr:row>
      <xdr:rowOff>0</xdr:rowOff>
    </xdr:to>
    <xdr:cxnSp macro="">
      <xdr:nvCxnSpPr>
        <xdr:cNvPr id="35" name="Rechte verbindingslijn met pijl 34"/>
        <xdr:cNvCxnSpPr/>
      </xdr:nvCxnSpPr>
      <xdr:spPr>
        <a:xfrm>
          <a:off x="9289676" y="9121588"/>
          <a:ext cx="0" cy="179294"/>
        </a:xfrm>
        <a:prstGeom prst="straightConnector1">
          <a:avLst/>
        </a:prstGeom>
        <a:ln cmpd="sng">
          <a:solidFill>
            <a:schemeClr val="tx1"/>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cm.nl/nl/publicaties/publicatie/16724/Tarievenbesluit-TenneT-2017" TargetMode="External"/><Relationship Id="rId13" Type="http://schemas.openxmlformats.org/officeDocument/2006/relationships/hyperlink" Target="https://uitspraken.rechtspraak.nl/inziendocument?id=ECLI:NL:CBB:2019:636&amp;showbutton=true&amp;keyword=tennet" TargetMode="External"/><Relationship Id="rId18" Type="http://schemas.openxmlformats.org/officeDocument/2006/relationships/hyperlink" Target="https://www.acm.nl/nl/publicaties/verslag-veilingopbrengsten-tennet-2019" TargetMode="External"/><Relationship Id="rId3" Type="http://schemas.openxmlformats.org/officeDocument/2006/relationships/hyperlink" Target="https://opendata.cbs.nl/statline/" TargetMode="External"/><Relationship Id="rId7" Type="http://schemas.openxmlformats.org/officeDocument/2006/relationships/hyperlink" Target="https://www.acm.nl/nl/publicaties/publicatie/15112/Bevoegdhedenovereenkomst-ACM-en-TenneT-veilingmiddelen" TargetMode="External"/><Relationship Id="rId12" Type="http://schemas.openxmlformats.org/officeDocument/2006/relationships/hyperlink" Target="https://www.acm.nl/nl/publicaties/verslag-veilingopbrengsten-tennet-2018-2019" TargetMode="External"/><Relationship Id="rId17" Type="http://schemas.openxmlformats.org/officeDocument/2006/relationships/hyperlink" Target="https://www.acm.nl/nl/publicaties/tweede-wijziging-x-factorbesluit-tennet-2017-2021-transport" TargetMode="External"/><Relationship Id="rId2" Type="http://schemas.openxmlformats.org/officeDocument/2006/relationships/hyperlink" Target="https://www.acm.nl/nl/publicaties/wacc-methode-gewijzigd-methodebesluit-tennet-transport-2017-2021" TargetMode="External"/><Relationship Id="rId16" Type="http://schemas.openxmlformats.org/officeDocument/2006/relationships/hyperlink" Target="https://www.acm.nl/nl/publicaties/addendum-bij-bevoegdhedenovereenkomst-acm-tennet-veilingmiddelen" TargetMode="External"/><Relationship Id="rId1" Type="http://schemas.openxmlformats.org/officeDocument/2006/relationships/hyperlink" Target="https://www.acm.nl/nl/publicaties/publicatie/16794/2e-Wijziging-Methodebesluit-TenneT-2014-2016-Transport" TargetMode="External"/><Relationship Id="rId6" Type="http://schemas.openxmlformats.org/officeDocument/2006/relationships/hyperlink" Target="http://wetten.overheid.nl/BWBR0037951/2018-03-24" TargetMode="External"/><Relationship Id="rId11" Type="http://schemas.openxmlformats.org/officeDocument/2006/relationships/hyperlink" Target="https://www.acm.nl/nl/publicaties/gewijzigd-methodebesluit-tennet-systeemtaken-2017-2021" TargetMode="External"/><Relationship Id="rId5" Type="http://schemas.openxmlformats.org/officeDocument/2006/relationships/hyperlink" Target="https://www.acm.nl/nl/publicaties/gewijzigd-methodebesluit-tennet-transporttaken-2017-2021" TargetMode="External"/><Relationship Id="rId15" Type="http://schemas.openxmlformats.org/officeDocument/2006/relationships/hyperlink" Target="https://www.acm.nl/nl/publicaties/tarievenbesluit-tennet-2019" TargetMode="External"/><Relationship Id="rId10" Type="http://schemas.openxmlformats.org/officeDocument/2006/relationships/hyperlink" Target="https://www.acm.nl/nl/publicaties/verslag-veilingopbrengsten-tennet-2017-2018" TargetMode="External"/><Relationship Id="rId19" Type="http://schemas.openxmlformats.org/officeDocument/2006/relationships/printerSettings" Target="../printerSettings/printerSettings3.bin"/><Relationship Id="rId4" Type="http://schemas.openxmlformats.org/officeDocument/2006/relationships/hyperlink" Target="https://belastingdienst.nl/wps/wcm/connect/bldcontentnl/standaard_functies/prive/contact/rechten_en_plichten_bij_de_belastingdienst/belastingrente/overzicht_percentages_belastingrente" TargetMode="External"/><Relationship Id="rId9" Type="http://schemas.openxmlformats.org/officeDocument/2006/relationships/hyperlink" Target="https://www.acm.nl/nl/publicaties/tarievenbesluit-tennet-2018" TargetMode="External"/><Relationship Id="rId14" Type="http://schemas.openxmlformats.org/officeDocument/2006/relationships/hyperlink" Target="https://www.acm.nl/nl/publicaties/tarievenbesluit-tennet-202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rgb="FFCCC8D9"/>
    <pageSetUpPr autoPageBreaks="0"/>
  </sheetPr>
  <dimension ref="B2:E42"/>
  <sheetViews>
    <sheetView showGridLines="0" tabSelected="1" zoomScale="85" zoomScaleNormal="85" workbookViewId="0">
      <pane ySplit="3" topLeftCell="A4" activePane="bottomLeft" state="frozen"/>
      <selection pane="bottomLeft"/>
    </sheetView>
  </sheetViews>
  <sheetFormatPr defaultColWidth="9.140625" defaultRowHeight="12.75"/>
  <cols>
    <col min="1" max="1" width="2.85546875" style="2" customWidth="1"/>
    <col min="2" max="2" width="39.85546875" style="2" customWidth="1"/>
    <col min="3" max="3" width="91.85546875" style="2" customWidth="1"/>
    <col min="4" max="16384" width="9.140625" style="2"/>
  </cols>
  <sheetData>
    <row r="2" spans="2:3" s="12" customFormat="1" ht="18">
      <c r="B2" s="11" t="s">
        <v>225</v>
      </c>
    </row>
    <row r="6" spans="2:3">
      <c r="B6" s="3"/>
    </row>
    <row r="13" spans="2:3" s="7" customFormat="1">
      <c r="B13" s="7" t="s">
        <v>0</v>
      </c>
    </row>
    <row r="14" spans="2:3" s="8" customFormat="1"/>
    <row r="15" spans="2:3">
      <c r="B15" s="9" t="s">
        <v>1</v>
      </c>
      <c r="C15" s="10" t="s">
        <v>443</v>
      </c>
    </row>
    <row r="16" spans="2:3">
      <c r="B16" s="9" t="s">
        <v>2</v>
      </c>
      <c r="C16" s="160" t="s">
        <v>791</v>
      </c>
    </row>
    <row r="17" spans="2:5">
      <c r="B17" s="9" t="s">
        <v>3</v>
      </c>
      <c r="C17" s="160" t="s">
        <v>444</v>
      </c>
    </row>
    <row r="18" spans="2:5">
      <c r="B18" s="9" t="s">
        <v>4</v>
      </c>
      <c r="C18" s="160" t="s">
        <v>445</v>
      </c>
    </row>
    <row r="19" spans="2:5">
      <c r="B19" s="9" t="s">
        <v>5</v>
      </c>
      <c r="C19" s="160" t="s">
        <v>201</v>
      </c>
    </row>
    <row r="20" spans="2:5">
      <c r="B20" s="9" t="s">
        <v>6</v>
      </c>
      <c r="C20" s="10" t="s">
        <v>201</v>
      </c>
    </row>
    <row r="21" spans="2:5">
      <c r="B21" s="9" t="s">
        <v>7</v>
      </c>
      <c r="C21" s="160" t="s">
        <v>480</v>
      </c>
    </row>
    <row r="22" spans="2:5">
      <c r="B22" s="9" t="s">
        <v>8</v>
      </c>
      <c r="C22" s="10" t="s">
        <v>201</v>
      </c>
    </row>
    <row r="25" spans="2:5" s="7" customFormat="1">
      <c r="B25" s="7" t="s">
        <v>9</v>
      </c>
    </row>
    <row r="27" spans="2:5">
      <c r="B27" s="9" t="s">
        <v>10</v>
      </c>
      <c r="C27" s="10" t="s">
        <v>446</v>
      </c>
    </row>
    <row r="28" spans="2:5">
      <c r="B28" s="9" t="s">
        <v>11</v>
      </c>
      <c r="C28" s="10" t="s">
        <v>790</v>
      </c>
    </row>
    <row r="29" spans="2:5" ht="25.5">
      <c r="B29" s="9" t="s">
        <v>12</v>
      </c>
      <c r="C29" s="10" t="s">
        <v>201</v>
      </c>
      <c r="E29" s="26"/>
    </row>
    <row r="30" spans="2:5">
      <c r="B30" s="9" t="s">
        <v>13</v>
      </c>
      <c r="C30" s="10" t="s">
        <v>201</v>
      </c>
    </row>
    <row r="31" spans="2:5">
      <c r="B31" s="135" t="s">
        <v>220</v>
      </c>
      <c r="C31" s="10" t="s">
        <v>201</v>
      </c>
    </row>
    <row r="34" spans="2:2" s="7" customFormat="1">
      <c r="B34" s="7" t="s">
        <v>14</v>
      </c>
    </row>
    <row r="36" spans="2:2">
      <c r="B36" s="82" t="s">
        <v>233</v>
      </c>
    </row>
    <row r="37" spans="2:2">
      <c r="B37" s="82" t="s">
        <v>234</v>
      </c>
    </row>
    <row r="38" spans="2:2">
      <c r="B38" s="82" t="s">
        <v>289</v>
      </c>
    </row>
    <row r="40" spans="2:2" s="184" customFormat="1">
      <c r="B40" s="184" t="s">
        <v>290</v>
      </c>
    </row>
    <row r="42" spans="2:2">
      <c r="B42" s="201" t="s">
        <v>291</v>
      </c>
    </row>
  </sheetData>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rgb="FFCCFFCC"/>
    <pageSetUpPr autoPageBreaks="0"/>
  </sheetPr>
  <dimension ref="A1:R36"/>
  <sheetViews>
    <sheetView showGridLines="0" zoomScale="85" zoomScaleNormal="85" workbookViewId="0">
      <pane xSplit="6" ySplit="18" topLeftCell="G19" activePane="bottomRight" state="frozen"/>
      <selection pane="topRight"/>
      <selection pane="bottomLeft"/>
      <selection pane="bottomRight"/>
    </sheetView>
  </sheetViews>
  <sheetFormatPr defaultColWidth="9.140625" defaultRowHeight="12.75"/>
  <cols>
    <col min="1" max="1" width="4" style="2" customWidth="1"/>
    <col min="2" max="2" width="58.7109375" style="2" customWidth="1"/>
    <col min="3" max="5" width="4.5703125" style="2" customWidth="1"/>
    <col min="6" max="6" width="13.7109375" style="2" customWidth="1"/>
    <col min="7" max="7" width="2.7109375" style="2" customWidth="1"/>
    <col min="8" max="8" width="14.85546875" style="2" bestFit="1" customWidth="1"/>
    <col min="9" max="9" width="2.7109375" style="2" customWidth="1"/>
    <col min="10" max="10" width="13.7109375" style="2" customWidth="1"/>
    <col min="11" max="11" width="2.7109375" style="2" customWidth="1"/>
    <col min="12" max="16" width="18.7109375" style="2" customWidth="1"/>
    <col min="17" max="17" width="2.7109375" style="2" customWidth="1"/>
    <col min="18" max="30" width="13.7109375" style="2" customWidth="1"/>
    <col min="31" max="16384" width="9.140625" style="2"/>
  </cols>
  <sheetData>
    <row r="1" spans="1:8">
      <c r="A1" s="260"/>
    </row>
    <row r="2" spans="1:8" s="20" customFormat="1" ht="18">
      <c r="A2" s="154"/>
      <c r="B2" s="154" t="s">
        <v>259</v>
      </c>
    </row>
    <row r="3" spans="1:8">
      <c r="A3" s="156"/>
      <c r="B3" s="21"/>
    </row>
    <row r="4" spans="1:8" s="81" customFormat="1" ht="12.75" customHeight="1">
      <c r="A4" s="156"/>
      <c r="B4" s="302" t="s">
        <v>495</v>
      </c>
      <c r="C4" s="302"/>
      <c r="D4" s="302"/>
      <c r="E4" s="302"/>
    </row>
    <row r="5" spans="1:8" s="81" customFormat="1">
      <c r="A5" s="156"/>
      <c r="B5" s="302"/>
      <c r="C5" s="302"/>
      <c r="D5" s="302"/>
      <c r="E5" s="302"/>
    </row>
    <row r="6" spans="1:8" s="81" customFormat="1">
      <c r="A6" s="156"/>
      <c r="B6" s="302"/>
      <c r="C6" s="302"/>
      <c r="D6" s="302"/>
      <c r="E6" s="302"/>
    </row>
    <row r="7" spans="1:8" s="81" customFormat="1">
      <c r="A7" s="156"/>
      <c r="B7" s="302"/>
      <c r="C7" s="302"/>
      <c r="D7" s="302"/>
      <c r="E7" s="302"/>
    </row>
    <row r="8" spans="1:8" s="81" customFormat="1">
      <c r="A8" s="156"/>
      <c r="B8" s="302"/>
      <c r="C8" s="302"/>
      <c r="D8" s="302"/>
      <c r="E8" s="302"/>
    </row>
    <row r="9" spans="1:8">
      <c r="A9" s="156"/>
      <c r="B9" s="302"/>
      <c r="C9" s="302"/>
      <c r="D9" s="302"/>
      <c r="E9" s="302"/>
    </row>
    <row r="10" spans="1:8" s="81" customFormat="1">
      <c r="A10" s="156"/>
      <c r="B10" s="302"/>
      <c r="C10" s="302"/>
      <c r="D10" s="302"/>
      <c r="E10" s="302"/>
    </row>
    <row r="11" spans="1:8" s="153" customFormat="1">
      <c r="A11" s="156"/>
      <c r="B11" s="302"/>
      <c r="C11" s="302"/>
      <c r="D11" s="302"/>
      <c r="E11" s="302"/>
    </row>
    <row r="12" spans="1:8">
      <c r="A12" s="156"/>
      <c r="B12" s="23"/>
      <c r="C12" s="23"/>
      <c r="D12" s="23"/>
      <c r="H12" s="21"/>
    </row>
    <row r="13" spans="1:8">
      <c r="A13" s="156"/>
      <c r="B13" s="80" t="s">
        <v>254</v>
      </c>
      <c r="C13" s="23"/>
      <c r="D13" s="23"/>
      <c r="H13" s="21"/>
    </row>
    <row r="14" spans="1:8" s="81" customFormat="1">
      <c r="A14" s="156"/>
      <c r="B14" s="82" t="s">
        <v>459</v>
      </c>
      <c r="C14" s="82"/>
      <c r="D14" s="82"/>
      <c r="F14" s="95" t="str">
        <f>'Tab 21_Controle rekenvolumina'!H33</f>
        <v>ja</v>
      </c>
    </row>
    <row r="15" spans="1:8">
      <c r="A15" s="156"/>
      <c r="B15" s="82" t="s">
        <v>248</v>
      </c>
      <c r="C15" s="23"/>
      <c r="D15" s="23"/>
      <c r="F15" s="95" t="str">
        <f>'Tab 22_Controle tarieven'!H84</f>
        <v>ja</v>
      </c>
    </row>
    <row r="16" spans="1:8" s="81" customFormat="1">
      <c r="A16" s="156"/>
      <c r="B16" s="82"/>
      <c r="C16" s="82"/>
      <c r="D16" s="82"/>
      <c r="F16" s="103"/>
    </row>
    <row r="17" spans="1:18" s="85" customFormat="1" ht="38.25">
      <c r="A17" s="184"/>
      <c r="B17" s="85" t="s">
        <v>44</v>
      </c>
      <c r="F17" s="85" t="s">
        <v>26</v>
      </c>
      <c r="H17" s="85" t="s">
        <v>27</v>
      </c>
      <c r="J17" s="85" t="s">
        <v>48</v>
      </c>
      <c r="L17" s="85" t="s">
        <v>76</v>
      </c>
      <c r="M17" s="31" t="s">
        <v>251</v>
      </c>
      <c r="N17" s="31" t="s">
        <v>78</v>
      </c>
      <c r="O17" s="31" t="s">
        <v>250</v>
      </c>
      <c r="P17" s="31" t="s">
        <v>169</v>
      </c>
      <c r="R17" s="85" t="s">
        <v>46</v>
      </c>
    </row>
    <row r="18" spans="1:18">
      <c r="A18" s="260"/>
    </row>
    <row r="19" spans="1:18">
      <c r="A19" s="260"/>
    </row>
    <row r="20" spans="1:18" s="7" customFormat="1">
      <c r="A20" s="184"/>
      <c r="B20" s="7" t="s">
        <v>457</v>
      </c>
      <c r="R20" s="35"/>
    </row>
    <row r="21" spans="1:18">
      <c r="A21" s="260"/>
    </row>
    <row r="22" spans="1:18" s="81" customFormat="1">
      <c r="A22" s="260"/>
      <c r="B22" s="80" t="s">
        <v>80</v>
      </c>
    </row>
    <row r="23" spans="1:18">
      <c r="A23" s="260"/>
      <c r="B23" s="2" t="s">
        <v>458</v>
      </c>
      <c r="F23" s="2" t="s">
        <v>81</v>
      </c>
      <c r="L23" s="289">
        <v>23.082999999999998</v>
      </c>
      <c r="M23" s="290">
        <v>1504881</v>
      </c>
      <c r="N23" s="290">
        <v>13396240</v>
      </c>
      <c r="O23" s="290">
        <v>125088</v>
      </c>
      <c r="P23" s="290">
        <v>2189240</v>
      </c>
      <c r="R23" s="5"/>
    </row>
    <row r="24" spans="1:18">
      <c r="A24" s="260"/>
      <c r="L24" s="207"/>
      <c r="M24" s="207"/>
      <c r="N24" s="207"/>
      <c r="O24" s="207"/>
      <c r="P24" s="207"/>
    </row>
    <row r="25" spans="1:18" s="81" customFormat="1">
      <c r="A25" s="260"/>
      <c r="B25" s="80" t="s">
        <v>82</v>
      </c>
      <c r="L25" s="207"/>
      <c r="M25" s="207"/>
      <c r="N25" s="207"/>
      <c r="O25" s="207"/>
      <c r="P25" s="207"/>
      <c r="R25" s="82"/>
    </row>
    <row r="26" spans="1:18">
      <c r="A26" s="260"/>
      <c r="B26" s="2" t="s">
        <v>460</v>
      </c>
      <c r="F26" s="2" t="s">
        <v>81</v>
      </c>
      <c r="L26" s="289">
        <v>93.75</v>
      </c>
      <c r="M26" s="290">
        <v>14733464</v>
      </c>
      <c r="N26" s="290">
        <v>151228388</v>
      </c>
      <c r="O26" s="290">
        <v>323512</v>
      </c>
      <c r="P26" s="290">
        <v>3219973</v>
      </c>
      <c r="R26" s="208"/>
    </row>
    <row r="27" spans="1:18">
      <c r="A27" s="260"/>
      <c r="L27" s="207"/>
      <c r="M27" s="207"/>
      <c r="N27" s="207"/>
      <c r="O27" s="207"/>
      <c r="P27" s="207"/>
      <c r="R27" s="82"/>
    </row>
    <row r="28" spans="1:18" s="7" customFormat="1">
      <c r="A28" s="184"/>
      <c r="B28" s="7" t="s">
        <v>461</v>
      </c>
      <c r="L28" s="194"/>
      <c r="M28" s="194"/>
      <c r="N28" s="194"/>
      <c r="O28" s="194"/>
      <c r="P28" s="194"/>
      <c r="R28" s="75"/>
    </row>
    <row r="29" spans="1:18">
      <c r="A29" s="260"/>
      <c r="L29" s="176"/>
      <c r="M29" s="176"/>
      <c r="N29" s="176"/>
      <c r="O29" s="176"/>
      <c r="P29" s="176"/>
      <c r="R29" s="82"/>
    </row>
    <row r="30" spans="1:18">
      <c r="A30" s="260"/>
      <c r="B30" s="1" t="s">
        <v>80</v>
      </c>
      <c r="L30" s="176"/>
      <c r="M30" s="176"/>
      <c r="N30" s="176"/>
      <c r="O30" s="176"/>
      <c r="P30" s="176"/>
      <c r="R30" s="82"/>
    </row>
    <row r="31" spans="1:18">
      <c r="A31" s="260"/>
      <c r="B31" s="23" t="s">
        <v>462</v>
      </c>
      <c r="F31" s="2" t="s">
        <v>199</v>
      </c>
      <c r="L31" s="289">
        <v>12478.96</v>
      </c>
      <c r="M31" s="289">
        <v>14.8</v>
      </c>
      <c r="N31" s="289">
        <v>1.5</v>
      </c>
      <c r="O31" s="289">
        <v>7.38</v>
      </c>
      <c r="P31" s="289">
        <v>0.52</v>
      </c>
      <c r="R31" s="208"/>
    </row>
    <row r="32" spans="1:18">
      <c r="A32" s="260"/>
      <c r="B32" s="23" t="s">
        <v>463</v>
      </c>
      <c r="F32" s="2" t="s">
        <v>81</v>
      </c>
      <c r="L32" s="289">
        <v>23.082999999999998</v>
      </c>
      <c r="M32" s="290">
        <v>1504881</v>
      </c>
      <c r="N32" s="290">
        <v>13396240</v>
      </c>
      <c r="O32" s="290">
        <v>125088</v>
      </c>
      <c r="P32" s="290">
        <v>2189240</v>
      </c>
      <c r="R32" s="208"/>
    </row>
    <row r="33" spans="1:18">
      <c r="A33" s="260"/>
      <c r="L33" s="207"/>
      <c r="M33" s="207"/>
      <c r="N33" s="207"/>
      <c r="O33" s="207"/>
      <c r="P33" s="207"/>
      <c r="R33" s="82"/>
    </row>
    <row r="34" spans="1:18">
      <c r="A34" s="260"/>
      <c r="B34" s="1" t="s">
        <v>82</v>
      </c>
      <c r="L34" s="207"/>
      <c r="M34" s="207"/>
      <c r="N34" s="207"/>
      <c r="O34" s="207"/>
      <c r="P34" s="207"/>
      <c r="R34" s="82"/>
    </row>
    <row r="35" spans="1:18">
      <c r="A35" s="260"/>
      <c r="B35" s="23" t="s">
        <v>462</v>
      </c>
      <c r="F35" s="2" t="s">
        <v>199</v>
      </c>
      <c r="L35" s="289">
        <v>2760</v>
      </c>
      <c r="M35" s="289">
        <v>24.8</v>
      </c>
      <c r="N35" s="289">
        <v>2.42</v>
      </c>
      <c r="O35" s="289">
        <v>12.38</v>
      </c>
      <c r="P35" s="289">
        <v>0.84</v>
      </c>
      <c r="R35" s="208"/>
    </row>
    <row r="36" spans="1:18">
      <c r="A36" s="260"/>
      <c r="B36" s="23" t="s">
        <v>463</v>
      </c>
      <c r="F36" s="2" t="s">
        <v>81</v>
      </c>
      <c r="L36" s="289">
        <v>93.75</v>
      </c>
      <c r="M36" s="290">
        <v>14733464</v>
      </c>
      <c r="N36" s="290">
        <v>151228388</v>
      </c>
      <c r="O36" s="290">
        <v>323512</v>
      </c>
      <c r="P36" s="290">
        <v>3219973</v>
      </c>
      <c r="R36" s="208"/>
    </row>
  </sheetData>
  <mergeCells count="1">
    <mergeCell ref="B4:E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0" tint="-4.9989318521683403E-2"/>
    <pageSetUpPr autoPageBreaks="0"/>
  </sheetPr>
  <dimension ref="A1"/>
  <sheetViews>
    <sheetView showGridLines="0" zoomScale="85" zoomScaleNormal="85" workbookViewId="0"/>
  </sheetViews>
  <sheetFormatPr defaultColWidth="9.140625" defaultRowHeight="12.75"/>
  <cols>
    <col min="1" max="16384" width="9.140625" style="22"/>
  </cols>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rgb="FFCCFFCC"/>
    <pageSetUpPr autoPageBreaks="0"/>
  </sheetPr>
  <dimension ref="A1:AA63"/>
  <sheetViews>
    <sheetView showGridLines="0" zoomScale="85" zoomScaleNormal="85" workbookViewId="0">
      <pane xSplit="6" ySplit="12" topLeftCell="G13" activePane="bottomRight" state="frozen"/>
      <selection pane="topRight"/>
      <selection pane="bottomLeft"/>
      <selection pane="bottomRight"/>
    </sheetView>
  </sheetViews>
  <sheetFormatPr defaultColWidth="9.140625" defaultRowHeight="12.75"/>
  <cols>
    <col min="1" max="1" width="4" style="2" customWidth="1"/>
    <col min="2" max="2" width="46.140625" style="2" customWidth="1"/>
    <col min="3" max="5" width="4.5703125" style="2" customWidth="1"/>
    <col min="6" max="6" width="11.7109375" style="2" customWidth="1"/>
    <col min="7" max="7" width="2.7109375" style="2" customWidth="1"/>
    <col min="8" max="8" width="12.5703125" style="2" customWidth="1"/>
    <col min="9" max="9" width="2.7109375" style="2" customWidth="1"/>
    <col min="10" max="10" width="10.5703125" style="2" customWidth="1"/>
    <col min="11" max="11" width="2.7109375" style="2" customWidth="1"/>
    <col min="12" max="22" width="12.5703125" style="2" customWidth="1"/>
    <col min="23" max="23" width="2.7109375" style="81" customWidth="1"/>
    <col min="24" max="24" width="39.140625" style="2" customWidth="1"/>
    <col min="25" max="25" width="2.7109375" style="2" customWidth="1"/>
    <col min="26" max="26" width="13.7109375" style="82" customWidth="1"/>
    <col min="27" max="27" width="2.7109375" style="2" customWidth="1"/>
    <col min="28" max="42" width="13.7109375" style="2" customWidth="1"/>
    <col min="43" max="16384" width="9.140625" style="2"/>
  </cols>
  <sheetData>
    <row r="1" spans="1:27">
      <c r="A1" s="192"/>
    </row>
    <row r="2" spans="1:27" s="20" customFormat="1" ht="18">
      <c r="B2" s="20" t="s">
        <v>244</v>
      </c>
      <c r="Z2" s="78"/>
    </row>
    <row r="3" spans="1:27">
      <c r="A3" s="260"/>
    </row>
    <row r="4" spans="1:27" s="81" customFormat="1" ht="12.75" customHeight="1">
      <c r="A4" s="260"/>
      <c r="B4" s="303" t="s">
        <v>629</v>
      </c>
      <c r="C4" s="303"/>
      <c r="D4" s="303"/>
      <c r="E4" s="303"/>
      <c r="Z4" s="208"/>
    </row>
    <row r="5" spans="1:27" s="81" customFormat="1">
      <c r="A5" s="260"/>
      <c r="B5" s="303"/>
      <c r="C5" s="303"/>
      <c r="D5" s="303"/>
      <c r="E5" s="303"/>
      <c r="Z5" s="208"/>
    </row>
    <row r="6" spans="1:27" s="81" customFormat="1">
      <c r="A6" s="260"/>
      <c r="B6" s="303"/>
      <c r="C6" s="303"/>
      <c r="D6" s="303"/>
      <c r="E6" s="303"/>
      <c r="Z6" s="82"/>
    </row>
    <row r="7" spans="1:27" s="81" customFormat="1">
      <c r="A7" s="260"/>
      <c r="B7" s="303"/>
      <c r="C7" s="303"/>
      <c r="D7" s="303"/>
      <c r="E7" s="303"/>
      <c r="Z7" s="82"/>
    </row>
    <row r="8" spans="1:27" s="81" customFormat="1">
      <c r="A8" s="260"/>
      <c r="B8" s="303"/>
      <c r="C8" s="303"/>
      <c r="D8" s="303"/>
      <c r="E8" s="303"/>
      <c r="Z8" s="82"/>
    </row>
    <row r="9" spans="1:27" s="171" customFormat="1">
      <c r="A9" s="260"/>
      <c r="B9" s="303"/>
      <c r="C9" s="303"/>
      <c r="D9" s="303"/>
      <c r="E9" s="303"/>
      <c r="Z9" s="82"/>
    </row>
    <row r="10" spans="1:27" s="81" customFormat="1">
      <c r="A10" s="260"/>
    </row>
    <row r="11" spans="1:27" s="7" customFormat="1">
      <c r="A11" s="184"/>
      <c r="B11" s="7" t="s">
        <v>44</v>
      </c>
      <c r="F11" s="7" t="s">
        <v>26</v>
      </c>
      <c r="H11" s="7" t="s">
        <v>27</v>
      </c>
      <c r="J11" s="7" t="s">
        <v>48</v>
      </c>
      <c r="L11" s="72">
        <v>2011</v>
      </c>
      <c r="M11" s="72">
        <v>2012</v>
      </c>
      <c r="N11" s="72">
        <v>2013</v>
      </c>
      <c r="O11" s="72">
        <v>2014</v>
      </c>
      <c r="P11" s="72">
        <v>2015</v>
      </c>
      <c r="Q11" s="72">
        <v>2016</v>
      </c>
      <c r="R11" s="72">
        <v>2017</v>
      </c>
      <c r="S11" s="72">
        <v>2018</v>
      </c>
      <c r="T11" s="72">
        <v>2019</v>
      </c>
      <c r="U11" s="72">
        <v>2020</v>
      </c>
      <c r="V11" s="72">
        <v>2021</v>
      </c>
      <c r="W11" s="85"/>
      <c r="X11" s="7" t="s">
        <v>45</v>
      </c>
      <c r="Z11" s="75" t="s">
        <v>46</v>
      </c>
      <c r="AA11" s="35"/>
    </row>
    <row r="12" spans="1:27">
      <c r="A12" s="260"/>
    </row>
    <row r="13" spans="1:27">
      <c r="A13" s="260"/>
    </row>
    <row r="14" spans="1:27" s="7" customFormat="1">
      <c r="A14" s="184"/>
      <c r="B14" s="75" t="s">
        <v>59</v>
      </c>
      <c r="W14" s="85"/>
      <c r="Z14" s="75"/>
    </row>
    <row r="15" spans="1:27">
      <c r="A15" s="260"/>
    </row>
    <row r="16" spans="1:27">
      <c r="A16" s="260"/>
      <c r="B16" s="1" t="s">
        <v>156</v>
      </c>
      <c r="Z16" s="80" t="s">
        <v>61</v>
      </c>
    </row>
    <row r="17" spans="1:26">
      <c r="A17" s="260"/>
      <c r="B17" s="2" t="s">
        <v>157</v>
      </c>
      <c r="F17" s="2" t="s">
        <v>60</v>
      </c>
      <c r="L17" s="104">
        <v>1.4999999999999999E-2</v>
      </c>
      <c r="M17" s="104">
        <v>2.5999999999999999E-2</v>
      </c>
      <c r="N17" s="104">
        <v>2.3E-2</v>
      </c>
      <c r="O17" s="104">
        <v>2.8000000000000001E-2</v>
      </c>
      <c r="P17" s="104">
        <v>0.01</v>
      </c>
      <c r="Q17" s="104">
        <v>8.0000000000000002E-3</v>
      </c>
      <c r="R17" s="104">
        <v>2E-3</v>
      </c>
      <c r="S17" s="104">
        <v>1.4E-2</v>
      </c>
      <c r="T17" s="178">
        <v>2.1000000000000001E-2</v>
      </c>
      <c r="U17" s="178">
        <v>2.8000000000000001E-2</v>
      </c>
      <c r="V17" s="137">
        <v>7.0000000000000001E-3</v>
      </c>
      <c r="X17" s="2" t="s">
        <v>184</v>
      </c>
      <c r="Z17" s="39" t="s">
        <v>285</v>
      </c>
    </row>
    <row r="18" spans="1:26">
      <c r="A18" s="260"/>
      <c r="Z18" s="39" t="s">
        <v>62</v>
      </c>
    </row>
    <row r="19" spans="1:26">
      <c r="A19" s="260"/>
      <c r="B19" s="217"/>
      <c r="H19" s="277"/>
      <c r="X19" s="257"/>
      <c r="Z19" s="39" t="s">
        <v>286</v>
      </c>
    </row>
    <row r="20" spans="1:26">
      <c r="A20" s="260"/>
      <c r="Z20" s="39" t="s">
        <v>287</v>
      </c>
    </row>
    <row r="21" spans="1:26" s="81" customFormat="1">
      <c r="A21" s="260"/>
      <c r="Z21" s="291" t="s">
        <v>675</v>
      </c>
    </row>
    <row r="22" spans="1:26" s="81" customFormat="1">
      <c r="A22" s="260"/>
      <c r="Z22" s="39"/>
    </row>
    <row r="23" spans="1:26" s="7" customFormat="1">
      <c r="A23" s="184"/>
      <c r="B23" s="75" t="s">
        <v>67</v>
      </c>
      <c r="W23" s="85"/>
      <c r="Z23" s="75"/>
    </row>
    <row r="24" spans="1:26">
      <c r="A24" s="260"/>
    </row>
    <row r="25" spans="1:26">
      <c r="A25" s="260"/>
      <c r="B25" s="1" t="s">
        <v>67</v>
      </c>
      <c r="Z25" s="80" t="s">
        <v>63</v>
      </c>
    </row>
    <row r="26" spans="1:26">
      <c r="A26" s="260"/>
      <c r="B26" s="2" t="s">
        <v>68</v>
      </c>
      <c r="F26" s="2" t="s">
        <v>60</v>
      </c>
      <c r="L26" s="141">
        <v>2.5000000000000001E-2</v>
      </c>
      <c r="M26" s="141">
        <v>2.8500000000000001E-2</v>
      </c>
      <c r="N26" s="141">
        <v>0.03</v>
      </c>
      <c r="O26" s="141">
        <v>0.03</v>
      </c>
      <c r="P26" s="141">
        <v>0.04</v>
      </c>
      <c r="Q26" s="141">
        <v>0.04</v>
      </c>
      <c r="R26" s="141">
        <v>0.04</v>
      </c>
      <c r="S26" s="141">
        <v>0.04</v>
      </c>
      <c r="T26" s="179">
        <v>0.04</v>
      </c>
      <c r="U26" s="261">
        <v>0.04</v>
      </c>
      <c r="V26" s="262">
        <v>0.04</v>
      </c>
      <c r="X26" s="2" t="s">
        <v>186</v>
      </c>
      <c r="Z26" s="39" t="s">
        <v>64</v>
      </c>
    </row>
    <row r="27" spans="1:26">
      <c r="A27" s="192"/>
      <c r="B27" s="2" t="s">
        <v>69</v>
      </c>
      <c r="F27" s="2" t="s">
        <v>60</v>
      </c>
      <c r="L27" s="141">
        <v>2.5000000000000001E-2</v>
      </c>
      <c r="M27" s="141">
        <v>2.3E-2</v>
      </c>
      <c r="N27" s="141">
        <v>0.03</v>
      </c>
      <c r="O27" s="141">
        <v>0.04</v>
      </c>
      <c r="P27" s="141">
        <v>0.04</v>
      </c>
      <c r="Q27" s="141">
        <v>0.04</v>
      </c>
      <c r="R27" s="141">
        <v>0.04</v>
      </c>
      <c r="S27" s="141">
        <v>0.04</v>
      </c>
      <c r="T27" s="179">
        <v>0.04</v>
      </c>
      <c r="U27" s="261">
        <v>0.04</v>
      </c>
      <c r="V27" s="262">
        <v>0.04</v>
      </c>
      <c r="X27" s="81" t="s">
        <v>186</v>
      </c>
      <c r="Z27" s="39" t="s">
        <v>158</v>
      </c>
    </row>
    <row r="28" spans="1:26">
      <c r="A28" s="192"/>
      <c r="B28" s="2" t="s">
        <v>70</v>
      </c>
      <c r="F28" s="2" t="s">
        <v>60</v>
      </c>
      <c r="L28" s="141">
        <v>2.75E-2</v>
      </c>
      <c r="M28" s="141">
        <v>2.5000000000000001E-2</v>
      </c>
      <c r="N28" s="141">
        <v>0.03</v>
      </c>
      <c r="O28" s="141">
        <v>0.04</v>
      </c>
      <c r="P28" s="141">
        <v>0.04</v>
      </c>
      <c r="Q28" s="141">
        <v>0.04</v>
      </c>
      <c r="R28" s="141">
        <v>0.04</v>
      </c>
      <c r="S28" s="179">
        <v>0.04</v>
      </c>
      <c r="T28" s="179">
        <v>0.04</v>
      </c>
      <c r="U28" s="262">
        <v>0.04</v>
      </c>
      <c r="X28" s="81" t="s">
        <v>186</v>
      </c>
      <c r="Z28" s="39" t="s">
        <v>65</v>
      </c>
    </row>
    <row r="29" spans="1:26">
      <c r="A29" s="192"/>
      <c r="B29" s="2" t="s">
        <v>71</v>
      </c>
      <c r="F29" s="2" t="s">
        <v>60</v>
      </c>
      <c r="L29" s="141">
        <v>0.03</v>
      </c>
      <c r="M29" s="141">
        <v>2.2499999999999999E-2</v>
      </c>
      <c r="N29" s="141">
        <v>0.03</v>
      </c>
      <c r="O29" s="141">
        <v>0.04</v>
      </c>
      <c r="P29" s="141">
        <v>0.04</v>
      </c>
      <c r="Q29" s="141">
        <v>0.04</v>
      </c>
      <c r="R29" s="141">
        <v>0.04</v>
      </c>
      <c r="S29" s="179">
        <v>0.04</v>
      </c>
      <c r="T29" s="179">
        <v>0.04</v>
      </c>
      <c r="U29" s="262">
        <v>0.04</v>
      </c>
      <c r="X29" s="81" t="s">
        <v>186</v>
      </c>
      <c r="Z29" s="39" t="s">
        <v>66</v>
      </c>
    </row>
    <row r="30" spans="1:26">
      <c r="A30" s="192"/>
      <c r="Z30" s="39" t="s">
        <v>159</v>
      </c>
    </row>
    <row r="31" spans="1:26">
      <c r="A31" s="192"/>
      <c r="Z31" s="39" t="s">
        <v>322</v>
      </c>
    </row>
    <row r="32" spans="1:26" s="259" customFormat="1">
      <c r="A32" s="192"/>
      <c r="Z32" s="39" t="s">
        <v>499</v>
      </c>
    </row>
    <row r="33" spans="1:26" s="81" customFormat="1">
      <c r="A33" s="192"/>
      <c r="Z33" s="39" t="s">
        <v>500</v>
      </c>
    </row>
    <row r="34" spans="1:26" s="81" customFormat="1">
      <c r="A34" s="260"/>
      <c r="Z34" s="215"/>
    </row>
    <row r="35" spans="1:26" s="7" customFormat="1">
      <c r="A35" s="184"/>
      <c r="B35" s="75" t="s">
        <v>253</v>
      </c>
      <c r="M35" s="184"/>
      <c r="N35" s="184"/>
      <c r="O35" s="184"/>
      <c r="P35" s="184"/>
      <c r="W35" s="85"/>
      <c r="Z35" s="75"/>
    </row>
    <row r="36" spans="1:26">
      <c r="A36" s="260"/>
    </row>
    <row r="37" spans="1:26">
      <c r="A37" s="260"/>
      <c r="B37" s="1" t="s">
        <v>365</v>
      </c>
      <c r="Q37" s="238"/>
      <c r="R37" s="238"/>
      <c r="S37" s="238"/>
      <c r="T37" s="238"/>
      <c r="U37" s="238"/>
      <c r="V37" s="238"/>
      <c r="X37" s="5"/>
      <c r="Z37" s="208"/>
    </row>
    <row r="38" spans="1:26">
      <c r="A38" s="260"/>
      <c r="B38" s="39" t="s">
        <v>252</v>
      </c>
      <c r="F38" s="2" t="s">
        <v>60</v>
      </c>
      <c r="L38" s="252"/>
      <c r="M38" s="252"/>
      <c r="N38" s="252"/>
      <c r="O38" s="252"/>
      <c r="P38" s="252"/>
      <c r="Q38" s="252"/>
      <c r="R38" s="221">
        <v>4.2000000000000003E-2</v>
      </c>
      <c r="S38" s="221">
        <v>3.9E-2</v>
      </c>
      <c r="T38" s="221">
        <v>3.5999999999999997E-2</v>
      </c>
      <c r="U38" s="221">
        <v>3.3000000000000002E-2</v>
      </c>
      <c r="V38" s="221">
        <v>0.03</v>
      </c>
      <c r="X38" s="257" t="s">
        <v>437</v>
      </c>
      <c r="Z38" s="257" t="s">
        <v>438</v>
      </c>
    </row>
    <row r="39" spans="1:26" s="240" customFormat="1">
      <c r="A39" s="260"/>
      <c r="B39" s="39"/>
      <c r="X39" s="207"/>
      <c r="Z39" s="207"/>
    </row>
    <row r="40" spans="1:26" s="7" customFormat="1">
      <c r="A40" s="184"/>
      <c r="B40" s="75" t="s">
        <v>396</v>
      </c>
      <c r="W40" s="85"/>
      <c r="X40" s="172"/>
      <c r="Z40" s="75"/>
    </row>
    <row r="41" spans="1:26">
      <c r="A41" s="260"/>
      <c r="X41" s="82"/>
    </row>
    <row r="42" spans="1:26">
      <c r="A42" s="260"/>
      <c r="B42" s="1" t="s">
        <v>72</v>
      </c>
      <c r="X42" s="82"/>
      <c r="Z42" s="80"/>
    </row>
    <row r="43" spans="1:26">
      <c r="A43" s="260"/>
      <c r="B43" s="2" t="s">
        <v>264</v>
      </c>
      <c r="F43" s="2" t="s">
        <v>60</v>
      </c>
      <c r="H43" s="104">
        <v>1.0999999999999999E-2</v>
      </c>
      <c r="X43" s="82" t="s">
        <v>397</v>
      </c>
    </row>
    <row r="44" spans="1:26">
      <c r="A44" s="260"/>
      <c r="B44" s="2" t="s">
        <v>265</v>
      </c>
      <c r="F44" s="2" t="s">
        <v>60</v>
      </c>
      <c r="H44" s="221">
        <v>0</v>
      </c>
      <c r="J44" s="208"/>
      <c r="X44" s="207" t="s">
        <v>398</v>
      </c>
    </row>
    <row r="45" spans="1:26">
      <c r="A45" s="260"/>
      <c r="X45" s="82"/>
    </row>
    <row r="46" spans="1:26">
      <c r="A46" s="260"/>
      <c r="B46" s="1" t="s">
        <v>73</v>
      </c>
      <c r="X46" s="82"/>
      <c r="Z46" s="80"/>
    </row>
    <row r="47" spans="1:26">
      <c r="A47" s="260"/>
      <c r="B47" s="39" t="s">
        <v>266</v>
      </c>
      <c r="H47" s="253">
        <v>-0.15</v>
      </c>
      <c r="J47" s="208"/>
      <c r="X47" s="207" t="s">
        <v>439</v>
      </c>
      <c r="Z47" s="207"/>
    </row>
    <row r="48" spans="1:26">
      <c r="A48" s="260"/>
      <c r="X48" s="82"/>
    </row>
    <row r="49" spans="1:26" s="266" customFormat="1">
      <c r="B49" s="181" t="s">
        <v>504</v>
      </c>
      <c r="X49" s="207"/>
      <c r="Z49" s="207"/>
    </row>
    <row r="50" spans="1:26" s="266" customFormat="1">
      <c r="B50" s="266" t="s">
        <v>531</v>
      </c>
      <c r="H50" s="253">
        <v>0.01</v>
      </c>
      <c r="X50" s="207" t="s">
        <v>617</v>
      </c>
      <c r="Z50" s="207"/>
    </row>
    <row r="51" spans="1:26" s="266" customFormat="1">
      <c r="X51" s="207"/>
      <c r="Z51" s="207"/>
    </row>
    <row r="52" spans="1:26" s="7" customFormat="1">
      <c r="A52" s="184"/>
      <c r="B52" s="75" t="s">
        <v>75</v>
      </c>
      <c r="W52" s="85"/>
      <c r="X52" s="172"/>
      <c r="Z52" s="75"/>
    </row>
    <row r="53" spans="1:26">
      <c r="A53" s="260"/>
      <c r="X53" s="82"/>
    </row>
    <row r="54" spans="1:26">
      <c r="A54" s="260"/>
      <c r="B54" s="1" t="s">
        <v>160</v>
      </c>
      <c r="X54" s="82"/>
      <c r="Z54" s="80"/>
    </row>
    <row r="55" spans="1:26">
      <c r="A55" s="260"/>
      <c r="B55" s="39" t="s">
        <v>108</v>
      </c>
      <c r="F55" s="2" t="s">
        <v>60</v>
      </c>
      <c r="H55" s="105">
        <v>0.5</v>
      </c>
      <c r="X55" s="54" t="s">
        <v>267</v>
      </c>
      <c r="Z55" s="80"/>
    </row>
    <row r="56" spans="1:26">
      <c r="A56" s="260"/>
      <c r="B56" s="2" t="s">
        <v>109</v>
      </c>
      <c r="F56" s="2" t="s">
        <v>60</v>
      </c>
      <c r="H56" s="105">
        <v>0.5</v>
      </c>
      <c r="X56" s="54" t="s">
        <v>268</v>
      </c>
    </row>
    <row r="57" spans="1:26">
      <c r="A57" s="260"/>
      <c r="X57" s="82"/>
    </row>
    <row r="58" spans="1:26">
      <c r="A58" s="260"/>
      <c r="B58" s="1" t="s">
        <v>161</v>
      </c>
      <c r="X58" s="82"/>
      <c r="Z58" s="80"/>
    </row>
    <row r="59" spans="1:26">
      <c r="A59" s="260"/>
      <c r="B59" s="2" t="s">
        <v>162</v>
      </c>
      <c r="F59" s="2" t="s">
        <v>60</v>
      </c>
      <c r="H59" s="105">
        <v>0.5</v>
      </c>
      <c r="X59" s="54" t="s">
        <v>269</v>
      </c>
    </row>
    <row r="60" spans="1:26" ht="12.75" customHeight="1">
      <c r="A60" s="260"/>
      <c r="B60" s="2" t="s">
        <v>163</v>
      </c>
      <c r="F60" s="2" t="s">
        <v>60</v>
      </c>
      <c r="H60" s="105">
        <f>18/52</f>
        <v>0.34615384615384615</v>
      </c>
      <c r="X60" s="54" t="s">
        <v>270</v>
      </c>
    </row>
    <row r="61" spans="1:26">
      <c r="A61" s="260"/>
      <c r="X61" s="82"/>
    </row>
    <row r="62" spans="1:26">
      <c r="A62" s="260"/>
      <c r="B62" s="80" t="s">
        <v>246</v>
      </c>
      <c r="X62" s="82"/>
    </row>
    <row r="63" spans="1:26">
      <c r="A63" s="260"/>
      <c r="B63" s="2" t="s">
        <v>272</v>
      </c>
      <c r="F63" s="2" t="s">
        <v>81</v>
      </c>
      <c r="H63" s="138">
        <v>3</v>
      </c>
      <c r="X63" s="82" t="s">
        <v>273</v>
      </c>
    </row>
  </sheetData>
  <mergeCells count="1">
    <mergeCell ref="B4:E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CCFFCC"/>
    <pageSetUpPr autoPageBreaks="0"/>
  </sheetPr>
  <dimension ref="A1:Z105"/>
  <sheetViews>
    <sheetView showGridLines="0" zoomScale="85" zoomScaleNormal="85" workbookViewId="0">
      <pane xSplit="6" ySplit="8" topLeftCell="G9" activePane="bottomRight" state="frozen"/>
      <selection pane="topRight"/>
      <selection pane="bottomLeft"/>
      <selection pane="bottomRight"/>
    </sheetView>
  </sheetViews>
  <sheetFormatPr defaultColWidth="9.140625" defaultRowHeight="12.75" outlineLevelCol="1"/>
  <cols>
    <col min="1" max="1" width="4" style="2" customWidth="1"/>
    <col min="2" max="2" width="68.42578125" style="2" customWidth="1"/>
    <col min="3" max="5" width="4.5703125" style="2" customWidth="1"/>
    <col min="6" max="6" width="11.5703125" style="2" customWidth="1"/>
    <col min="7" max="7" width="2.7109375" style="2" customWidth="1"/>
    <col min="8" max="8" width="13.85546875" style="2" customWidth="1"/>
    <col min="9" max="9" width="2.7109375" style="2" customWidth="1"/>
    <col min="10" max="10" width="13.85546875" style="266" customWidth="1"/>
    <col min="11" max="11" width="2.7109375" style="2" hidden="1" customWidth="1"/>
    <col min="12" max="13" width="12.5703125" style="81" hidden="1" customWidth="1" outlineLevel="1"/>
    <col min="14" max="14" width="13" style="2" bestFit="1" customWidth="1" collapsed="1"/>
    <col min="15" max="16" width="13" style="2" bestFit="1" customWidth="1"/>
    <col min="17" max="17" width="12.85546875" style="2" customWidth="1"/>
    <col min="18" max="18" width="12.42578125" style="2" customWidth="1"/>
    <col min="19" max="20" width="12.5703125" style="2" customWidth="1"/>
    <col min="21" max="22" width="12.5703125" style="81" customWidth="1"/>
    <col min="23" max="23" width="2.7109375" style="2" customWidth="1"/>
    <col min="24" max="24" width="56.140625" style="2" customWidth="1"/>
    <col min="25" max="25" width="2.7109375" style="2" customWidth="1"/>
    <col min="26" max="26" width="13.7109375" style="2" customWidth="1"/>
    <col min="27" max="27" width="2.7109375" style="2" customWidth="1"/>
    <col min="28" max="42" width="13.7109375" style="2" customWidth="1"/>
    <col min="43" max="16384" width="9.140625" style="2"/>
  </cols>
  <sheetData>
    <row r="1" spans="1:26">
      <c r="A1" s="173"/>
    </row>
    <row r="2" spans="1:26" s="20" customFormat="1" ht="18">
      <c r="B2" s="20" t="s">
        <v>245</v>
      </c>
      <c r="X2" s="224"/>
    </row>
    <row r="3" spans="1:26">
      <c r="A3" s="192"/>
    </row>
    <row r="4" spans="1:26">
      <c r="A4" s="192"/>
      <c r="B4" s="1" t="s">
        <v>28</v>
      </c>
      <c r="C4" s="1"/>
      <c r="D4" s="1"/>
      <c r="X4" s="208"/>
    </row>
    <row r="5" spans="1:26" ht="24.75" customHeight="1">
      <c r="A5" s="192"/>
      <c r="B5" s="303" t="s">
        <v>630</v>
      </c>
      <c r="C5" s="303"/>
      <c r="D5" s="303"/>
      <c r="E5" s="303"/>
      <c r="H5" s="21"/>
      <c r="J5" s="156"/>
    </row>
    <row r="7" spans="1:26" s="7" customFormat="1">
      <c r="B7" s="7" t="s">
        <v>44</v>
      </c>
      <c r="F7" s="7" t="s">
        <v>26</v>
      </c>
      <c r="H7" s="7" t="s">
        <v>27</v>
      </c>
      <c r="J7" s="184" t="s">
        <v>48</v>
      </c>
      <c r="L7" s="72">
        <v>2011</v>
      </c>
      <c r="M7" s="72">
        <v>2012</v>
      </c>
      <c r="N7" s="72">
        <v>2013</v>
      </c>
      <c r="O7" s="72">
        <v>2014</v>
      </c>
      <c r="P7" s="72">
        <v>2015</v>
      </c>
      <c r="Q7" s="72">
        <v>2016</v>
      </c>
      <c r="R7" s="72">
        <v>2017</v>
      </c>
      <c r="S7" s="72">
        <v>2018</v>
      </c>
      <c r="T7" s="72">
        <v>2019</v>
      </c>
      <c r="U7" s="72">
        <v>2020</v>
      </c>
      <c r="V7" s="72">
        <v>2021</v>
      </c>
      <c r="X7" s="7" t="s">
        <v>45</v>
      </c>
      <c r="Z7" s="7" t="s">
        <v>46</v>
      </c>
    </row>
    <row r="10" spans="1:26" s="7" customFormat="1">
      <c r="B10" s="7" t="s">
        <v>497</v>
      </c>
      <c r="J10" s="184"/>
      <c r="L10" s="85"/>
      <c r="M10" s="85"/>
      <c r="U10" s="85"/>
      <c r="V10" s="85"/>
      <c r="X10" s="172"/>
    </row>
    <row r="11" spans="1:26">
      <c r="A11" s="192"/>
      <c r="X11" s="82"/>
    </row>
    <row r="12" spans="1:26">
      <c r="A12" s="192"/>
      <c r="B12" s="1" t="s">
        <v>512</v>
      </c>
      <c r="X12" s="82"/>
    </row>
    <row r="13" spans="1:26">
      <c r="A13" s="192"/>
      <c r="B13" s="2" t="s">
        <v>132</v>
      </c>
      <c r="F13" s="2" t="s">
        <v>494</v>
      </c>
      <c r="H13" s="207"/>
      <c r="I13" s="207"/>
      <c r="J13" s="207"/>
      <c r="K13" s="207"/>
      <c r="L13" s="207"/>
      <c r="M13" s="207"/>
      <c r="N13" s="254"/>
      <c r="O13" s="254"/>
      <c r="P13" s="207"/>
      <c r="Q13" s="180">
        <v>100985882.14767185</v>
      </c>
      <c r="R13" s="246"/>
      <c r="S13" s="207"/>
      <c r="T13" s="207"/>
      <c r="U13" s="207"/>
      <c r="V13" s="207"/>
      <c r="X13" s="256" t="s">
        <v>430</v>
      </c>
      <c r="Z13" s="208"/>
    </row>
    <row r="14" spans="1:26">
      <c r="A14" s="192"/>
      <c r="B14" s="2" t="s">
        <v>133</v>
      </c>
      <c r="F14" s="260" t="s">
        <v>494</v>
      </c>
      <c r="H14" s="207"/>
      <c r="I14" s="207"/>
      <c r="J14" s="207"/>
      <c r="K14" s="207"/>
      <c r="L14" s="207"/>
      <c r="M14" s="207"/>
      <c r="N14" s="186"/>
      <c r="O14" s="207"/>
      <c r="P14" s="207"/>
      <c r="Q14" s="180">
        <v>38077861.317479417</v>
      </c>
      <c r="R14" s="246"/>
      <c r="S14" s="207"/>
      <c r="T14" s="207"/>
      <c r="U14" s="207"/>
      <c r="V14" s="207"/>
      <c r="X14" s="256" t="s">
        <v>431</v>
      </c>
    </row>
    <row r="15" spans="1:26">
      <c r="A15" s="192"/>
      <c r="B15" s="2" t="s">
        <v>134</v>
      </c>
      <c r="F15" s="260" t="s">
        <v>494</v>
      </c>
      <c r="H15" s="207"/>
      <c r="I15" s="207"/>
      <c r="J15" s="207"/>
      <c r="K15" s="207"/>
      <c r="L15" s="207"/>
      <c r="M15" s="207"/>
      <c r="N15" s="186"/>
      <c r="O15" s="207"/>
      <c r="P15" s="207"/>
      <c r="Q15" s="180">
        <v>268992955.67695087</v>
      </c>
      <c r="R15" s="246"/>
      <c r="S15" s="207"/>
      <c r="T15" s="207"/>
      <c r="U15" s="207"/>
      <c r="V15" s="207"/>
      <c r="X15" s="256" t="s">
        <v>432</v>
      </c>
    </row>
    <row r="16" spans="1:26">
      <c r="A16" s="192"/>
      <c r="B16" s="2" t="s">
        <v>135</v>
      </c>
      <c r="F16" s="260" t="s">
        <v>494</v>
      </c>
      <c r="H16" s="207"/>
      <c r="I16" s="207"/>
      <c r="J16" s="207"/>
      <c r="K16" s="207"/>
      <c r="L16" s="207"/>
      <c r="M16" s="207"/>
      <c r="N16" s="186"/>
      <c r="O16" s="207"/>
      <c r="P16" s="207"/>
      <c r="Q16" s="180">
        <v>32839100.114819307</v>
      </c>
      <c r="R16" s="246"/>
      <c r="S16" s="207"/>
      <c r="T16" s="207"/>
      <c r="U16" s="207"/>
      <c r="V16" s="207"/>
      <c r="X16" s="256" t="s">
        <v>433</v>
      </c>
    </row>
    <row r="17" spans="1:24">
      <c r="A17" s="192"/>
      <c r="B17" s="2" t="s">
        <v>131</v>
      </c>
      <c r="F17" s="260" t="s">
        <v>494</v>
      </c>
      <c r="H17" s="207"/>
      <c r="I17" s="207"/>
      <c r="J17" s="207"/>
      <c r="K17" s="207"/>
      <c r="L17" s="207"/>
      <c r="M17" s="207"/>
      <c r="N17" s="186"/>
      <c r="O17" s="207"/>
      <c r="P17" s="207"/>
      <c r="Q17" s="180">
        <v>440895799.25692141</v>
      </c>
      <c r="R17" s="207"/>
      <c r="S17" s="207"/>
      <c r="T17" s="207"/>
      <c r="U17" s="207"/>
      <c r="V17" s="207"/>
      <c r="X17" s="256" t="s">
        <v>434</v>
      </c>
    </row>
    <row r="18" spans="1:24" s="81" customFormat="1">
      <c r="A18" s="192"/>
      <c r="H18" s="207"/>
      <c r="I18" s="207"/>
      <c r="J18" s="207"/>
      <c r="K18" s="207"/>
      <c r="L18" s="207"/>
      <c r="M18" s="207"/>
      <c r="N18" s="207"/>
      <c r="O18" s="207"/>
      <c r="P18" s="207"/>
      <c r="Q18" s="207"/>
      <c r="R18" s="207"/>
      <c r="S18" s="207"/>
      <c r="T18" s="207"/>
      <c r="U18" s="207"/>
      <c r="V18" s="207"/>
      <c r="X18" s="82"/>
    </row>
    <row r="19" spans="1:24" s="7" customFormat="1">
      <c r="B19" s="7" t="s">
        <v>496</v>
      </c>
      <c r="H19" s="194"/>
      <c r="I19" s="194"/>
      <c r="J19" s="194"/>
      <c r="K19" s="194"/>
      <c r="L19" s="194"/>
      <c r="M19" s="194"/>
      <c r="N19" s="194"/>
      <c r="O19" s="194"/>
      <c r="P19" s="194"/>
      <c r="Q19" s="194"/>
      <c r="R19" s="194"/>
      <c r="S19" s="194"/>
      <c r="T19" s="194"/>
      <c r="U19" s="194"/>
      <c r="V19" s="194"/>
      <c r="X19" s="172"/>
    </row>
    <row r="20" spans="1:24">
      <c r="B20" s="1"/>
      <c r="H20" s="207"/>
      <c r="I20" s="207"/>
      <c r="J20" s="207"/>
      <c r="K20" s="207"/>
      <c r="L20" s="207"/>
      <c r="M20" s="207"/>
      <c r="N20" s="207"/>
      <c r="O20" s="207"/>
      <c r="P20" s="207"/>
      <c r="Q20" s="207"/>
      <c r="R20" s="207"/>
      <c r="S20" s="207"/>
      <c r="T20" s="207"/>
      <c r="U20" s="207"/>
      <c r="V20" s="207"/>
      <c r="X20" s="82"/>
    </row>
    <row r="21" spans="1:24">
      <c r="B21" s="2" t="s">
        <v>484</v>
      </c>
      <c r="F21" s="2" t="s">
        <v>494</v>
      </c>
      <c r="H21" s="207"/>
      <c r="I21" s="207"/>
      <c r="J21" s="207"/>
      <c r="K21" s="207"/>
      <c r="L21" s="207"/>
      <c r="M21" s="207"/>
      <c r="N21" s="207"/>
      <c r="O21" s="207"/>
      <c r="P21" s="207"/>
      <c r="Q21" s="207"/>
      <c r="R21" s="207"/>
      <c r="S21" s="207"/>
      <c r="T21" s="207"/>
      <c r="U21" s="246"/>
      <c r="V21" s="180">
        <v>195828.30868321264</v>
      </c>
      <c r="X21" s="82" t="s">
        <v>640</v>
      </c>
    </row>
    <row r="22" spans="1:24" s="220" customFormat="1">
      <c r="H22" s="207"/>
      <c r="I22" s="207"/>
      <c r="J22" s="207"/>
      <c r="K22" s="207"/>
      <c r="L22" s="207"/>
      <c r="M22" s="207"/>
      <c r="N22" s="207"/>
      <c r="O22" s="207"/>
      <c r="P22" s="207"/>
      <c r="Q22" s="207"/>
      <c r="R22" s="207"/>
      <c r="S22" s="207"/>
      <c r="T22" s="207"/>
      <c r="U22" s="207"/>
      <c r="V22" s="207"/>
      <c r="X22" s="207"/>
    </row>
    <row r="23" spans="1:24" s="184" customFormat="1">
      <c r="B23" s="184" t="s">
        <v>523</v>
      </c>
      <c r="H23" s="194"/>
      <c r="I23" s="194"/>
      <c r="J23" s="194"/>
      <c r="K23" s="194"/>
      <c r="L23" s="194"/>
      <c r="M23" s="194"/>
      <c r="N23" s="194"/>
      <c r="O23" s="194"/>
      <c r="P23" s="194"/>
      <c r="Q23" s="194"/>
      <c r="R23" s="194"/>
      <c r="S23" s="194"/>
      <c r="T23" s="194"/>
      <c r="U23" s="194"/>
      <c r="V23" s="194"/>
      <c r="X23" s="172"/>
    </row>
    <row r="24" spans="1:24" s="266" customFormat="1">
      <c r="H24" s="207"/>
      <c r="I24" s="207"/>
      <c r="J24" s="207"/>
      <c r="K24" s="207"/>
      <c r="L24" s="207"/>
      <c r="M24" s="207"/>
      <c r="N24" s="207"/>
      <c r="O24" s="207"/>
      <c r="P24" s="207"/>
      <c r="Q24" s="207"/>
      <c r="R24" s="207"/>
      <c r="S24" s="207"/>
      <c r="T24" s="207"/>
      <c r="U24" s="207"/>
      <c r="V24" s="207"/>
      <c r="X24" s="207"/>
    </row>
    <row r="25" spans="1:24" s="266" customFormat="1">
      <c r="B25" s="266" t="s">
        <v>626</v>
      </c>
      <c r="F25" s="266" t="s">
        <v>494</v>
      </c>
      <c r="H25" s="207"/>
      <c r="I25" s="207"/>
      <c r="J25" s="207"/>
      <c r="K25" s="207"/>
      <c r="L25" s="207"/>
      <c r="M25" s="207"/>
      <c r="N25" s="207"/>
      <c r="O25" s="207"/>
      <c r="P25" s="207"/>
      <c r="Q25" s="207"/>
      <c r="R25" s="207"/>
      <c r="S25" s="207"/>
      <c r="T25" s="207"/>
      <c r="U25" s="207"/>
      <c r="V25" s="180">
        <v>657153.57514809608</v>
      </c>
      <c r="X25" s="207" t="s">
        <v>631</v>
      </c>
    </row>
    <row r="26" spans="1:24" s="266" customFormat="1">
      <c r="H26" s="207"/>
      <c r="I26" s="207"/>
      <c r="J26" s="207"/>
      <c r="K26" s="207"/>
      <c r="L26" s="207"/>
      <c r="M26" s="207"/>
      <c r="N26" s="207"/>
      <c r="O26" s="207"/>
      <c r="P26" s="207"/>
      <c r="Q26" s="207"/>
      <c r="R26" s="207"/>
      <c r="S26" s="207"/>
      <c r="T26" s="207"/>
      <c r="U26" s="207"/>
      <c r="V26" s="207"/>
      <c r="X26" s="207"/>
    </row>
    <row r="27" spans="1:24" s="7" customFormat="1">
      <c r="B27" s="7" t="s">
        <v>501</v>
      </c>
      <c r="H27" s="194"/>
      <c r="I27" s="194"/>
      <c r="J27" s="194"/>
      <c r="K27" s="194"/>
      <c r="L27" s="194"/>
      <c r="M27" s="194"/>
      <c r="N27" s="194"/>
      <c r="O27" s="194"/>
      <c r="P27" s="194"/>
      <c r="Q27" s="194"/>
      <c r="R27" s="194"/>
      <c r="S27" s="194"/>
      <c r="T27" s="194"/>
      <c r="U27" s="194"/>
      <c r="V27" s="194"/>
      <c r="X27" s="172"/>
    </row>
    <row r="28" spans="1:24">
      <c r="H28" s="207"/>
      <c r="I28" s="207"/>
      <c r="J28" s="207"/>
      <c r="K28" s="207"/>
      <c r="L28" s="207"/>
      <c r="M28" s="207"/>
      <c r="N28" s="207"/>
      <c r="O28" s="207"/>
      <c r="P28" s="207"/>
      <c r="Q28" s="207"/>
      <c r="R28" s="207"/>
      <c r="S28" s="207"/>
      <c r="T28" s="207"/>
      <c r="U28" s="207"/>
      <c r="V28" s="207"/>
      <c r="X28" s="82"/>
    </row>
    <row r="29" spans="1:24" s="226" customFormat="1">
      <c r="B29" s="181" t="s">
        <v>650</v>
      </c>
      <c r="H29" s="207"/>
      <c r="I29" s="207"/>
      <c r="J29" s="207"/>
      <c r="K29" s="207"/>
      <c r="L29" s="207"/>
      <c r="M29" s="207"/>
      <c r="N29" s="207"/>
      <c r="O29" s="207"/>
      <c r="P29" s="207"/>
      <c r="Q29" s="207"/>
      <c r="R29" s="207"/>
      <c r="S29" s="207"/>
      <c r="T29" s="207"/>
      <c r="U29" s="207"/>
      <c r="V29" s="207"/>
      <c r="X29" s="207"/>
    </row>
    <row r="30" spans="1:24">
      <c r="B30" s="2" t="s">
        <v>513</v>
      </c>
      <c r="F30" s="2" t="s">
        <v>494</v>
      </c>
      <c r="H30" s="207"/>
      <c r="I30" s="207"/>
      <c r="J30" s="207"/>
      <c r="K30" s="186"/>
      <c r="L30" s="186"/>
      <c r="M30" s="186"/>
      <c r="N30" s="207"/>
      <c r="O30" s="207"/>
      <c r="P30" s="207"/>
      <c r="Q30" s="207"/>
      <c r="R30" s="207"/>
      <c r="S30" s="284"/>
      <c r="T30" s="207"/>
      <c r="V30" s="180">
        <v>-2466865.634757299</v>
      </c>
      <c r="X30" s="82" t="s">
        <v>648</v>
      </c>
    </row>
    <row r="31" spans="1:24" s="220" customFormat="1">
      <c r="B31" s="220" t="s">
        <v>514</v>
      </c>
      <c r="F31" s="220" t="s">
        <v>494</v>
      </c>
      <c r="H31" s="207"/>
      <c r="I31" s="207"/>
      <c r="J31" s="207"/>
      <c r="K31" s="186"/>
      <c r="L31" s="186"/>
      <c r="M31" s="186"/>
      <c r="N31" s="207"/>
      <c r="O31" s="207"/>
      <c r="P31" s="207"/>
      <c r="Q31" s="207"/>
      <c r="R31" s="207"/>
      <c r="S31" s="207"/>
      <c r="T31" s="207"/>
      <c r="V31" s="180">
        <v>794070.5269083794</v>
      </c>
      <c r="X31" s="207" t="s">
        <v>649</v>
      </c>
    </row>
    <row r="32" spans="1:24" s="220" customFormat="1">
      <c r="H32" s="207"/>
      <c r="I32" s="207"/>
      <c r="J32" s="207"/>
      <c r="K32" s="186"/>
      <c r="L32" s="186"/>
      <c r="M32" s="186"/>
      <c r="N32" s="207"/>
      <c r="O32" s="207"/>
      <c r="P32" s="207"/>
      <c r="Q32" s="207"/>
      <c r="R32" s="207"/>
      <c r="S32" s="207"/>
      <c r="T32" s="207"/>
      <c r="U32" s="181"/>
      <c r="V32" s="181"/>
      <c r="X32" s="207"/>
    </row>
    <row r="33" spans="1:26" s="266" customFormat="1">
      <c r="B33" s="181" t="s">
        <v>645</v>
      </c>
      <c r="H33" s="207"/>
      <c r="I33" s="207"/>
      <c r="J33" s="207"/>
      <c r="K33" s="186"/>
      <c r="L33" s="186"/>
      <c r="M33" s="186"/>
      <c r="N33" s="207"/>
      <c r="O33" s="207"/>
      <c r="P33" s="207"/>
      <c r="Q33" s="207"/>
      <c r="R33" s="207"/>
      <c r="S33" s="207"/>
      <c r="T33" s="207"/>
      <c r="U33" s="181"/>
      <c r="V33" s="181"/>
      <c r="X33" s="207"/>
    </row>
    <row r="34" spans="1:26" s="266" customFormat="1">
      <c r="B34" s="266" t="s">
        <v>646</v>
      </c>
      <c r="F34" s="266" t="s">
        <v>494</v>
      </c>
      <c r="H34" s="207"/>
      <c r="I34" s="207"/>
      <c r="J34" s="207"/>
      <c r="K34" s="186"/>
      <c r="L34" s="186"/>
      <c r="M34" s="186"/>
      <c r="N34" s="207"/>
      <c r="O34" s="207"/>
      <c r="P34" s="207"/>
      <c r="Q34" s="207"/>
      <c r="R34" s="207"/>
      <c r="S34" s="207"/>
      <c r="T34" s="207"/>
      <c r="U34" s="181"/>
      <c r="V34" s="180">
        <v>-3321098.0207916391</v>
      </c>
      <c r="X34" s="207" t="s">
        <v>673</v>
      </c>
    </row>
    <row r="35" spans="1:26" s="275" customFormat="1">
      <c r="B35" s="275" t="s">
        <v>647</v>
      </c>
      <c r="F35" s="275" t="s">
        <v>494</v>
      </c>
      <c r="H35" s="207"/>
      <c r="I35" s="207"/>
      <c r="J35" s="207"/>
      <c r="K35" s="186"/>
      <c r="L35" s="186"/>
      <c r="M35" s="186"/>
      <c r="N35" s="207"/>
      <c r="O35" s="207"/>
      <c r="P35" s="207"/>
      <c r="Q35" s="207"/>
      <c r="R35" s="207"/>
      <c r="S35" s="207"/>
      <c r="T35" s="207"/>
      <c r="U35" s="181"/>
      <c r="V35" s="180">
        <v>353734.69024017255</v>
      </c>
      <c r="X35" s="207" t="s">
        <v>674</v>
      </c>
    </row>
    <row r="36" spans="1:26" s="266" customFormat="1">
      <c r="H36" s="207"/>
      <c r="I36" s="207"/>
      <c r="J36" s="207"/>
      <c r="K36" s="186"/>
      <c r="L36" s="186"/>
      <c r="M36" s="186"/>
      <c r="N36" s="207"/>
      <c r="O36" s="207"/>
      <c r="P36" s="207"/>
      <c r="Q36" s="207"/>
      <c r="R36" s="207"/>
      <c r="S36" s="207"/>
      <c r="T36" s="207"/>
      <c r="U36" s="181"/>
      <c r="V36" s="181"/>
      <c r="X36" s="207"/>
    </row>
    <row r="37" spans="1:26" s="7" customFormat="1">
      <c r="B37" s="7" t="s">
        <v>502</v>
      </c>
      <c r="H37" s="194"/>
      <c r="I37" s="194"/>
      <c r="J37" s="194"/>
      <c r="K37" s="194"/>
      <c r="L37" s="194"/>
      <c r="M37" s="194"/>
      <c r="N37" s="194"/>
      <c r="O37" s="194"/>
      <c r="P37" s="194"/>
      <c r="Q37" s="194"/>
      <c r="R37" s="194"/>
      <c r="S37" s="194"/>
      <c r="T37" s="194"/>
      <c r="U37" s="194"/>
      <c r="V37" s="194"/>
      <c r="X37" s="172"/>
    </row>
    <row r="38" spans="1:26">
      <c r="A38" s="192"/>
      <c r="H38" s="207"/>
      <c r="I38" s="207"/>
      <c r="J38" s="207"/>
      <c r="K38" s="207"/>
      <c r="L38" s="207"/>
      <c r="M38" s="207"/>
      <c r="N38" s="207"/>
      <c r="O38" s="207"/>
      <c r="P38" s="207"/>
      <c r="Q38" s="207"/>
      <c r="R38" s="207"/>
      <c r="S38" s="207"/>
      <c r="T38" s="207"/>
      <c r="U38" s="207"/>
      <c r="V38" s="207"/>
      <c r="X38" s="82"/>
    </row>
    <row r="39" spans="1:26">
      <c r="A39" s="192"/>
      <c r="B39" s="181" t="s">
        <v>138</v>
      </c>
      <c r="C39" s="217"/>
      <c r="D39" s="217"/>
      <c r="E39" s="217"/>
      <c r="F39" s="217"/>
      <c r="H39" s="207"/>
      <c r="I39" s="207"/>
      <c r="J39" s="207"/>
      <c r="K39" s="207"/>
      <c r="L39" s="207"/>
      <c r="M39" s="207"/>
      <c r="N39" s="207"/>
      <c r="O39" s="207"/>
      <c r="P39" s="207"/>
      <c r="Q39" s="207"/>
      <c r="R39" s="207"/>
      <c r="S39" s="207"/>
      <c r="T39" s="207"/>
      <c r="U39" s="207"/>
      <c r="V39" s="207"/>
      <c r="X39" s="82"/>
      <c r="Z39" s="205"/>
    </row>
    <row r="40" spans="1:26" s="217" customFormat="1">
      <c r="A40" s="192"/>
      <c r="B40" s="217" t="s">
        <v>323</v>
      </c>
      <c r="F40" s="217" t="s">
        <v>494</v>
      </c>
      <c r="H40" s="207"/>
      <c r="I40" s="207"/>
      <c r="J40" s="207"/>
      <c r="K40" s="207"/>
      <c r="L40" s="207"/>
      <c r="M40" s="207"/>
      <c r="N40" s="207"/>
      <c r="O40" s="207"/>
      <c r="P40" s="207"/>
      <c r="Q40" s="207"/>
      <c r="R40" s="207"/>
      <c r="S40" s="207"/>
      <c r="T40" s="207"/>
      <c r="U40" s="180">
        <v>69010269.439938113</v>
      </c>
      <c r="V40" s="207"/>
      <c r="X40" s="207" t="s">
        <v>503</v>
      </c>
      <c r="Z40" s="205"/>
    </row>
    <row r="41" spans="1:26" s="266" customFormat="1">
      <c r="A41" s="192"/>
      <c r="H41" s="207"/>
      <c r="I41" s="207"/>
      <c r="J41" s="207"/>
      <c r="K41" s="207"/>
      <c r="L41" s="207"/>
      <c r="M41" s="207"/>
      <c r="N41" s="207"/>
      <c r="O41" s="207"/>
      <c r="P41" s="207"/>
      <c r="Q41" s="207"/>
      <c r="R41" s="207"/>
      <c r="S41" s="207"/>
      <c r="T41" s="207"/>
      <c r="U41" s="207"/>
      <c r="V41" s="207"/>
      <c r="X41" s="207"/>
      <c r="Z41" s="205"/>
    </row>
    <row r="42" spans="1:26" s="217" customFormat="1">
      <c r="A42" s="192"/>
      <c r="B42" s="181" t="s">
        <v>127</v>
      </c>
      <c r="H42" s="207"/>
      <c r="I42" s="207"/>
      <c r="J42" s="207"/>
      <c r="K42" s="207"/>
      <c r="L42" s="207"/>
      <c r="M42" s="207"/>
      <c r="N42" s="207"/>
      <c r="O42" s="207"/>
      <c r="P42" s="207"/>
      <c r="Q42" s="207"/>
      <c r="R42" s="207"/>
      <c r="S42" s="207"/>
      <c r="T42" s="207"/>
      <c r="U42" s="207"/>
      <c r="V42" s="207"/>
      <c r="X42" s="207"/>
      <c r="Z42" s="205"/>
    </row>
    <row r="43" spans="1:26" s="217" customFormat="1">
      <c r="A43" s="192"/>
      <c r="B43" s="217" t="s">
        <v>506</v>
      </c>
      <c r="F43" s="217" t="s">
        <v>494</v>
      </c>
      <c r="H43" s="207"/>
      <c r="I43" s="207"/>
      <c r="J43" s="207"/>
      <c r="K43" s="207"/>
      <c r="L43" s="207"/>
      <c r="M43" s="207"/>
      <c r="N43" s="255"/>
      <c r="O43" s="255"/>
      <c r="P43" s="246"/>
      <c r="Q43" s="246"/>
      <c r="R43" s="246"/>
      <c r="S43" s="246"/>
      <c r="T43" s="298"/>
      <c r="U43" s="255"/>
      <c r="V43" s="207"/>
      <c r="X43" s="292" t="s">
        <v>789</v>
      </c>
      <c r="Z43" s="292"/>
    </row>
    <row r="44" spans="1:26" s="217" customFormat="1">
      <c r="A44" s="192"/>
      <c r="B44" s="217" t="s">
        <v>505</v>
      </c>
      <c r="F44" s="217" t="s">
        <v>494</v>
      </c>
      <c r="H44" s="207"/>
      <c r="I44" s="207"/>
      <c r="J44" s="207"/>
      <c r="K44" s="207"/>
      <c r="L44" s="207"/>
      <c r="M44" s="207"/>
      <c r="N44" s="255"/>
      <c r="O44" s="255"/>
      <c r="P44" s="246"/>
      <c r="Q44" s="246"/>
      <c r="R44" s="246"/>
      <c r="S44" s="246"/>
      <c r="T44" s="298"/>
      <c r="U44" s="255"/>
      <c r="V44" s="207"/>
      <c r="X44" s="292" t="s">
        <v>789</v>
      </c>
      <c r="Z44" s="292"/>
    </row>
    <row r="45" spans="1:26" s="217" customFormat="1">
      <c r="A45" s="192"/>
      <c r="B45" s="217" t="s">
        <v>507</v>
      </c>
      <c r="F45" s="217" t="s">
        <v>494</v>
      </c>
      <c r="H45" s="207"/>
      <c r="I45" s="207"/>
      <c r="J45" s="207"/>
      <c r="K45" s="207"/>
      <c r="L45" s="207"/>
      <c r="M45" s="207"/>
      <c r="N45" s="255"/>
      <c r="O45" s="255"/>
      <c r="P45" s="246"/>
      <c r="Q45" s="246"/>
      <c r="R45" s="246"/>
      <c r="S45" s="246"/>
      <c r="T45" s="298"/>
      <c r="U45" s="255"/>
      <c r="V45" s="207"/>
      <c r="X45" s="292" t="s">
        <v>789</v>
      </c>
      <c r="Z45" s="292"/>
    </row>
    <row r="46" spans="1:26" s="217" customFormat="1">
      <c r="A46" s="192"/>
      <c r="B46" s="217" t="s">
        <v>508</v>
      </c>
      <c r="F46" s="217" t="s">
        <v>494</v>
      </c>
      <c r="H46" s="207"/>
      <c r="I46" s="207"/>
      <c r="J46" s="207"/>
      <c r="K46" s="207"/>
      <c r="L46" s="207"/>
      <c r="M46" s="207"/>
      <c r="N46" s="255"/>
      <c r="O46" s="255"/>
      <c r="P46" s="246"/>
      <c r="Q46" s="246"/>
      <c r="R46" s="246"/>
      <c r="S46" s="246"/>
      <c r="T46" s="298"/>
      <c r="U46" s="255"/>
      <c r="V46" s="207"/>
      <c r="X46" s="292" t="s">
        <v>789</v>
      </c>
      <c r="Z46" s="292"/>
    </row>
    <row r="47" spans="1:26" s="217" customFormat="1">
      <c r="A47" s="192"/>
      <c r="H47" s="207"/>
      <c r="I47" s="207"/>
      <c r="J47" s="207"/>
      <c r="K47" s="207"/>
      <c r="L47" s="207"/>
      <c r="M47" s="207"/>
      <c r="N47" s="207"/>
      <c r="O47" s="207"/>
      <c r="P47" s="207"/>
      <c r="Q47" s="207"/>
      <c r="R47" s="207"/>
      <c r="S47" s="207"/>
      <c r="T47" s="207"/>
      <c r="U47" s="207"/>
      <c r="V47" s="207"/>
      <c r="X47" s="207"/>
      <c r="Z47" s="205"/>
    </row>
    <row r="48" spans="1:26" s="217" customFormat="1">
      <c r="A48" s="192"/>
      <c r="B48" s="181" t="s">
        <v>128</v>
      </c>
      <c r="H48" s="207"/>
      <c r="I48" s="207"/>
      <c r="J48" s="207"/>
      <c r="K48" s="207"/>
      <c r="L48" s="77"/>
      <c r="M48" s="77"/>
      <c r="N48" s="77"/>
      <c r="O48" s="77"/>
      <c r="P48" s="77"/>
      <c r="Q48" s="77"/>
      <c r="R48" s="77"/>
      <c r="S48" s="77"/>
      <c r="T48" s="207"/>
      <c r="U48" s="207"/>
      <c r="V48" s="207"/>
      <c r="X48" s="207"/>
      <c r="Z48" s="205"/>
    </row>
    <row r="49" spans="1:26" s="217" customFormat="1">
      <c r="A49" s="192"/>
      <c r="B49" s="217" t="s">
        <v>509</v>
      </c>
      <c r="F49" s="217" t="s">
        <v>494</v>
      </c>
      <c r="H49" s="207"/>
      <c r="I49" s="207"/>
      <c r="J49" s="207"/>
      <c r="K49" s="207"/>
      <c r="L49" s="246"/>
      <c r="M49" s="246"/>
      <c r="N49" s="246"/>
      <c r="O49" s="246"/>
      <c r="P49" s="246"/>
      <c r="Q49" s="246"/>
      <c r="R49" s="246"/>
      <c r="S49" s="246"/>
      <c r="T49" s="180">
        <v>75132787.093038127</v>
      </c>
      <c r="U49" s="207"/>
      <c r="V49" s="207"/>
      <c r="X49" s="207" t="s">
        <v>652</v>
      </c>
      <c r="Y49" s="208"/>
      <c r="Z49" s="205"/>
    </row>
    <row r="50" spans="1:26" s="217" customFormat="1">
      <c r="A50" s="192"/>
      <c r="B50" s="217" t="s">
        <v>510</v>
      </c>
      <c r="F50" s="217" t="s">
        <v>494</v>
      </c>
      <c r="H50" s="207"/>
      <c r="I50" s="207"/>
      <c r="J50" s="207"/>
      <c r="K50" s="207"/>
      <c r="L50" s="246"/>
      <c r="M50" s="246"/>
      <c r="N50" s="246"/>
      <c r="O50" s="246"/>
      <c r="P50" s="246"/>
      <c r="Q50" s="246"/>
      <c r="R50" s="246"/>
      <c r="S50" s="246"/>
      <c r="T50" s="180">
        <v>18983111.8034807</v>
      </c>
      <c r="U50" s="207"/>
      <c r="V50" s="207"/>
      <c r="X50" s="207" t="s">
        <v>653</v>
      </c>
      <c r="Y50" s="208"/>
      <c r="Z50" s="205"/>
    </row>
    <row r="51" spans="1:26" s="217" customFormat="1">
      <c r="A51" s="192"/>
      <c r="B51" s="217" t="s">
        <v>511</v>
      </c>
      <c r="F51" s="217" t="s">
        <v>494</v>
      </c>
      <c r="H51" s="207"/>
      <c r="I51" s="207"/>
      <c r="J51" s="207"/>
      <c r="K51" s="207"/>
      <c r="L51" s="246"/>
      <c r="M51" s="246"/>
      <c r="N51" s="246"/>
      <c r="O51" s="246"/>
      <c r="P51" s="246"/>
      <c r="Q51" s="246"/>
      <c r="R51" s="246"/>
      <c r="S51" s="246"/>
      <c r="T51" s="180">
        <v>21864625.960000001</v>
      </c>
      <c r="U51" s="207"/>
      <c r="V51" s="207"/>
      <c r="X51" s="207" t="s">
        <v>632</v>
      </c>
      <c r="Z51" s="205"/>
    </row>
    <row r="52" spans="1:26" s="279" customFormat="1">
      <c r="A52" s="192"/>
      <c r="H52" s="207"/>
      <c r="I52" s="207"/>
      <c r="J52" s="207"/>
      <c r="K52" s="207"/>
      <c r="L52" s="246"/>
      <c r="M52" s="246"/>
      <c r="N52" s="246"/>
      <c r="O52" s="246"/>
      <c r="P52" s="246"/>
      <c r="Q52" s="246"/>
      <c r="R52" s="246"/>
      <c r="S52" s="246"/>
      <c r="T52" s="283"/>
      <c r="U52" s="207"/>
      <c r="V52" s="207"/>
      <c r="X52" s="207"/>
      <c r="Z52" s="205"/>
    </row>
    <row r="53" spans="1:26" s="279" customFormat="1">
      <c r="A53" s="192"/>
      <c r="B53" s="181" t="s">
        <v>664</v>
      </c>
      <c r="H53" s="207"/>
      <c r="I53" s="207"/>
      <c r="J53" s="207"/>
      <c r="K53" s="207"/>
      <c r="L53" s="246"/>
      <c r="M53" s="246"/>
      <c r="N53" s="246"/>
      <c r="O53" s="246"/>
      <c r="P53" s="246"/>
      <c r="Q53" s="246"/>
      <c r="R53" s="246"/>
      <c r="S53" s="246"/>
      <c r="T53" s="283"/>
      <c r="U53" s="207"/>
      <c r="V53" s="207"/>
      <c r="X53" s="207"/>
      <c r="Z53" s="205"/>
    </row>
    <row r="54" spans="1:26" s="279" customFormat="1">
      <c r="A54" s="192"/>
      <c r="B54" s="279" t="s">
        <v>665</v>
      </c>
      <c r="F54" s="281" t="s">
        <v>494</v>
      </c>
      <c r="H54" s="207"/>
      <c r="I54" s="207"/>
      <c r="J54" s="207"/>
      <c r="K54" s="207"/>
      <c r="L54" s="246"/>
      <c r="M54" s="246"/>
      <c r="N54" s="246"/>
      <c r="O54" s="246"/>
      <c r="P54" s="246"/>
      <c r="Q54" s="246"/>
      <c r="R54" s="246"/>
      <c r="S54" s="246"/>
      <c r="T54" s="180">
        <v>44024081.476754203</v>
      </c>
      <c r="U54" s="207"/>
      <c r="V54" s="207"/>
      <c r="X54" s="207" t="s">
        <v>656</v>
      </c>
      <c r="Z54" s="205"/>
    </row>
    <row r="55" spans="1:26" s="279" customFormat="1">
      <c r="A55" s="192"/>
      <c r="B55" s="279" t="s">
        <v>654</v>
      </c>
      <c r="F55" s="281" t="s">
        <v>494</v>
      </c>
      <c r="H55" s="207"/>
      <c r="I55" s="207"/>
      <c r="J55" s="207"/>
      <c r="K55" s="207"/>
      <c r="L55" s="246"/>
      <c r="M55" s="246"/>
      <c r="N55" s="246"/>
      <c r="O55" s="246"/>
      <c r="P55" s="246"/>
      <c r="Q55" s="246"/>
      <c r="R55" s="246"/>
      <c r="S55" s="246"/>
      <c r="T55" s="180">
        <v>84217417.136649802</v>
      </c>
      <c r="U55" s="207"/>
      <c r="V55" s="207"/>
      <c r="X55" s="207" t="s">
        <v>661</v>
      </c>
      <c r="Z55" s="205"/>
    </row>
    <row r="56" spans="1:26" s="279" customFormat="1">
      <c r="A56" s="192"/>
      <c r="B56" s="279" t="s">
        <v>655</v>
      </c>
      <c r="F56" s="281" t="s">
        <v>494</v>
      </c>
      <c r="H56" s="207"/>
      <c r="I56" s="207"/>
      <c r="J56" s="207"/>
      <c r="K56" s="207"/>
      <c r="L56" s="246"/>
      <c r="M56" s="246"/>
      <c r="N56" s="246"/>
      <c r="O56" s="246"/>
      <c r="P56" s="246"/>
      <c r="Q56" s="246"/>
      <c r="R56" s="246"/>
      <c r="S56" s="246"/>
      <c r="T56" s="180">
        <v>15996437.668231335</v>
      </c>
      <c r="U56" s="207"/>
      <c r="V56" s="207"/>
      <c r="X56" s="207" t="s">
        <v>662</v>
      </c>
      <c r="Z56" s="205"/>
    </row>
    <row r="57" spans="1:26" s="279" customFormat="1">
      <c r="A57" s="192"/>
      <c r="B57" s="279" t="s">
        <v>657</v>
      </c>
      <c r="F57" s="281" t="s">
        <v>494</v>
      </c>
      <c r="T57" s="180">
        <v>22170305.974530499</v>
      </c>
      <c r="X57" s="279" t="s">
        <v>658</v>
      </c>
      <c r="Z57" s="205"/>
    </row>
    <row r="58" spans="1:26" s="217" customFormat="1">
      <c r="A58" s="192"/>
      <c r="B58" s="192"/>
      <c r="C58" s="192"/>
      <c r="D58" s="192"/>
      <c r="E58" s="192"/>
      <c r="F58" s="192"/>
      <c r="H58" s="207"/>
      <c r="I58" s="207"/>
      <c r="J58" s="207"/>
      <c r="K58" s="207"/>
      <c r="L58" s="246"/>
      <c r="M58" s="246"/>
      <c r="N58" s="246"/>
      <c r="O58" s="246"/>
      <c r="P58" s="255"/>
      <c r="Q58" s="207"/>
      <c r="R58" s="207"/>
      <c r="S58" s="207"/>
      <c r="T58" s="207"/>
      <c r="U58" s="207"/>
      <c r="V58" s="207"/>
      <c r="X58" s="207"/>
      <c r="Z58" s="205"/>
    </row>
    <row r="59" spans="1:26" s="184" customFormat="1">
      <c r="B59" s="184" t="s">
        <v>515</v>
      </c>
      <c r="H59" s="194"/>
      <c r="I59" s="194"/>
      <c r="J59" s="194"/>
      <c r="K59" s="194"/>
      <c r="L59" s="194"/>
      <c r="M59" s="194"/>
      <c r="N59" s="194"/>
      <c r="O59" s="194"/>
      <c r="P59" s="194"/>
      <c r="Q59" s="194"/>
      <c r="R59" s="194"/>
      <c r="S59" s="194"/>
      <c r="T59" s="194"/>
      <c r="U59" s="194"/>
      <c r="V59" s="194"/>
      <c r="X59" s="172"/>
    </row>
    <row r="60" spans="1:26" s="217" customFormat="1">
      <c r="A60" s="192"/>
      <c r="H60" s="207"/>
      <c r="I60" s="207"/>
      <c r="J60" s="207"/>
      <c r="K60" s="207"/>
      <c r="L60" s="207"/>
      <c r="M60" s="207"/>
      <c r="N60" s="207"/>
      <c r="O60" s="207"/>
      <c r="P60" s="207"/>
      <c r="Q60" s="207"/>
      <c r="R60" s="207"/>
      <c r="S60" s="207"/>
      <c r="T60" s="207"/>
      <c r="U60" s="207"/>
      <c r="V60" s="207"/>
      <c r="X60" s="207"/>
      <c r="Z60" s="205"/>
    </row>
    <row r="61" spans="1:26">
      <c r="A61" s="192"/>
      <c r="B61" s="181" t="s">
        <v>334</v>
      </c>
      <c r="H61" s="207"/>
      <c r="I61" s="207"/>
      <c r="J61" s="207"/>
      <c r="K61" s="207"/>
      <c r="L61" s="207"/>
      <c r="M61" s="207"/>
      <c r="N61" s="207"/>
      <c r="O61" s="207"/>
      <c r="P61" s="207"/>
      <c r="Q61" s="207"/>
      <c r="R61" s="207"/>
      <c r="S61" s="207"/>
      <c r="T61" s="207"/>
      <c r="U61" s="207"/>
      <c r="V61" s="207"/>
    </row>
    <row r="62" spans="1:26">
      <c r="A62" s="192"/>
      <c r="B62" s="2" t="s">
        <v>301</v>
      </c>
      <c r="F62" s="2" t="s">
        <v>494</v>
      </c>
      <c r="H62" s="207"/>
      <c r="I62" s="207"/>
      <c r="J62" s="207"/>
      <c r="K62" s="207"/>
      <c r="L62" s="207"/>
      <c r="M62" s="207"/>
      <c r="N62" s="298"/>
      <c r="O62" s="298"/>
      <c r="P62" s="298"/>
      <c r="Q62" s="207"/>
      <c r="R62" s="246"/>
      <c r="S62" s="246"/>
      <c r="T62" s="298"/>
      <c r="U62" s="207"/>
      <c r="V62" s="207"/>
      <c r="X62" s="292" t="s">
        <v>789</v>
      </c>
    </row>
    <row r="63" spans="1:26">
      <c r="A63" s="192"/>
      <c r="B63" s="2" t="s">
        <v>302</v>
      </c>
      <c r="F63" s="2" t="s">
        <v>494</v>
      </c>
      <c r="H63" s="207"/>
      <c r="I63" s="207"/>
      <c r="J63" s="207"/>
      <c r="K63" s="207"/>
      <c r="L63" s="207"/>
      <c r="M63" s="207"/>
      <c r="N63" s="298"/>
      <c r="O63" s="298"/>
      <c r="P63" s="298"/>
      <c r="Q63" s="207"/>
      <c r="R63" s="246"/>
      <c r="S63" s="246"/>
      <c r="T63" s="298"/>
      <c r="U63" s="207"/>
      <c r="V63" s="207"/>
      <c r="X63" s="292" t="s">
        <v>789</v>
      </c>
    </row>
    <row r="64" spans="1:26">
      <c r="A64" s="192"/>
      <c r="B64" s="2" t="s">
        <v>310</v>
      </c>
      <c r="F64" s="2" t="s">
        <v>494</v>
      </c>
      <c r="H64" s="207"/>
      <c r="I64" s="207"/>
      <c r="J64" s="207"/>
      <c r="K64" s="207"/>
      <c r="L64" s="207"/>
      <c r="M64" s="207"/>
      <c r="N64" s="298"/>
      <c r="O64" s="298"/>
      <c r="P64" s="298"/>
      <c r="Q64" s="207"/>
      <c r="R64" s="246"/>
      <c r="S64" s="246"/>
      <c r="T64" s="298"/>
      <c r="U64" s="207"/>
      <c r="V64" s="207"/>
      <c r="X64" s="292" t="s">
        <v>789</v>
      </c>
    </row>
    <row r="65" spans="1:26">
      <c r="A65" s="192"/>
      <c r="H65" s="207"/>
      <c r="I65" s="207"/>
      <c r="J65" s="207"/>
      <c r="K65" s="207"/>
      <c r="L65" s="207"/>
      <c r="M65" s="207"/>
      <c r="N65" s="207"/>
      <c r="O65" s="207"/>
      <c r="P65" s="207"/>
      <c r="Q65" s="207"/>
      <c r="R65" s="186"/>
      <c r="S65" s="186"/>
      <c r="T65" s="207"/>
      <c r="U65" s="207"/>
      <c r="V65" s="207"/>
      <c r="X65" s="292"/>
    </row>
    <row r="66" spans="1:26">
      <c r="A66" s="192"/>
      <c r="B66" s="181" t="s">
        <v>335</v>
      </c>
      <c r="H66" s="207"/>
      <c r="I66" s="207"/>
      <c r="J66" s="207"/>
      <c r="K66" s="207"/>
      <c r="L66" s="207"/>
      <c r="M66" s="207"/>
      <c r="N66" s="207"/>
      <c r="O66" s="207"/>
      <c r="P66" s="207"/>
      <c r="Q66" s="207"/>
      <c r="R66" s="186"/>
      <c r="S66" s="186"/>
      <c r="T66" s="207"/>
      <c r="U66" s="207"/>
      <c r="V66" s="207"/>
    </row>
    <row r="67" spans="1:26">
      <c r="A67" s="192"/>
      <c r="B67" s="2" t="s">
        <v>298</v>
      </c>
      <c r="F67" s="2" t="s">
        <v>494</v>
      </c>
      <c r="H67" s="207"/>
      <c r="I67" s="207"/>
      <c r="J67" s="207"/>
      <c r="K67" s="207"/>
      <c r="L67" s="207"/>
      <c r="M67" s="207"/>
      <c r="N67" s="298"/>
      <c r="O67" s="298"/>
      <c r="P67" s="298"/>
      <c r="Q67" s="207"/>
      <c r="R67" s="246"/>
      <c r="S67" s="246"/>
      <c r="T67" s="298"/>
      <c r="U67" s="207"/>
      <c r="V67" s="207"/>
      <c r="X67" s="292" t="s">
        <v>789</v>
      </c>
    </row>
    <row r="68" spans="1:26">
      <c r="A68" s="192"/>
      <c r="B68" s="2" t="s">
        <v>299</v>
      </c>
      <c r="F68" s="2" t="s">
        <v>494</v>
      </c>
      <c r="H68" s="207"/>
      <c r="I68" s="207"/>
      <c r="J68" s="207"/>
      <c r="K68" s="207"/>
      <c r="L68" s="207"/>
      <c r="M68" s="207"/>
      <c r="N68" s="298"/>
      <c r="O68" s="298"/>
      <c r="P68" s="298"/>
      <c r="Q68" s="207"/>
      <c r="R68" s="246"/>
      <c r="S68" s="246"/>
      <c r="T68" s="298"/>
      <c r="U68" s="207"/>
      <c r="V68" s="207"/>
      <c r="X68" s="292" t="s">
        <v>789</v>
      </c>
    </row>
    <row r="69" spans="1:26">
      <c r="A69" s="192"/>
      <c r="B69" s="2" t="s">
        <v>300</v>
      </c>
      <c r="F69" s="2" t="s">
        <v>494</v>
      </c>
      <c r="H69" s="207"/>
      <c r="I69" s="207"/>
      <c r="J69" s="207"/>
      <c r="K69" s="207"/>
      <c r="L69" s="207"/>
      <c r="M69" s="207"/>
      <c r="N69" s="298"/>
      <c r="O69" s="298"/>
      <c r="P69" s="298"/>
      <c r="Q69" s="207"/>
      <c r="R69" s="246"/>
      <c r="S69" s="246"/>
      <c r="T69" s="298"/>
      <c r="U69" s="207"/>
      <c r="V69" s="207"/>
      <c r="X69" s="292" t="s">
        <v>789</v>
      </c>
    </row>
    <row r="70" spans="1:26">
      <c r="A70" s="192"/>
      <c r="B70" s="2" t="s">
        <v>352</v>
      </c>
      <c r="F70" s="2" t="s">
        <v>494</v>
      </c>
      <c r="H70" s="207"/>
      <c r="I70" s="207"/>
      <c r="J70" s="207"/>
      <c r="K70" s="207"/>
      <c r="L70" s="207"/>
      <c r="M70" s="207"/>
      <c r="N70" s="298"/>
      <c r="O70" s="298"/>
      <c r="P70" s="299"/>
      <c r="Q70" s="207"/>
      <c r="R70" s="207"/>
      <c r="S70" s="207"/>
      <c r="T70" s="207"/>
      <c r="U70" s="207"/>
      <c r="V70" s="207"/>
      <c r="X70" s="292" t="s">
        <v>789</v>
      </c>
      <c r="Z70" s="208"/>
    </row>
    <row r="71" spans="1:26" s="226" customFormat="1">
      <c r="H71" s="207"/>
      <c r="I71" s="207"/>
      <c r="J71" s="207"/>
      <c r="K71" s="207"/>
      <c r="L71" s="207"/>
      <c r="M71" s="207"/>
      <c r="N71" s="207"/>
      <c r="O71" s="207"/>
      <c r="P71" s="207"/>
      <c r="Q71" s="207"/>
      <c r="R71" s="207"/>
      <c r="S71" s="207"/>
      <c r="T71" s="207"/>
      <c r="U71" s="207"/>
      <c r="V71" s="207"/>
      <c r="X71" s="207"/>
      <c r="Z71" s="205"/>
    </row>
    <row r="72" spans="1:26" s="260" customFormat="1">
      <c r="A72" s="192"/>
      <c r="B72" s="181" t="s">
        <v>336</v>
      </c>
      <c r="H72" s="207"/>
      <c r="I72" s="207"/>
      <c r="J72" s="207"/>
      <c r="K72" s="207"/>
      <c r="L72" s="207"/>
      <c r="M72" s="207"/>
      <c r="N72" s="207"/>
      <c r="O72" s="207"/>
      <c r="P72" s="207"/>
      <c r="Q72" s="207"/>
      <c r="R72" s="207"/>
      <c r="S72" s="207"/>
      <c r="T72" s="207"/>
      <c r="U72" s="207"/>
      <c r="V72" s="207"/>
      <c r="X72" s="207"/>
      <c r="Z72" s="205"/>
    </row>
    <row r="73" spans="1:26" s="260" customFormat="1">
      <c r="A73" s="192"/>
      <c r="B73" s="260" t="s">
        <v>516</v>
      </c>
      <c r="F73" s="260" t="s">
        <v>494</v>
      </c>
      <c r="H73" s="207"/>
      <c r="I73" s="207"/>
      <c r="J73" s="207"/>
      <c r="K73" s="207"/>
      <c r="L73" s="207"/>
      <c r="M73" s="207"/>
      <c r="N73" s="207"/>
      <c r="O73" s="207"/>
      <c r="Q73" s="207"/>
      <c r="R73" s="207"/>
      <c r="S73" s="207"/>
      <c r="T73" s="298"/>
      <c r="U73" s="207"/>
      <c r="V73" s="207"/>
      <c r="X73" s="292" t="s">
        <v>789</v>
      </c>
      <c r="Z73" s="205"/>
    </row>
    <row r="74" spans="1:26" s="260" customFormat="1">
      <c r="A74" s="192"/>
      <c r="B74" s="260" t="s">
        <v>517</v>
      </c>
      <c r="F74" s="260" t="s">
        <v>494</v>
      </c>
      <c r="H74" s="207"/>
      <c r="I74" s="207"/>
      <c r="J74" s="207"/>
      <c r="K74" s="207"/>
      <c r="L74" s="207"/>
      <c r="M74" s="207"/>
      <c r="N74" s="207"/>
      <c r="O74" s="207"/>
      <c r="Q74" s="207"/>
      <c r="R74" s="207"/>
      <c r="S74" s="207"/>
      <c r="T74" s="298"/>
      <c r="U74" s="207"/>
      <c r="V74" s="207"/>
      <c r="X74" s="292" t="s">
        <v>789</v>
      </c>
      <c r="Z74" s="205"/>
    </row>
    <row r="75" spans="1:26" s="260" customFormat="1">
      <c r="A75" s="192"/>
      <c r="B75" s="260" t="s">
        <v>518</v>
      </c>
      <c r="F75" s="260" t="s">
        <v>494</v>
      </c>
      <c r="H75" s="207"/>
      <c r="I75" s="207"/>
      <c r="J75" s="207"/>
      <c r="K75" s="207"/>
      <c r="L75" s="207"/>
      <c r="M75" s="207"/>
      <c r="N75" s="207"/>
      <c r="O75" s="207"/>
      <c r="Q75" s="207"/>
      <c r="R75" s="207"/>
      <c r="S75" s="207"/>
      <c r="T75" s="298"/>
      <c r="U75" s="207"/>
      <c r="V75" s="207"/>
      <c r="X75" s="292" t="s">
        <v>789</v>
      </c>
      <c r="Z75" s="205"/>
    </row>
    <row r="76" spans="1:26" s="260" customFormat="1">
      <c r="A76" s="192"/>
      <c r="B76" s="260" t="s">
        <v>519</v>
      </c>
      <c r="F76" s="260" t="s">
        <v>494</v>
      </c>
      <c r="H76" s="207"/>
      <c r="I76" s="207"/>
      <c r="J76" s="207"/>
      <c r="K76" s="207"/>
      <c r="L76" s="207"/>
      <c r="M76" s="207"/>
      <c r="N76" s="207"/>
      <c r="O76" s="207"/>
      <c r="Q76" s="207"/>
      <c r="R76" s="207"/>
      <c r="S76" s="207"/>
      <c r="T76" s="298"/>
      <c r="U76" s="207"/>
      <c r="V76" s="207"/>
      <c r="X76" s="292" t="s">
        <v>789</v>
      </c>
      <c r="Z76" s="205"/>
    </row>
    <row r="77" spans="1:26" s="260" customFormat="1">
      <c r="H77" s="207"/>
      <c r="I77" s="207"/>
      <c r="J77" s="207"/>
      <c r="K77" s="207"/>
      <c r="L77" s="207"/>
      <c r="M77" s="207"/>
      <c r="N77" s="207"/>
      <c r="O77" s="207"/>
      <c r="P77" s="207"/>
      <c r="Q77" s="207"/>
      <c r="R77" s="207"/>
      <c r="S77" s="207"/>
      <c r="T77" s="207"/>
      <c r="U77" s="207"/>
      <c r="V77" s="207"/>
      <c r="X77" s="207"/>
      <c r="Z77" s="205"/>
    </row>
    <row r="78" spans="1:26" s="7" customFormat="1">
      <c r="B78" s="7" t="s">
        <v>355</v>
      </c>
      <c r="H78" s="194"/>
      <c r="I78" s="194"/>
      <c r="J78" s="194"/>
      <c r="K78" s="194"/>
      <c r="L78" s="194"/>
      <c r="M78" s="194"/>
      <c r="N78" s="194"/>
      <c r="O78" s="194"/>
      <c r="P78" s="194"/>
      <c r="Q78" s="194"/>
      <c r="R78" s="194"/>
      <c r="S78" s="194"/>
      <c r="T78" s="194"/>
      <c r="U78" s="194"/>
      <c r="V78" s="194"/>
      <c r="X78" s="172"/>
    </row>
    <row r="79" spans="1:26">
      <c r="H79" s="207"/>
      <c r="I79" s="207"/>
      <c r="J79" s="207"/>
      <c r="K79" s="207"/>
      <c r="L79" s="207"/>
      <c r="M79" s="207"/>
      <c r="N79" s="207"/>
      <c r="O79" s="207"/>
      <c r="P79" s="207"/>
      <c r="Q79" s="207"/>
      <c r="R79" s="207"/>
      <c r="S79" s="207"/>
      <c r="T79" s="207"/>
      <c r="U79" s="207"/>
      <c r="V79" s="207"/>
      <c r="X79" s="82"/>
    </row>
    <row r="80" spans="1:26">
      <c r="B80" s="1" t="s">
        <v>152</v>
      </c>
      <c r="H80" s="207"/>
      <c r="I80" s="207"/>
      <c r="J80" s="207"/>
      <c r="K80" s="207"/>
      <c r="L80" s="207"/>
      <c r="M80" s="207"/>
      <c r="N80" s="207"/>
      <c r="O80" s="207"/>
      <c r="P80" s="207"/>
      <c r="Q80" s="207"/>
      <c r="R80" s="207"/>
      <c r="S80" s="207"/>
      <c r="T80" s="207"/>
      <c r="U80" s="207"/>
      <c r="V80" s="207"/>
      <c r="X80" s="82"/>
    </row>
    <row r="81" spans="1:26">
      <c r="B81" s="2" t="s">
        <v>520</v>
      </c>
      <c r="F81" s="2" t="s">
        <v>494</v>
      </c>
      <c r="H81" s="207"/>
      <c r="I81" s="207"/>
      <c r="J81" s="207"/>
      <c r="K81" s="207"/>
      <c r="L81" s="207"/>
      <c r="M81" s="207"/>
      <c r="N81" s="246"/>
      <c r="O81" s="246"/>
      <c r="P81" s="246"/>
      <c r="Q81" s="246"/>
      <c r="R81" s="207"/>
      <c r="T81" s="180">
        <v>15427119.278183935</v>
      </c>
      <c r="U81" s="246"/>
      <c r="V81" s="246"/>
      <c r="X81" s="207" t="s">
        <v>525</v>
      </c>
      <c r="Z81" s="207"/>
    </row>
    <row r="82" spans="1:26">
      <c r="B82" s="2" t="s">
        <v>180</v>
      </c>
      <c r="F82" s="81" t="s">
        <v>494</v>
      </c>
      <c r="H82" s="207"/>
      <c r="I82" s="207"/>
      <c r="J82" s="207"/>
      <c r="K82" s="207"/>
      <c r="L82" s="207"/>
      <c r="M82" s="207"/>
      <c r="N82" s="180">
        <v>12414582.98</v>
      </c>
      <c r="O82" s="180">
        <v>14319292.699999999</v>
      </c>
      <c r="P82" s="180">
        <v>16907979.559999999</v>
      </c>
      <c r="Q82" s="207"/>
      <c r="R82" s="207"/>
      <c r="T82" s="180">
        <v>20364643.440000001</v>
      </c>
      <c r="U82" s="246"/>
      <c r="V82" s="246"/>
      <c r="X82" s="207" t="s">
        <v>633</v>
      </c>
    </row>
    <row r="83" spans="1:26">
      <c r="H83" s="207"/>
      <c r="I83" s="207"/>
      <c r="J83" s="207"/>
      <c r="K83" s="207"/>
      <c r="L83" s="207"/>
      <c r="M83" s="207"/>
      <c r="N83" s="207"/>
      <c r="O83" s="207"/>
      <c r="P83" s="246"/>
      <c r="Q83" s="207"/>
      <c r="R83" s="246"/>
      <c r="S83" s="246"/>
      <c r="T83" s="246"/>
      <c r="U83" s="246"/>
      <c r="V83" s="246"/>
      <c r="X83" s="82"/>
    </row>
    <row r="84" spans="1:26">
      <c r="B84" s="1" t="s">
        <v>129</v>
      </c>
      <c r="H84" s="207"/>
      <c r="I84" s="207"/>
      <c r="J84" s="207"/>
      <c r="K84" s="207"/>
      <c r="L84" s="207"/>
      <c r="M84" s="207"/>
      <c r="N84" s="207"/>
      <c r="O84" s="207"/>
      <c r="P84" s="246"/>
      <c r="Q84" s="207"/>
      <c r="R84" s="246"/>
      <c r="S84" s="246"/>
      <c r="T84" s="246"/>
      <c r="U84" s="246"/>
      <c r="V84" s="246"/>
      <c r="X84" s="82"/>
    </row>
    <row r="85" spans="1:26">
      <c r="B85" s="23" t="s">
        <v>521</v>
      </c>
      <c r="F85" s="2" t="s">
        <v>494</v>
      </c>
      <c r="H85" s="207"/>
      <c r="I85" s="207"/>
      <c r="J85" s="207"/>
      <c r="K85" s="207"/>
      <c r="L85" s="207"/>
      <c r="M85" s="207"/>
      <c r="N85" s="246"/>
      <c r="O85" s="246"/>
      <c r="P85" s="246"/>
      <c r="Q85" s="207"/>
      <c r="R85" s="207"/>
      <c r="T85" s="180">
        <v>-4862784.8665560354</v>
      </c>
      <c r="U85" s="246"/>
      <c r="V85" s="246"/>
      <c r="X85" s="207" t="s">
        <v>526</v>
      </c>
      <c r="Z85" s="207"/>
    </row>
    <row r="86" spans="1:26">
      <c r="B86" s="2" t="s">
        <v>181</v>
      </c>
      <c r="F86" s="81" t="s">
        <v>494</v>
      </c>
      <c r="H86" s="207"/>
      <c r="I86" s="207"/>
      <c r="J86" s="207"/>
      <c r="K86" s="207"/>
      <c r="L86" s="207"/>
      <c r="M86" s="207"/>
      <c r="N86" s="180">
        <v>1383422.63</v>
      </c>
      <c r="O86" s="180">
        <v>-1211200</v>
      </c>
      <c r="P86" s="180">
        <v>-14164357.859999999</v>
      </c>
      <c r="Q86" s="207"/>
      <c r="R86" s="207"/>
      <c r="T86" s="180">
        <v>-8352546.3211448845</v>
      </c>
      <c r="U86" s="246"/>
      <c r="V86" s="246"/>
      <c r="X86" s="207" t="s">
        <v>634</v>
      </c>
      <c r="Z86" s="83"/>
    </row>
    <row r="87" spans="1:26" s="226" customFormat="1">
      <c r="H87" s="207"/>
      <c r="I87" s="207"/>
      <c r="J87" s="207"/>
      <c r="K87" s="207"/>
      <c r="L87" s="207"/>
      <c r="M87" s="207"/>
      <c r="N87" s="207"/>
      <c r="O87" s="207"/>
      <c r="P87" s="207"/>
      <c r="Q87" s="207"/>
      <c r="R87" s="207"/>
      <c r="S87" s="207"/>
      <c r="T87" s="207"/>
      <c r="U87" s="207"/>
      <c r="V87" s="207"/>
      <c r="X87" s="207"/>
      <c r="Z87" s="205"/>
    </row>
    <row r="88" spans="1:26" s="7" customFormat="1">
      <c r="B88" s="7" t="s">
        <v>126</v>
      </c>
      <c r="H88" s="194"/>
      <c r="I88" s="194"/>
      <c r="J88" s="194"/>
      <c r="K88" s="194"/>
      <c r="L88" s="194"/>
      <c r="M88" s="194"/>
      <c r="N88" s="194"/>
      <c r="O88" s="194"/>
      <c r="P88" s="194"/>
      <c r="Q88" s="194"/>
      <c r="R88" s="194"/>
      <c r="S88" s="194"/>
      <c r="T88" s="194"/>
      <c r="U88" s="194"/>
      <c r="V88" s="194"/>
      <c r="X88" s="172"/>
    </row>
    <row r="89" spans="1:26">
      <c r="H89" s="207"/>
      <c r="I89" s="207"/>
      <c r="J89" s="207"/>
      <c r="K89" s="207"/>
      <c r="L89" s="207"/>
      <c r="M89" s="207"/>
      <c r="N89" s="207"/>
      <c r="O89" s="207"/>
      <c r="P89" s="207"/>
      <c r="Q89" s="207"/>
      <c r="R89" s="207"/>
      <c r="S89" s="207"/>
      <c r="T89" s="207"/>
      <c r="U89" s="207"/>
      <c r="V89" s="207"/>
      <c r="X89" s="82"/>
    </row>
    <row r="90" spans="1:26">
      <c r="B90" s="2" t="s">
        <v>274</v>
      </c>
      <c r="F90" s="2" t="s">
        <v>494</v>
      </c>
      <c r="H90" s="207"/>
      <c r="I90" s="207"/>
      <c r="J90" s="207"/>
      <c r="K90" s="207"/>
      <c r="L90" s="207"/>
      <c r="M90" s="207"/>
      <c r="N90" s="207"/>
      <c r="O90" s="207"/>
      <c r="P90" s="207"/>
      <c r="Q90" s="207"/>
      <c r="R90" s="180">
        <v>26550703</v>
      </c>
      <c r="S90" s="180">
        <v>26550703</v>
      </c>
      <c r="T90" s="180">
        <v>26550703</v>
      </c>
      <c r="U90" s="180">
        <v>26550703</v>
      </c>
      <c r="V90" s="77"/>
      <c r="X90" s="82" t="s">
        <v>399</v>
      </c>
    </row>
    <row r="91" spans="1:26">
      <c r="H91" s="186"/>
      <c r="I91" s="207"/>
      <c r="J91" s="186"/>
      <c r="K91" s="207"/>
      <c r="L91" s="207"/>
      <c r="M91" s="207"/>
      <c r="N91" s="207"/>
      <c r="O91" s="207"/>
      <c r="P91" s="207"/>
      <c r="Q91" s="207"/>
      <c r="R91" s="207"/>
      <c r="S91" s="207"/>
      <c r="T91" s="207"/>
      <c r="U91" s="207"/>
      <c r="V91" s="207"/>
      <c r="X91" s="82"/>
    </row>
    <row r="92" spans="1:26">
      <c r="B92" s="2" t="s">
        <v>441</v>
      </c>
      <c r="F92" s="2" t="s">
        <v>494</v>
      </c>
      <c r="H92" s="207"/>
      <c r="I92" s="207"/>
      <c r="J92" s="207"/>
      <c r="K92" s="207"/>
      <c r="L92" s="207"/>
      <c r="M92" s="207"/>
      <c r="N92" s="207"/>
      <c r="O92" s="207"/>
      <c r="P92" s="207"/>
      <c r="Q92" s="207"/>
      <c r="R92" s="207"/>
      <c r="S92" s="207"/>
      <c r="T92" s="207"/>
      <c r="U92" s="180">
        <v>100000000</v>
      </c>
      <c r="V92" s="180">
        <v>75000000</v>
      </c>
      <c r="X92" s="207" t="s">
        <v>425</v>
      </c>
      <c r="Z92" s="177" t="s">
        <v>426</v>
      </c>
    </row>
    <row r="93" spans="1:26">
      <c r="A93" s="192"/>
      <c r="H93" s="207"/>
      <c r="I93" s="207"/>
      <c r="J93" s="207"/>
      <c r="K93" s="186"/>
      <c r="L93" s="186"/>
      <c r="M93" s="186"/>
      <c r="N93" s="186"/>
      <c r="O93" s="186"/>
      <c r="P93" s="186"/>
      <c r="Q93" s="186"/>
      <c r="R93" s="207"/>
      <c r="S93" s="207"/>
      <c r="T93" s="186"/>
      <c r="U93" s="186"/>
      <c r="V93" s="186"/>
      <c r="W93" s="8"/>
      <c r="X93" s="29"/>
    </row>
    <row r="94" spans="1:26">
      <c r="A94" s="192"/>
      <c r="B94" s="2" t="s">
        <v>130</v>
      </c>
      <c r="F94" s="2" t="s">
        <v>494</v>
      </c>
      <c r="H94" s="77"/>
      <c r="I94" s="207"/>
      <c r="J94" s="77"/>
      <c r="K94" s="186"/>
      <c r="L94" s="186"/>
      <c r="M94" s="186"/>
      <c r="N94" s="180">
        <v>153199000</v>
      </c>
      <c r="O94" s="180">
        <v>133814454.8</v>
      </c>
      <c r="P94" s="180">
        <v>154182000</v>
      </c>
      <c r="Q94" s="180">
        <v>67581000</v>
      </c>
      <c r="R94" s="180">
        <v>51165706.090000004</v>
      </c>
      <c r="S94" s="180">
        <v>54737415.890000001</v>
      </c>
      <c r="T94" s="180">
        <v>31996981.02</v>
      </c>
      <c r="U94" s="186"/>
      <c r="V94" s="186"/>
      <c r="W94" s="8"/>
      <c r="X94" s="82" t="s">
        <v>524</v>
      </c>
      <c r="Z94" s="82"/>
    </row>
    <row r="95" spans="1:26">
      <c r="A95" s="192"/>
    </row>
    <row r="96" spans="1:26" s="184" customFormat="1">
      <c r="B96" s="184" t="s">
        <v>429</v>
      </c>
      <c r="H96" s="194"/>
      <c r="I96" s="194"/>
      <c r="J96" s="194"/>
      <c r="K96" s="194"/>
      <c r="L96" s="194"/>
      <c r="M96" s="194"/>
      <c r="N96" s="194"/>
      <c r="O96" s="194"/>
      <c r="P96" s="194"/>
      <c r="Q96" s="194"/>
      <c r="R96" s="194"/>
      <c r="S96" s="194"/>
      <c r="T96" s="194"/>
      <c r="U96" s="194"/>
      <c r="V96" s="194"/>
      <c r="X96" s="172"/>
    </row>
    <row r="98" spans="1:26">
      <c r="B98" s="258" t="s">
        <v>436</v>
      </c>
      <c r="F98" s="2" t="s">
        <v>494</v>
      </c>
      <c r="U98" s="180">
        <v>50199789.351023674</v>
      </c>
      <c r="X98" s="2" t="s">
        <v>522</v>
      </c>
      <c r="Z98" s="2" t="s">
        <v>605</v>
      </c>
    </row>
    <row r="105" spans="1:26" s="217" customFormat="1">
      <c r="A105" s="192"/>
      <c r="J105" s="266"/>
    </row>
  </sheetData>
  <mergeCells count="1">
    <mergeCell ref="B5:E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CCFFCC"/>
    <pageSetUpPr autoPageBreaks="0"/>
  </sheetPr>
  <dimension ref="A1:V33"/>
  <sheetViews>
    <sheetView showGridLines="0" zoomScale="85" zoomScaleNormal="85" workbookViewId="0">
      <pane xSplit="6" ySplit="10" topLeftCell="G11" activePane="bottomRight" state="frozen"/>
      <selection pane="topRight"/>
      <selection pane="bottomLeft"/>
      <selection pane="bottomRight"/>
    </sheetView>
  </sheetViews>
  <sheetFormatPr defaultColWidth="9.140625" defaultRowHeight="12.75"/>
  <cols>
    <col min="1" max="1" width="4" style="2" customWidth="1"/>
    <col min="2" max="2" width="62.42578125" style="2" customWidth="1"/>
    <col min="3" max="5" width="4.5703125" style="2" customWidth="1"/>
    <col min="6" max="6" width="13.7109375" style="2" customWidth="1"/>
    <col min="7" max="7" width="2.7109375" style="2" customWidth="1"/>
    <col min="8" max="8" width="14.85546875" style="2" bestFit="1" customWidth="1"/>
    <col min="9" max="9" width="2.7109375" style="2" customWidth="1"/>
    <col min="10" max="10" width="13.7109375" style="2" customWidth="1"/>
    <col min="11" max="11" width="2.7109375" style="2" customWidth="1"/>
    <col min="12" max="16" width="18.7109375" style="2" customWidth="1"/>
    <col min="17" max="17" width="2.7109375" style="2" customWidth="1"/>
    <col min="18" max="18" width="53.42578125" style="2" bestFit="1" customWidth="1"/>
    <col min="19" max="19" width="2.7109375" style="2" customWidth="1"/>
    <col min="20" max="32" width="13.7109375" style="2" customWidth="1"/>
    <col min="33" max="16384" width="9.140625" style="2"/>
  </cols>
  <sheetData>
    <row r="1" spans="1:20">
      <c r="A1" s="260"/>
    </row>
    <row r="2" spans="1:20" s="20" customFormat="1" ht="18">
      <c r="B2" s="71" t="s">
        <v>284</v>
      </c>
    </row>
    <row r="3" spans="1:20">
      <c r="A3" s="260"/>
      <c r="B3" s="21"/>
    </row>
    <row r="4" spans="1:20" s="81" customFormat="1" ht="12.75" customHeight="1">
      <c r="A4" s="260"/>
      <c r="B4" s="303" t="s">
        <v>498</v>
      </c>
      <c r="C4" s="303"/>
      <c r="D4" s="303"/>
      <c r="E4" s="303"/>
      <c r="F4" s="303"/>
    </row>
    <row r="5" spans="1:20" s="81" customFormat="1">
      <c r="A5" s="260"/>
      <c r="B5" s="303"/>
      <c r="C5" s="303"/>
      <c r="D5" s="303"/>
      <c r="E5" s="303"/>
      <c r="F5" s="303"/>
    </row>
    <row r="6" spans="1:20" s="81" customFormat="1">
      <c r="A6" s="260"/>
      <c r="B6" s="303"/>
      <c r="C6" s="303"/>
      <c r="D6" s="303"/>
      <c r="E6" s="303"/>
      <c r="F6" s="303"/>
    </row>
    <row r="7" spans="1:20" s="81" customFormat="1">
      <c r="A7" s="260"/>
      <c r="B7" s="303"/>
      <c r="C7" s="303"/>
      <c r="D7" s="303"/>
      <c r="E7" s="303"/>
      <c r="F7" s="303"/>
    </row>
    <row r="8" spans="1:20" s="81" customFormat="1">
      <c r="A8" s="260"/>
      <c r="B8" s="305"/>
      <c r="C8" s="305"/>
      <c r="D8" s="305"/>
      <c r="E8" s="305"/>
      <c r="F8" s="305"/>
    </row>
    <row r="9" spans="1:20" s="7" customFormat="1" ht="38.25">
      <c r="A9" s="184"/>
      <c r="B9" s="7" t="s">
        <v>44</v>
      </c>
      <c r="F9" s="7" t="s">
        <v>26</v>
      </c>
      <c r="H9" s="7" t="s">
        <v>27</v>
      </c>
      <c r="J9" s="7" t="s">
        <v>48</v>
      </c>
      <c r="L9" s="41" t="s">
        <v>76</v>
      </c>
      <c r="M9" s="31" t="s">
        <v>251</v>
      </c>
      <c r="N9" s="31" t="s">
        <v>78</v>
      </c>
      <c r="O9" s="31" t="s">
        <v>250</v>
      </c>
      <c r="P9" s="31" t="s">
        <v>169</v>
      </c>
      <c r="R9" s="7" t="s">
        <v>45</v>
      </c>
      <c r="T9" s="7" t="s">
        <v>46</v>
      </c>
    </row>
    <row r="10" spans="1:20">
      <c r="A10" s="260"/>
    </row>
    <row r="11" spans="1:20">
      <c r="A11" s="260"/>
    </row>
    <row r="12" spans="1:20" s="7" customFormat="1">
      <c r="A12" s="184"/>
      <c r="B12" s="7" t="s">
        <v>350</v>
      </c>
    </row>
    <row r="13" spans="1:20">
      <c r="A13" s="260"/>
    </row>
    <row r="14" spans="1:20">
      <c r="A14" s="260"/>
      <c r="B14" s="1" t="s">
        <v>80</v>
      </c>
    </row>
    <row r="15" spans="1:20">
      <c r="A15" s="260"/>
      <c r="B15" s="23" t="s">
        <v>464</v>
      </c>
      <c r="F15" s="2" t="s">
        <v>124</v>
      </c>
      <c r="L15" s="253">
        <v>12478.96</v>
      </c>
      <c r="M15" s="253">
        <v>8.61</v>
      </c>
      <c r="N15" s="253">
        <v>0.87</v>
      </c>
      <c r="O15" s="253">
        <v>4.3</v>
      </c>
      <c r="P15" s="253">
        <v>0.3</v>
      </c>
      <c r="R15" s="207" t="s">
        <v>465</v>
      </c>
      <c r="T15" s="208"/>
    </row>
    <row r="16" spans="1:20" s="158" customFormat="1">
      <c r="A16" s="260"/>
      <c r="B16" s="82" t="s">
        <v>296</v>
      </c>
      <c r="F16" s="158" t="s">
        <v>81</v>
      </c>
      <c r="L16" s="263">
        <v>22.55</v>
      </c>
      <c r="M16" s="264">
        <v>1212716</v>
      </c>
      <c r="N16" s="264">
        <v>12026541</v>
      </c>
      <c r="O16" s="264">
        <v>235262</v>
      </c>
      <c r="P16" s="264">
        <v>3215320</v>
      </c>
      <c r="R16" s="82" t="s">
        <v>467</v>
      </c>
      <c r="T16" s="156"/>
    </row>
    <row r="17" spans="1:22">
      <c r="A17" s="260"/>
      <c r="B17" s="23"/>
      <c r="R17" s="82"/>
    </row>
    <row r="18" spans="1:22" s="81" customFormat="1">
      <c r="A18" s="260"/>
      <c r="B18" s="82" t="s">
        <v>470</v>
      </c>
      <c r="F18" s="206" t="s">
        <v>124</v>
      </c>
      <c r="H18" s="180">
        <v>281400.54800000001</v>
      </c>
      <c r="J18" s="208"/>
      <c r="R18" s="207" t="s">
        <v>469</v>
      </c>
    </row>
    <row r="19" spans="1:22" s="81" customFormat="1">
      <c r="A19" s="260"/>
      <c r="B19" s="82" t="s">
        <v>471</v>
      </c>
      <c r="F19" s="206" t="s">
        <v>124</v>
      </c>
      <c r="H19" s="180">
        <v>22896580.956353925</v>
      </c>
      <c r="J19" s="208"/>
      <c r="R19" s="207" t="s">
        <v>472</v>
      </c>
      <c r="T19" s="155" t="s">
        <v>351</v>
      </c>
    </row>
    <row r="20" spans="1:22" s="81" customFormat="1">
      <c r="A20" s="260"/>
      <c r="B20" s="82"/>
      <c r="H20" s="34"/>
      <c r="R20" s="82"/>
    </row>
    <row r="21" spans="1:22">
      <c r="A21" s="260"/>
      <c r="B21" s="1" t="s">
        <v>82</v>
      </c>
      <c r="R21" s="82"/>
    </row>
    <row r="22" spans="1:22">
      <c r="A22" s="260"/>
      <c r="B22" s="23" t="s">
        <v>464</v>
      </c>
      <c r="F22" s="206" t="s">
        <v>124</v>
      </c>
      <c r="L22" s="40">
        <v>2760</v>
      </c>
      <c r="M22" s="40">
        <v>17.100000000000001</v>
      </c>
      <c r="N22" s="40">
        <v>1.66</v>
      </c>
      <c r="O22" s="40">
        <v>8.5500000000000007</v>
      </c>
      <c r="P22" s="40">
        <v>0.57999999999999996</v>
      </c>
      <c r="R22" s="207" t="s">
        <v>466</v>
      </c>
      <c r="T22" s="208"/>
    </row>
    <row r="23" spans="1:22" s="158" customFormat="1">
      <c r="A23" s="260"/>
      <c r="B23" s="82" t="s">
        <v>296</v>
      </c>
      <c r="F23" s="158" t="s">
        <v>81</v>
      </c>
      <c r="L23" s="175">
        <v>91.56</v>
      </c>
      <c r="M23" s="138">
        <v>14929120</v>
      </c>
      <c r="N23" s="138">
        <v>153986790</v>
      </c>
      <c r="O23" s="138">
        <v>226512</v>
      </c>
      <c r="P23" s="138">
        <v>1737592</v>
      </c>
      <c r="R23" s="207" t="s">
        <v>468</v>
      </c>
    </row>
    <row r="24" spans="1:22">
      <c r="A24" s="260"/>
      <c r="B24" s="23"/>
      <c r="R24" s="82"/>
    </row>
    <row r="25" spans="1:22" s="81" customFormat="1">
      <c r="A25" s="260"/>
      <c r="B25" s="82" t="s">
        <v>473</v>
      </c>
      <c r="F25" s="206" t="s">
        <v>124</v>
      </c>
      <c r="H25" s="180">
        <v>252705.6</v>
      </c>
      <c r="J25" s="208"/>
      <c r="R25" s="207" t="s">
        <v>474</v>
      </c>
    </row>
    <row r="26" spans="1:22">
      <c r="A26" s="260"/>
      <c r="B26" s="29" t="s">
        <v>476</v>
      </c>
      <c r="C26" s="29"/>
      <c r="D26" s="29"/>
      <c r="E26" s="29"/>
      <c r="F26" s="206" t="s">
        <v>124</v>
      </c>
      <c r="G26" s="29"/>
      <c r="H26" s="180">
        <v>514486298.98400927</v>
      </c>
      <c r="J26" s="208"/>
      <c r="L26" s="42"/>
      <c r="M26" s="42"/>
      <c r="N26" s="42"/>
      <c r="O26" s="42"/>
      <c r="P26" s="42"/>
      <c r="R26" s="207" t="s">
        <v>475</v>
      </c>
    </row>
    <row r="27" spans="1:22">
      <c r="A27" s="192"/>
      <c r="B27" s="304"/>
      <c r="C27" s="304"/>
      <c r="D27" s="8"/>
      <c r="E27" s="8"/>
      <c r="F27" s="8"/>
      <c r="G27" s="8"/>
      <c r="H27" s="77"/>
      <c r="T27" s="21"/>
    </row>
    <row r="28" spans="1:22">
      <c r="B28" s="304"/>
      <c r="C28" s="304"/>
      <c r="D28" s="8"/>
      <c r="E28" s="8"/>
      <c r="F28" s="8"/>
      <c r="G28" s="8"/>
      <c r="H28" s="77"/>
      <c r="Q28" s="225"/>
      <c r="R28" s="225"/>
      <c r="S28" s="225"/>
    </row>
    <row r="29" spans="1:22">
      <c r="B29" s="8"/>
      <c r="C29" s="8"/>
      <c r="D29" s="8"/>
      <c r="E29" s="8"/>
      <c r="F29" s="8"/>
      <c r="G29" s="8"/>
      <c r="H29" s="8"/>
    </row>
    <row r="32" spans="1:22">
      <c r="Q32" s="225"/>
      <c r="R32" s="225"/>
      <c r="S32" s="225"/>
      <c r="T32" s="225"/>
      <c r="U32" s="225"/>
      <c r="V32" s="225"/>
    </row>
    <row r="33" spans="12:16">
      <c r="L33" s="225"/>
      <c r="M33" s="225"/>
      <c r="N33" s="225"/>
      <c r="O33" s="225"/>
      <c r="P33" s="225"/>
    </row>
  </sheetData>
  <mergeCells count="3">
    <mergeCell ref="B27:C27"/>
    <mergeCell ref="B28:C28"/>
    <mergeCell ref="B4:F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theme="0" tint="-4.9989318521683403E-2"/>
    <pageSetUpPr autoPageBreaks="0"/>
  </sheetPr>
  <dimension ref="A1"/>
  <sheetViews>
    <sheetView showGridLines="0" zoomScale="85" zoomScaleNormal="85" workbookViewId="0"/>
  </sheetViews>
  <sheetFormatPr defaultColWidth="9.140625" defaultRowHeight="12.75"/>
  <cols>
    <col min="1" max="16384" width="9.140625" style="22"/>
  </cols>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tabColor rgb="FFFFFFCC"/>
    <pageSetUpPr autoPageBreaks="0" fitToPage="1"/>
  </sheetPr>
  <dimension ref="A1:X78"/>
  <sheetViews>
    <sheetView showGridLines="0" zoomScale="85" zoomScaleNormal="85" workbookViewId="0">
      <pane xSplit="6" ySplit="12" topLeftCell="G13" activePane="bottomRight" state="frozen"/>
      <selection pane="topRight"/>
      <selection pane="bottomLeft"/>
      <selection pane="bottomRight"/>
    </sheetView>
  </sheetViews>
  <sheetFormatPr defaultColWidth="9.140625" defaultRowHeight="12.75"/>
  <cols>
    <col min="1" max="1" width="4" style="2" customWidth="1"/>
    <col min="2" max="2" width="57.1406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22" width="12.5703125" style="2" customWidth="1"/>
    <col min="23" max="23" width="2.7109375" style="2" customWidth="1"/>
    <col min="24" max="24" width="18" style="2" customWidth="1"/>
    <col min="25" max="37" width="13.7109375" style="2" customWidth="1"/>
    <col min="38" max="16384" width="9.140625" style="2"/>
  </cols>
  <sheetData>
    <row r="1" spans="1:24">
      <c r="A1" s="192"/>
    </row>
    <row r="2" spans="1:24" s="20" customFormat="1" ht="18">
      <c r="B2" s="20" t="s">
        <v>230</v>
      </c>
    </row>
    <row r="3" spans="1:24">
      <c r="A3" s="260"/>
    </row>
    <row r="4" spans="1:24" s="81" customFormat="1" ht="12.75" customHeight="1">
      <c r="A4" s="260"/>
      <c r="B4" s="300" t="s">
        <v>271</v>
      </c>
      <c r="C4" s="301"/>
      <c r="D4" s="301"/>
      <c r="E4" s="301"/>
    </row>
    <row r="5" spans="1:24" s="81" customFormat="1">
      <c r="A5" s="260"/>
      <c r="B5" s="301"/>
      <c r="C5" s="301"/>
      <c r="D5" s="301"/>
      <c r="E5" s="301"/>
    </row>
    <row r="6" spans="1:24" s="81" customFormat="1">
      <c r="A6" s="260"/>
      <c r="B6" s="301"/>
      <c r="C6" s="301"/>
      <c r="D6" s="301"/>
      <c r="E6" s="301"/>
    </row>
    <row r="7" spans="1:24" s="81" customFormat="1">
      <c r="A7" s="260"/>
      <c r="B7" s="301"/>
      <c r="C7" s="301"/>
      <c r="D7" s="301"/>
      <c r="E7" s="301"/>
    </row>
    <row r="8" spans="1:24" s="81" customFormat="1">
      <c r="A8" s="260"/>
      <c r="B8" s="301"/>
      <c r="C8" s="301"/>
      <c r="D8" s="301"/>
      <c r="E8" s="301"/>
    </row>
    <row r="9" spans="1:24" s="81" customFormat="1">
      <c r="A9" s="260"/>
      <c r="B9" s="301"/>
      <c r="C9" s="301"/>
      <c r="D9" s="301"/>
      <c r="E9" s="301"/>
    </row>
    <row r="10" spans="1:24">
      <c r="A10" s="260"/>
      <c r="B10" s="83"/>
      <c r="C10" s="23"/>
      <c r="D10" s="23"/>
      <c r="H10" s="21"/>
    </row>
    <row r="11" spans="1:24" s="7" customFormat="1">
      <c r="A11" s="184"/>
      <c r="B11" s="7" t="s">
        <v>44</v>
      </c>
      <c r="F11" s="7" t="s">
        <v>26</v>
      </c>
      <c r="H11" s="7" t="s">
        <v>27</v>
      </c>
      <c r="J11" s="7" t="s">
        <v>48</v>
      </c>
      <c r="L11" s="72">
        <v>2011</v>
      </c>
      <c r="M11" s="72">
        <v>2012</v>
      </c>
      <c r="N11" s="72">
        <v>2013</v>
      </c>
      <c r="O11" s="72">
        <v>2014</v>
      </c>
      <c r="P11" s="72">
        <v>2015</v>
      </c>
      <c r="Q11" s="72">
        <v>2016</v>
      </c>
      <c r="R11" s="72">
        <v>2017</v>
      </c>
      <c r="S11" s="72">
        <v>2018</v>
      </c>
      <c r="T11" s="72">
        <v>2019</v>
      </c>
      <c r="U11" s="72">
        <v>2020</v>
      </c>
      <c r="V11" s="72">
        <v>2021</v>
      </c>
      <c r="X11" s="7" t="s">
        <v>46</v>
      </c>
    </row>
    <row r="12" spans="1:24">
      <c r="A12" s="260"/>
    </row>
    <row r="13" spans="1:24" s="81" customFormat="1">
      <c r="A13" s="260"/>
    </row>
    <row r="14" spans="1:24" s="7" customFormat="1">
      <c r="A14" s="184"/>
      <c r="B14" s="7" t="s">
        <v>47</v>
      </c>
    </row>
    <row r="15" spans="1:24">
      <c r="A15" s="260"/>
    </row>
    <row r="16" spans="1:24">
      <c r="A16" s="260"/>
      <c r="B16" s="1" t="s">
        <v>156</v>
      </c>
    </row>
    <row r="17" spans="1:24">
      <c r="A17" s="260"/>
      <c r="B17" s="2" t="s">
        <v>157</v>
      </c>
      <c r="F17" s="2" t="s">
        <v>60</v>
      </c>
      <c r="L17" s="91">
        <f>'Tab 9_Parameters'!L17</f>
        <v>1.4999999999999999E-2</v>
      </c>
      <c r="M17" s="91">
        <f>'Tab 9_Parameters'!M17</f>
        <v>2.5999999999999999E-2</v>
      </c>
      <c r="N17" s="91">
        <f>'Tab 9_Parameters'!N17</f>
        <v>2.3E-2</v>
      </c>
      <c r="O17" s="91">
        <f>'Tab 9_Parameters'!O17</f>
        <v>2.8000000000000001E-2</v>
      </c>
      <c r="P17" s="91">
        <f>'Tab 9_Parameters'!P17</f>
        <v>0.01</v>
      </c>
      <c r="Q17" s="91">
        <f>'Tab 9_Parameters'!Q17</f>
        <v>8.0000000000000002E-3</v>
      </c>
      <c r="R17" s="91">
        <f>'Tab 9_Parameters'!R17</f>
        <v>2E-3</v>
      </c>
      <c r="S17" s="91">
        <f>'Tab 9_Parameters'!S17</f>
        <v>1.4E-2</v>
      </c>
      <c r="T17" s="91">
        <f>'Tab 9_Parameters'!T17</f>
        <v>2.1000000000000001E-2</v>
      </c>
      <c r="U17" s="91">
        <f>'Tab 9_Parameters'!U17</f>
        <v>2.8000000000000001E-2</v>
      </c>
      <c r="V17" s="91">
        <f>'Tab 9_Parameters'!V17</f>
        <v>7.0000000000000001E-3</v>
      </c>
      <c r="X17" s="82"/>
    </row>
    <row r="18" spans="1:24">
      <c r="A18" s="260"/>
    </row>
    <row r="19" spans="1:24">
      <c r="A19" s="260"/>
      <c r="B19" s="1" t="s">
        <v>67</v>
      </c>
    </row>
    <row r="20" spans="1:24">
      <c r="A20" s="260"/>
      <c r="B20" s="2" t="s">
        <v>68</v>
      </c>
      <c r="F20" s="2" t="s">
        <v>60</v>
      </c>
      <c r="L20" s="102">
        <f>'Tab 9_Parameters'!L26</f>
        <v>2.5000000000000001E-2</v>
      </c>
      <c r="M20" s="102">
        <f>'Tab 9_Parameters'!M26</f>
        <v>2.8500000000000001E-2</v>
      </c>
      <c r="N20" s="102">
        <f>'Tab 9_Parameters'!N26</f>
        <v>0.03</v>
      </c>
      <c r="O20" s="102">
        <f>'Tab 9_Parameters'!O26</f>
        <v>0.03</v>
      </c>
      <c r="P20" s="102">
        <f>'Tab 9_Parameters'!P26</f>
        <v>0.04</v>
      </c>
      <c r="Q20" s="102">
        <f>'Tab 9_Parameters'!Q26</f>
        <v>0.04</v>
      </c>
      <c r="R20" s="102">
        <f>'Tab 9_Parameters'!R26</f>
        <v>0.04</v>
      </c>
      <c r="S20" s="102">
        <f>'Tab 9_Parameters'!S26</f>
        <v>0.04</v>
      </c>
      <c r="T20" s="102">
        <f>'Tab 9_Parameters'!T26</f>
        <v>0.04</v>
      </c>
      <c r="U20" s="102">
        <f>'Tab 9_Parameters'!U26</f>
        <v>0.04</v>
      </c>
      <c r="V20" s="102">
        <f>'Tab 9_Parameters'!V26</f>
        <v>0.04</v>
      </c>
      <c r="X20" s="5"/>
    </row>
    <row r="21" spans="1:24">
      <c r="A21" s="260"/>
      <c r="B21" s="2" t="s">
        <v>69</v>
      </c>
      <c r="F21" s="2" t="s">
        <v>60</v>
      </c>
      <c r="L21" s="102">
        <f>'Tab 9_Parameters'!L27</f>
        <v>2.5000000000000001E-2</v>
      </c>
      <c r="M21" s="102">
        <f>'Tab 9_Parameters'!M27</f>
        <v>2.3E-2</v>
      </c>
      <c r="N21" s="102">
        <f>'Tab 9_Parameters'!N27</f>
        <v>0.03</v>
      </c>
      <c r="O21" s="102">
        <f>'Tab 9_Parameters'!O27</f>
        <v>0.04</v>
      </c>
      <c r="P21" s="102">
        <f>'Tab 9_Parameters'!P27</f>
        <v>0.04</v>
      </c>
      <c r="Q21" s="102">
        <f>'Tab 9_Parameters'!Q27</f>
        <v>0.04</v>
      </c>
      <c r="R21" s="102">
        <f>'Tab 9_Parameters'!R27</f>
        <v>0.04</v>
      </c>
      <c r="S21" s="102">
        <f>'Tab 9_Parameters'!S27</f>
        <v>0.04</v>
      </c>
      <c r="T21" s="102">
        <f>'Tab 9_Parameters'!T27</f>
        <v>0.04</v>
      </c>
      <c r="U21" s="102">
        <f>'Tab 9_Parameters'!U27</f>
        <v>0.04</v>
      </c>
      <c r="V21" s="102">
        <f>'Tab 9_Parameters'!V27</f>
        <v>0.04</v>
      </c>
    </row>
    <row r="22" spans="1:24">
      <c r="A22" s="260"/>
      <c r="B22" s="2" t="s">
        <v>70</v>
      </c>
      <c r="F22" s="2" t="s">
        <v>60</v>
      </c>
      <c r="L22" s="102">
        <f>'Tab 9_Parameters'!L28</f>
        <v>2.75E-2</v>
      </c>
      <c r="M22" s="102">
        <f>'Tab 9_Parameters'!M28</f>
        <v>2.5000000000000001E-2</v>
      </c>
      <c r="N22" s="102">
        <f>'Tab 9_Parameters'!N28</f>
        <v>0.03</v>
      </c>
      <c r="O22" s="102">
        <f>'Tab 9_Parameters'!O28</f>
        <v>0.04</v>
      </c>
      <c r="P22" s="102">
        <f>'Tab 9_Parameters'!P28</f>
        <v>0.04</v>
      </c>
      <c r="Q22" s="102">
        <f>'Tab 9_Parameters'!Q28</f>
        <v>0.04</v>
      </c>
      <c r="R22" s="102">
        <f>'Tab 9_Parameters'!R28</f>
        <v>0.04</v>
      </c>
      <c r="S22" s="102">
        <f>'Tab 9_Parameters'!S28</f>
        <v>0.04</v>
      </c>
      <c r="T22" s="102">
        <f>'Tab 9_Parameters'!T28</f>
        <v>0.04</v>
      </c>
      <c r="U22" s="102">
        <f>'Tab 9_Parameters'!U28</f>
        <v>0.04</v>
      </c>
    </row>
    <row r="23" spans="1:24">
      <c r="A23" s="260"/>
      <c r="B23" s="2" t="s">
        <v>71</v>
      </c>
      <c r="F23" s="2" t="s">
        <v>60</v>
      </c>
      <c r="L23" s="102">
        <f>'Tab 9_Parameters'!L29</f>
        <v>0.03</v>
      </c>
      <c r="M23" s="102">
        <f>'Tab 9_Parameters'!M29</f>
        <v>2.2499999999999999E-2</v>
      </c>
      <c r="N23" s="102">
        <f>'Tab 9_Parameters'!N29</f>
        <v>0.03</v>
      </c>
      <c r="O23" s="102">
        <f>'Tab 9_Parameters'!O29</f>
        <v>0.04</v>
      </c>
      <c r="P23" s="102">
        <f>'Tab 9_Parameters'!P29</f>
        <v>0.04</v>
      </c>
      <c r="Q23" s="102">
        <f>'Tab 9_Parameters'!Q29</f>
        <v>0.04</v>
      </c>
      <c r="R23" s="102">
        <f>'Tab 9_Parameters'!R29</f>
        <v>0.04</v>
      </c>
      <c r="S23" s="102">
        <f>'Tab 9_Parameters'!S29</f>
        <v>0.04</v>
      </c>
      <c r="T23" s="102">
        <f>'Tab 9_Parameters'!T29</f>
        <v>0.04</v>
      </c>
      <c r="U23" s="102">
        <f>'Tab 9_Parameters'!U29</f>
        <v>0.04</v>
      </c>
    </row>
    <row r="24" spans="1:24">
      <c r="A24" s="260"/>
    </row>
    <row r="25" spans="1:24">
      <c r="A25" s="260"/>
      <c r="B25" s="1" t="s">
        <v>72</v>
      </c>
    </row>
    <row r="26" spans="1:24">
      <c r="A26" s="260"/>
      <c r="B26" s="39" t="s">
        <v>187</v>
      </c>
      <c r="F26" s="2" t="s">
        <v>60</v>
      </c>
      <c r="H26" s="91">
        <f>'Tab 9_Parameters'!H43</f>
        <v>1.0999999999999999E-2</v>
      </c>
      <c r="P26" s="90"/>
      <c r="Q26" s="90"/>
      <c r="R26" s="8"/>
      <c r="S26" s="90"/>
      <c r="T26" s="90"/>
      <c r="U26" s="90"/>
      <c r="V26" s="90"/>
      <c r="X26" s="26"/>
    </row>
    <row r="27" spans="1:24">
      <c r="A27" s="260"/>
      <c r="B27" s="39" t="s">
        <v>188</v>
      </c>
      <c r="F27" s="81" t="s">
        <v>60</v>
      </c>
      <c r="H27" s="91">
        <f>'Tab 9_Parameters'!H44</f>
        <v>0</v>
      </c>
      <c r="X27" s="26"/>
    </row>
    <row r="28" spans="1:24" s="81" customFormat="1">
      <c r="A28" s="260"/>
      <c r="B28" s="39"/>
      <c r="X28" s="26"/>
    </row>
    <row r="29" spans="1:24" s="7" customFormat="1">
      <c r="A29" s="184"/>
      <c r="B29" s="7" t="s">
        <v>83</v>
      </c>
    </row>
    <row r="30" spans="1:24">
      <c r="A30" s="260"/>
    </row>
    <row r="31" spans="1:24">
      <c r="A31" s="260"/>
      <c r="B31" s="1" t="s">
        <v>84</v>
      </c>
    </row>
    <row r="32" spans="1:24">
      <c r="A32" s="260"/>
      <c r="B32" s="2" t="s">
        <v>183</v>
      </c>
      <c r="L32" s="74">
        <f t="shared" ref="L32:S32" si="0">L11</f>
        <v>2011</v>
      </c>
      <c r="M32" s="74">
        <f t="shared" si="0"/>
        <v>2012</v>
      </c>
      <c r="N32" s="74">
        <f t="shared" si="0"/>
        <v>2013</v>
      </c>
      <c r="O32" s="74">
        <f t="shared" si="0"/>
        <v>2014</v>
      </c>
      <c r="P32" s="74">
        <f t="shared" si="0"/>
        <v>2015</v>
      </c>
      <c r="Q32" s="74">
        <f t="shared" si="0"/>
        <v>2016</v>
      </c>
      <c r="R32" s="74">
        <f t="shared" si="0"/>
        <v>2017</v>
      </c>
      <c r="S32" s="74">
        <f t="shared" si="0"/>
        <v>2018</v>
      </c>
      <c r="T32" s="32">
        <v>2019</v>
      </c>
      <c r="U32" s="32">
        <v>2020</v>
      </c>
      <c r="V32" s="32">
        <v>2021</v>
      </c>
    </row>
    <row r="33" spans="1:22">
      <c r="A33" s="260"/>
    </row>
    <row r="34" spans="1:22">
      <c r="A34" s="260"/>
      <c r="B34" s="2" t="s">
        <v>85</v>
      </c>
      <c r="F34" s="2" t="s">
        <v>60</v>
      </c>
      <c r="L34" s="91">
        <f>$L$17</f>
        <v>1.4999999999999999E-2</v>
      </c>
      <c r="M34" s="59">
        <f>(1+L34)*(1+M$17)-1</f>
        <v>4.1389999999999816E-2</v>
      </c>
      <c r="N34" s="59">
        <f t="shared" ref="N34:S34" si="1">(1+M34)*(1+N17)-1</f>
        <v>6.5341969999999749E-2</v>
      </c>
      <c r="O34" s="59">
        <f t="shared" si="1"/>
        <v>9.5171545159999704E-2</v>
      </c>
      <c r="P34" s="59">
        <f t="shared" si="1"/>
        <v>0.1061232606115996</v>
      </c>
      <c r="Q34" s="59">
        <f t="shared" si="1"/>
        <v>0.11497224669649242</v>
      </c>
      <c r="R34" s="59">
        <f t="shared" si="1"/>
        <v>0.11720219118988551</v>
      </c>
      <c r="S34" s="59">
        <f t="shared" si="1"/>
        <v>0.13284302186654395</v>
      </c>
      <c r="T34" s="59">
        <f t="shared" ref="T34:V41" si="2">(1+S34)*(1+T$17)-1</f>
        <v>0.15663272532574135</v>
      </c>
      <c r="U34" s="59">
        <f t="shared" si="2"/>
        <v>0.18901844163486214</v>
      </c>
      <c r="V34" s="59">
        <f t="shared" si="2"/>
        <v>0.19734157072630598</v>
      </c>
    </row>
    <row r="35" spans="1:22">
      <c r="A35" s="260"/>
      <c r="B35" s="2" t="s">
        <v>86</v>
      </c>
      <c r="F35" s="2" t="s">
        <v>60</v>
      </c>
      <c r="L35" s="14"/>
      <c r="M35" s="91">
        <f>$M$17</f>
        <v>2.5999999999999999E-2</v>
      </c>
      <c r="N35" s="59">
        <f>(1+M35)*(1+N$17)-1</f>
        <v>4.9598000000000031E-2</v>
      </c>
      <c r="O35" s="59">
        <f>(1+N35)*(1+O$17)-1</f>
        <v>7.8986744000000053E-2</v>
      </c>
      <c r="P35" s="59">
        <f t="shared" ref="P35:S38" si="3">(1+O35)*(1+P$17)-1</f>
        <v>8.9776611440000043E-2</v>
      </c>
      <c r="Q35" s="59">
        <f t="shared" si="3"/>
        <v>9.8494824331520014E-2</v>
      </c>
      <c r="R35" s="59">
        <f t="shared" si="3"/>
        <v>0.10069181398018312</v>
      </c>
      <c r="S35" s="59">
        <f t="shared" si="3"/>
        <v>0.11610149937590575</v>
      </c>
      <c r="T35" s="59">
        <f t="shared" si="2"/>
        <v>0.13953963086279964</v>
      </c>
      <c r="U35" s="59">
        <f>(1+T35)*(1+U$17)-1</f>
        <v>0.17144674052695796</v>
      </c>
      <c r="V35" s="59">
        <f>(1+U35)*(1+V$17)-1</f>
        <v>0.17964686771064664</v>
      </c>
    </row>
    <row r="36" spans="1:22">
      <c r="A36" s="260"/>
      <c r="B36" s="2" t="s">
        <v>87</v>
      </c>
      <c r="F36" s="2" t="s">
        <v>60</v>
      </c>
      <c r="L36" s="14"/>
      <c r="M36" s="14"/>
      <c r="N36" s="91">
        <f>$N$17</f>
        <v>2.3E-2</v>
      </c>
      <c r="O36" s="59">
        <f>(1+N36)*(1+O$17)-1</f>
        <v>5.1644000000000023E-2</v>
      </c>
      <c r="P36" s="59">
        <f t="shared" si="3"/>
        <v>6.2160439999999983E-2</v>
      </c>
      <c r="Q36" s="59">
        <f t="shared" si="3"/>
        <v>7.0657723519999882E-2</v>
      </c>
      <c r="R36" s="59">
        <f t="shared" si="3"/>
        <v>7.2799038967039875E-2</v>
      </c>
      <c r="S36" s="59">
        <f t="shared" si="3"/>
        <v>8.7818225512578341E-2</v>
      </c>
      <c r="T36" s="59">
        <f t="shared" si="2"/>
        <v>0.11066240824834228</v>
      </c>
      <c r="U36" s="59">
        <f t="shared" si="2"/>
        <v>0.14176095567929581</v>
      </c>
      <c r="V36" s="59">
        <f t="shared" si="2"/>
        <v>0.14975328236905083</v>
      </c>
    </row>
    <row r="37" spans="1:22">
      <c r="A37" s="260"/>
      <c r="B37" s="2" t="s">
        <v>88</v>
      </c>
      <c r="F37" s="2" t="s">
        <v>60</v>
      </c>
      <c r="L37" s="14"/>
      <c r="M37" s="14"/>
      <c r="N37" s="14"/>
      <c r="O37" s="91">
        <f>$O$17</f>
        <v>2.8000000000000001E-2</v>
      </c>
      <c r="P37" s="59">
        <f>(1+O37)*(1+P$17)-1</f>
        <v>3.8280000000000092E-2</v>
      </c>
      <c r="Q37" s="59">
        <f t="shared" si="3"/>
        <v>4.6586240000000112E-2</v>
      </c>
      <c r="R37" s="59">
        <f t="shared" si="3"/>
        <v>4.8679412480000073E-2</v>
      </c>
      <c r="S37" s="59">
        <f t="shared" si="3"/>
        <v>6.3360924254720175E-2</v>
      </c>
      <c r="T37" s="59">
        <f t="shared" si="2"/>
        <v>8.5691503664069302E-2</v>
      </c>
      <c r="U37" s="59">
        <f t="shared" si="2"/>
        <v>0.11609086576666328</v>
      </c>
      <c r="V37" s="59">
        <f t="shared" si="2"/>
        <v>0.1239035018270298</v>
      </c>
    </row>
    <row r="38" spans="1:22">
      <c r="A38" s="260"/>
      <c r="B38" s="2" t="s">
        <v>89</v>
      </c>
      <c r="F38" s="2" t="s">
        <v>60</v>
      </c>
      <c r="L38" s="14"/>
      <c r="M38" s="14"/>
      <c r="N38" s="14"/>
      <c r="O38" s="14"/>
      <c r="P38" s="91">
        <f>$P$17</f>
        <v>0.01</v>
      </c>
      <c r="Q38" s="59">
        <f>(1+P38)*(1+Q$17)-1</f>
        <v>1.8080000000000096E-2</v>
      </c>
      <c r="R38" s="59">
        <f t="shared" si="3"/>
        <v>2.0116160000000161E-2</v>
      </c>
      <c r="S38" s="59">
        <f t="shared" si="3"/>
        <v>3.4397786240000228E-2</v>
      </c>
      <c r="T38" s="59">
        <f t="shared" si="2"/>
        <v>5.6120139751040243E-2</v>
      </c>
      <c r="U38" s="59">
        <f t="shared" si="2"/>
        <v>8.5691503664069302E-2</v>
      </c>
      <c r="V38" s="59">
        <f t="shared" si="2"/>
        <v>9.3291344189717629E-2</v>
      </c>
    </row>
    <row r="39" spans="1:22">
      <c r="A39" s="260"/>
      <c r="B39" s="2" t="s">
        <v>90</v>
      </c>
      <c r="F39" s="2" t="s">
        <v>60</v>
      </c>
      <c r="L39" s="14"/>
      <c r="M39" s="14"/>
      <c r="N39" s="14"/>
      <c r="O39" s="14"/>
      <c r="P39" s="14"/>
      <c r="Q39" s="91">
        <f>$Q$17</f>
        <v>8.0000000000000002E-3</v>
      </c>
      <c r="R39" s="59">
        <f>(1+Q39)*(1+R$17)-1</f>
        <v>1.0016000000000025E-2</v>
      </c>
      <c r="S39" s="59">
        <f>(1+R39)*(1+S$17)-1</f>
        <v>2.4156223999999948E-2</v>
      </c>
      <c r="T39" s="59">
        <f t="shared" si="2"/>
        <v>4.5663504703999935E-2</v>
      </c>
      <c r="U39" s="59">
        <f t="shared" si="2"/>
        <v>7.494208283571191E-2</v>
      </c>
      <c r="V39" s="59">
        <f t="shared" si="2"/>
        <v>8.2466677415561795E-2</v>
      </c>
    </row>
    <row r="40" spans="1:22">
      <c r="A40" s="260"/>
      <c r="B40" s="2" t="s">
        <v>91</v>
      </c>
      <c r="F40" s="2" t="s">
        <v>60</v>
      </c>
      <c r="L40" s="14"/>
      <c r="M40" s="14"/>
      <c r="N40" s="14"/>
      <c r="O40" s="14"/>
      <c r="P40" s="14"/>
      <c r="Q40" s="14"/>
      <c r="R40" s="91">
        <f>$R$17</f>
        <v>2E-3</v>
      </c>
      <c r="S40" s="59">
        <f>(1+R40)*(1+S$17)-1</f>
        <v>1.6027999999999931E-2</v>
      </c>
      <c r="T40" s="59">
        <f>(1+S40)*(1+T$17)-1</f>
        <v>3.7364587999999754E-2</v>
      </c>
      <c r="U40" s="59">
        <f t="shared" si="2"/>
        <v>6.6410796463999722E-2</v>
      </c>
      <c r="V40" s="59">
        <f t="shared" si="2"/>
        <v>7.3875672039247497E-2</v>
      </c>
    </row>
    <row r="41" spans="1:22">
      <c r="A41" s="260"/>
      <c r="B41" s="2" t="s">
        <v>92</v>
      </c>
      <c r="F41" s="2" t="s">
        <v>60</v>
      </c>
      <c r="L41" s="14"/>
      <c r="M41" s="14"/>
      <c r="N41" s="14"/>
      <c r="O41" s="14"/>
      <c r="P41" s="14"/>
      <c r="Q41" s="14"/>
      <c r="R41" s="14"/>
      <c r="S41" s="91">
        <f>$S$17</f>
        <v>1.4E-2</v>
      </c>
      <c r="T41" s="59">
        <f>(1+S41)*(1+T$17)-1</f>
        <v>3.5293999999999937E-2</v>
      </c>
      <c r="U41" s="59">
        <f t="shared" si="2"/>
        <v>6.428223200000005E-2</v>
      </c>
      <c r="V41" s="59">
        <f t="shared" si="2"/>
        <v>7.17322076239999E-2</v>
      </c>
    </row>
    <row r="42" spans="1:22">
      <c r="A42" s="260"/>
      <c r="B42" s="2" t="s">
        <v>139</v>
      </c>
      <c r="F42" s="2" t="s">
        <v>60</v>
      </c>
      <c r="L42" s="14"/>
      <c r="M42" s="14"/>
      <c r="N42" s="14"/>
      <c r="O42" s="14"/>
      <c r="P42" s="14"/>
      <c r="Q42" s="14"/>
      <c r="R42" s="14"/>
      <c r="S42" s="14"/>
      <c r="T42" s="91">
        <f>T17</f>
        <v>2.1000000000000001E-2</v>
      </c>
      <c r="U42" s="59">
        <f>(1+T42)*(1+U$17)-1</f>
        <v>4.9587999999999965E-2</v>
      </c>
      <c r="V42" s="59">
        <f>(1+U42)*(1+V$17)-1</f>
        <v>5.6935115999999786E-2</v>
      </c>
    </row>
    <row r="43" spans="1:22" s="206" customFormat="1">
      <c r="A43" s="260"/>
      <c r="B43" s="206" t="s">
        <v>297</v>
      </c>
      <c r="F43" s="212" t="s">
        <v>60</v>
      </c>
      <c r="L43" s="14"/>
      <c r="M43" s="14"/>
      <c r="N43" s="14"/>
      <c r="O43" s="14"/>
      <c r="P43" s="14"/>
      <c r="Q43" s="14"/>
      <c r="R43" s="14"/>
      <c r="S43" s="14"/>
      <c r="T43" s="14"/>
      <c r="U43" s="91">
        <f>U17</f>
        <v>2.8000000000000001E-2</v>
      </c>
      <c r="V43" s="88">
        <f>(1+U43)*(1+V$17)-1</f>
        <v>3.5196000000000005E-2</v>
      </c>
    </row>
    <row r="44" spans="1:22" s="259" customFormat="1">
      <c r="A44" s="260"/>
      <c r="B44" s="259" t="s">
        <v>477</v>
      </c>
      <c r="F44" s="259" t="s">
        <v>60</v>
      </c>
      <c r="L44" s="14"/>
      <c r="M44" s="14"/>
      <c r="N44" s="14"/>
      <c r="O44" s="14"/>
      <c r="P44" s="14"/>
      <c r="Q44" s="14"/>
      <c r="R44" s="14"/>
      <c r="S44" s="14"/>
      <c r="T44" s="14"/>
      <c r="U44" s="14"/>
      <c r="V44" s="91">
        <f>V17</f>
        <v>7.0000000000000001E-3</v>
      </c>
    </row>
    <row r="45" spans="1:22">
      <c r="A45" s="260"/>
    </row>
    <row r="46" spans="1:22" s="7" customFormat="1">
      <c r="A46" s="184"/>
      <c r="B46" s="7" t="s">
        <v>93</v>
      </c>
    </row>
    <row r="47" spans="1:22">
      <c r="A47" s="260"/>
    </row>
    <row r="48" spans="1:22">
      <c r="A48" s="260"/>
      <c r="B48" s="1" t="s">
        <v>94</v>
      </c>
    </row>
    <row r="49" spans="1:24">
      <c r="A49" s="260"/>
      <c r="B49" s="2" t="s">
        <v>95</v>
      </c>
      <c r="M49" s="43">
        <f t="shared" ref="M49:T49" si="4">M11</f>
        <v>2012</v>
      </c>
      <c r="N49" s="43">
        <f t="shared" si="4"/>
        <v>2013</v>
      </c>
      <c r="O49" s="43">
        <f t="shared" si="4"/>
        <v>2014</v>
      </c>
      <c r="P49" s="43">
        <f t="shared" si="4"/>
        <v>2015</v>
      </c>
      <c r="Q49" s="43">
        <f t="shared" si="4"/>
        <v>2016</v>
      </c>
      <c r="R49" s="43">
        <f t="shared" si="4"/>
        <v>2017</v>
      </c>
      <c r="S49" s="43">
        <f t="shared" si="4"/>
        <v>2018</v>
      </c>
      <c r="T49" s="43">
        <f t="shared" si="4"/>
        <v>2019</v>
      </c>
      <c r="U49" s="43">
        <v>2020</v>
      </c>
      <c r="V49" s="43" t="s">
        <v>478</v>
      </c>
    </row>
    <row r="50" spans="1:24">
      <c r="A50" s="260"/>
      <c r="B50" s="2" t="s">
        <v>96</v>
      </c>
      <c r="F50" s="2" t="s">
        <v>60</v>
      </c>
      <c r="M50" s="142">
        <f t="shared" ref="M50:V50" si="5">((1+L22)*(1+L23)*(1+M20)*(1+M21))^(1/4)-1</f>
        <v>2.7246679826694153E-2</v>
      </c>
      <c r="N50" s="142">
        <f t="shared" si="5"/>
        <v>2.6869862241643006E-2</v>
      </c>
      <c r="O50" s="142">
        <f t="shared" si="5"/>
        <v>3.2490949264880609E-2</v>
      </c>
      <c r="P50" s="142">
        <f t="shared" si="5"/>
        <v>4.0000000000000036E-2</v>
      </c>
      <c r="Q50" s="142">
        <f t="shared" si="5"/>
        <v>4.0000000000000036E-2</v>
      </c>
      <c r="R50" s="142">
        <f t="shared" si="5"/>
        <v>4.0000000000000036E-2</v>
      </c>
      <c r="S50" s="142">
        <f t="shared" si="5"/>
        <v>4.0000000000000036E-2</v>
      </c>
      <c r="T50" s="142">
        <f t="shared" si="5"/>
        <v>4.0000000000000036E-2</v>
      </c>
      <c r="U50" s="142">
        <f t="shared" si="5"/>
        <v>4.0000000000000036E-2</v>
      </c>
      <c r="V50" s="142">
        <f t="shared" si="5"/>
        <v>4.0000000000000036E-2</v>
      </c>
      <c r="X50" s="82"/>
    </row>
    <row r="51" spans="1:24">
      <c r="A51" s="260"/>
      <c r="X51" s="26"/>
    </row>
    <row r="52" spans="1:24">
      <c r="A52" s="260"/>
      <c r="B52" s="1" t="s">
        <v>84</v>
      </c>
    </row>
    <row r="53" spans="1:24">
      <c r="A53" s="260"/>
      <c r="B53" s="2" t="s">
        <v>86</v>
      </c>
      <c r="F53" s="2" t="s">
        <v>60</v>
      </c>
      <c r="M53" s="102">
        <f>M50</f>
        <v>2.7246679826694153E-2</v>
      </c>
      <c r="N53" s="142">
        <f>(1+M53)*(1+N$50)-1</f>
        <v>5.4848656601822476E-2</v>
      </c>
      <c r="O53" s="142">
        <f t="shared" ref="O53:V61" si="6">(1+N53)*(1+O$50)-1</f>
        <v>8.9121690785599839E-2</v>
      </c>
      <c r="P53" s="142">
        <f t="shared" si="6"/>
        <v>0.13268655841702381</v>
      </c>
      <c r="Q53" s="142">
        <f t="shared" si="6"/>
        <v>0.17799402075370474</v>
      </c>
      <c r="R53" s="142">
        <f t="shared" si="6"/>
        <v>0.22511378158385287</v>
      </c>
      <c r="S53" s="142">
        <f t="shared" si="6"/>
        <v>0.27411833284720699</v>
      </c>
      <c r="T53" s="142">
        <f t="shared" si="6"/>
        <v>0.32508306616109528</v>
      </c>
      <c r="U53" s="142">
        <f t="shared" si="6"/>
        <v>0.3780863888075392</v>
      </c>
      <c r="V53" s="142">
        <f t="shared" si="6"/>
        <v>0.43320984435984089</v>
      </c>
    </row>
    <row r="54" spans="1:24">
      <c r="A54" s="260"/>
      <c r="B54" s="2" t="s">
        <v>87</v>
      </c>
      <c r="F54" s="2" t="s">
        <v>60</v>
      </c>
      <c r="M54" s="143"/>
      <c r="N54" s="102">
        <f>N50</f>
        <v>2.6869862241643006E-2</v>
      </c>
      <c r="O54" s="142">
        <f>(1+N54)*(1+O$50)-1</f>
        <v>6.0233838837371101E-2</v>
      </c>
      <c r="P54" s="142">
        <f t="shared" si="6"/>
        <v>0.10264319239086594</v>
      </c>
      <c r="Q54" s="142">
        <f t="shared" si="6"/>
        <v>0.14674892008650064</v>
      </c>
      <c r="R54" s="142">
        <f t="shared" si="6"/>
        <v>0.19261887688996082</v>
      </c>
      <c r="S54" s="142">
        <f t="shared" si="6"/>
        <v>0.24032363196555928</v>
      </c>
      <c r="T54" s="142">
        <f t="shared" si="6"/>
        <v>0.28993657724418176</v>
      </c>
      <c r="U54" s="142">
        <f t="shared" si="6"/>
        <v>0.34153404033394907</v>
      </c>
      <c r="V54" s="142">
        <f t="shared" si="6"/>
        <v>0.39519540194730718</v>
      </c>
    </row>
    <row r="55" spans="1:24">
      <c r="A55" s="260"/>
      <c r="B55" s="2" t="s">
        <v>88</v>
      </c>
      <c r="F55" s="2" t="s">
        <v>60</v>
      </c>
      <c r="M55" s="143"/>
      <c r="N55" s="143"/>
      <c r="O55" s="102">
        <f>O50</f>
        <v>3.2490949264880609E-2</v>
      </c>
      <c r="P55" s="142">
        <f>(1+O55)*(1+P$50)-1</f>
        <v>7.3790587235475824E-2</v>
      </c>
      <c r="Q55" s="142">
        <f t="shared" si="6"/>
        <v>0.11674221072489499</v>
      </c>
      <c r="R55" s="142">
        <f t="shared" si="6"/>
        <v>0.16141189915389087</v>
      </c>
      <c r="S55" s="142">
        <f t="shared" si="6"/>
        <v>0.20786837512004652</v>
      </c>
      <c r="T55" s="142">
        <f t="shared" si="6"/>
        <v>0.2561831101248484</v>
      </c>
      <c r="U55" s="142">
        <f t="shared" si="6"/>
        <v>0.30643043452984231</v>
      </c>
      <c r="V55" s="142">
        <f t="shared" si="6"/>
        <v>0.35868765191103602</v>
      </c>
    </row>
    <row r="56" spans="1:24">
      <c r="A56" s="260"/>
      <c r="B56" s="2" t="s">
        <v>89</v>
      </c>
      <c r="F56" s="2" t="s">
        <v>60</v>
      </c>
      <c r="M56" s="143"/>
      <c r="N56" s="143"/>
      <c r="O56" s="143"/>
      <c r="P56" s="102">
        <f>P50</f>
        <v>4.0000000000000036E-2</v>
      </c>
      <c r="Q56" s="142">
        <f>(1+P56)*(1+Q$50)-1</f>
        <v>8.1600000000000117E-2</v>
      </c>
      <c r="R56" s="142">
        <f t="shared" si="6"/>
        <v>0.12486400000000009</v>
      </c>
      <c r="S56" s="142">
        <f t="shared" si="6"/>
        <v>0.16985856000000021</v>
      </c>
      <c r="T56" s="142">
        <f t="shared" si="6"/>
        <v>0.21665290240000035</v>
      </c>
      <c r="U56" s="142">
        <f t="shared" si="6"/>
        <v>0.26531901849600037</v>
      </c>
      <c r="V56" s="142">
        <f t="shared" si="6"/>
        <v>0.31593177923584048</v>
      </c>
    </row>
    <row r="57" spans="1:24">
      <c r="A57" s="260"/>
      <c r="B57" s="2" t="s">
        <v>90</v>
      </c>
      <c r="F57" s="2" t="s">
        <v>60</v>
      </c>
      <c r="M57" s="143"/>
      <c r="N57" s="143"/>
      <c r="O57" s="143"/>
      <c r="P57" s="143"/>
      <c r="Q57" s="102">
        <f>Q50</f>
        <v>4.0000000000000036E-2</v>
      </c>
      <c r="R57" s="142">
        <f>(1+Q57)*(1+R$50)-1</f>
        <v>8.1600000000000117E-2</v>
      </c>
      <c r="S57" s="142">
        <f t="shared" si="6"/>
        <v>0.12486400000000009</v>
      </c>
      <c r="T57" s="142">
        <f t="shared" si="6"/>
        <v>0.16985856000000021</v>
      </c>
      <c r="U57" s="142">
        <f t="shared" si="6"/>
        <v>0.21665290240000035</v>
      </c>
      <c r="V57" s="142">
        <f t="shared" si="6"/>
        <v>0.26531901849600037</v>
      </c>
    </row>
    <row r="58" spans="1:24">
      <c r="A58" s="260"/>
      <c r="B58" s="2" t="s">
        <v>91</v>
      </c>
      <c r="F58" s="2" t="s">
        <v>60</v>
      </c>
      <c r="M58" s="143"/>
      <c r="N58" s="143"/>
      <c r="O58" s="143"/>
      <c r="P58" s="143"/>
      <c r="Q58" s="143"/>
      <c r="R58" s="102">
        <f>R50</f>
        <v>4.0000000000000036E-2</v>
      </c>
      <c r="S58" s="142">
        <f>(1+R58)*(1+S$50)-1</f>
        <v>8.1600000000000117E-2</v>
      </c>
      <c r="T58" s="142">
        <f>(1+S58)*(1+T$50)-1</f>
        <v>0.12486400000000009</v>
      </c>
      <c r="U58" s="142">
        <f t="shared" si="6"/>
        <v>0.16985856000000021</v>
      </c>
      <c r="V58" s="142">
        <f t="shared" si="6"/>
        <v>0.21665290240000035</v>
      </c>
    </row>
    <row r="59" spans="1:24">
      <c r="A59" s="260"/>
      <c r="B59" s="2" t="s">
        <v>92</v>
      </c>
      <c r="F59" s="2" t="s">
        <v>60</v>
      </c>
      <c r="M59" s="143"/>
      <c r="N59" s="143"/>
      <c r="O59" s="143"/>
      <c r="P59" s="143"/>
      <c r="Q59" s="143"/>
      <c r="R59" s="143"/>
      <c r="S59" s="102">
        <f>S50</f>
        <v>4.0000000000000036E-2</v>
      </c>
      <c r="T59" s="142">
        <f>(1+S59)*(1+T$50)-1</f>
        <v>8.1600000000000117E-2</v>
      </c>
      <c r="U59" s="142">
        <f t="shared" si="6"/>
        <v>0.12486400000000009</v>
      </c>
      <c r="V59" s="142">
        <f t="shared" si="6"/>
        <v>0.16985856000000021</v>
      </c>
    </row>
    <row r="60" spans="1:24">
      <c r="A60" s="260"/>
      <c r="B60" s="2" t="s">
        <v>139</v>
      </c>
      <c r="F60" s="2" t="s">
        <v>60</v>
      </c>
      <c r="M60" s="143"/>
      <c r="N60" s="143"/>
      <c r="O60" s="143"/>
      <c r="P60" s="143"/>
      <c r="Q60" s="143"/>
      <c r="R60" s="143"/>
      <c r="S60" s="143"/>
      <c r="T60" s="102">
        <f>T50</f>
        <v>4.0000000000000036E-2</v>
      </c>
      <c r="U60" s="142">
        <f>(1+T60)*(1+U$50)-1</f>
        <v>8.1600000000000117E-2</v>
      </c>
      <c r="V60" s="142">
        <f t="shared" si="6"/>
        <v>0.12486400000000009</v>
      </c>
    </row>
    <row r="61" spans="1:24">
      <c r="A61" s="260"/>
      <c r="B61" s="206" t="s">
        <v>297</v>
      </c>
      <c r="F61" s="212" t="s">
        <v>60</v>
      </c>
      <c r="M61" s="143"/>
      <c r="N61" s="143"/>
      <c r="O61" s="143"/>
      <c r="P61" s="143"/>
      <c r="Q61" s="143"/>
      <c r="R61" s="143"/>
      <c r="S61" s="143"/>
      <c r="T61" s="143"/>
      <c r="U61" s="102">
        <f>U50</f>
        <v>4.0000000000000036E-2</v>
      </c>
      <c r="V61" s="142">
        <f t="shared" si="6"/>
        <v>8.1600000000000117E-2</v>
      </c>
    </row>
    <row r="62" spans="1:24" s="259" customFormat="1">
      <c r="A62" s="260"/>
      <c r="B62" s="259" t="s">
        <v>477</v>
      </c>
      <c r="F62" s="259" t="s">
        <v>60</v>
      </c>
      <c r="M62" s="143"/>
      <c r="N62" s="143"/>
      <c r="O62" s="143"/>
      <c r="P62" s="143"/>
      <c r="Q62" s="143"/>
      <c r="R62" s="143"/>
      <c r="S62" s="143"/>
      <c r="T62" s="143"/>
      <c r="U62" s="14"/>
      <c r="V62" s="102">
        <f>V50</f>
        <v>4.0000000000000036E-2</v>
      </c>
    </row>
    <row r="63" spans="1:24" s="206" customFormat="1">
      <c r="A63" s="260"/>
    </row>
    <row r="64" spans="1:24" s="190" customFormat="1">
      <c r="A64" s="260"/>
      <c r="B64" s="190" t="s">
        <v>479</v>
      </c>
      <c r="F64" s="190" t="s">
        <v>60</v>
      </c>
      <c r="H64" s="142">
        <f>(1+U20)^(1/4)*(1+U21)^(1/4)*(1+U22)^(1/4)*(1+U23)^(1/4)*(1+V20)^(1/4)*(1+V21)^(1/4)-1</f>
        <v>6.0596058827298904E-2</v>
      </c>
    </row>
    <row r="65" spans="1:24" s="190" customFormat="1">
      <c r="A65" s="260"/>
    </row>
    <row r="66" spans="1:24" s="7" customFormat="1">
      <c r="A66" s="184"/>
      <c r="B66" s="7" t="s">
        <v>97</v>
      </c>
    </row>
    <row r="67" spans="1:24">
      <c r="A67" s="260"/>
    </row>
    <row r="68" spans="1:24">
      <c r="A68" s="260"/>
      <c r="B68" s="1" t="s">
        <v>98</v>
      </c>
    </row>
    <row r="69" spans="1:24">
      <c r="A69" s="260"/>
      <c r="B69" s="2" t="s">
        <v>99</v>
      </c>
      <c r="O69" s="43">
        <f t="shared" ref="O69:V69" si="7">O11</f>
        <v>2014</v>
      </c>
      <c r="P69" s="43">
        <f t="shared" si="7"/>
        <v>2015</v>
      </c>
      <c r="Q69" s="43">
        <f t="shared" si="7"/>
        <v>2016</v>
      </c>
      <c r="R69" s="43">
        <f t="shared" si="7"/>
        <v>2017</v>
      </c>
      <c r="S69" s="43">
        <f t="shared" si="7"/>
        <v>2018</v>
      </c>
      <c r="T69" s="43">
        <f t="shared" si="7"/>
        <v>2019</v>
      </c>
      <c r="U69" s="43">
        <f t="shared" si="7"/>
        <v>2020</v>
      </c>
      <c r="V69" s="43">
        <f t="shared" si="7"/>
        <v>2021</v>
      </c>
    </row>
    <row r="70" spans="1:24">
      <c r="A70" s="260"/>
    </row>
    <row r="71" spans="1:24">
      <c r="A71" s="260"/>
      <c r="B71" s="2" t="s">
        <v>140</v>
      </c>
      <c r="F71" s="2" t="s">
        <v>60</v>
      </c>
      <c r="O71" s="91">
        <f>H$26</f>
        <v>1.0999999999999999E-2</v>
      </c>
      <c r="P71" s="59">
        <f>(1+O71)*(1+H$26)-1</f>
        <v>2.2120999999999835E-2</v>
      </c>
      <c r="Q71" s="59">
        <f>(1+P71)*(1+H$26)-1</f>
        <v>3.3364330999999803E-2</v>
      </c>
      <c r="R71" s="59">
        <f>(1+Q71)*(1+H$27)-1</f>
        <v>3.3364330999999803E-2</v>
      </c>
      <c r="S71" s="59">
        <f>(1+R71)*(1+H$27)-1</f>
        <v>3.3364330999999803E-2</v>
      </c>
      <c r="T71" s="59">
        <f>(1+S71)*(1+H$27)-1</f>
        <v>3.3364330999999803E-2</v>
      </c>
      <c r="U71" s="59">
        <f>(1+T71)*(1+H$27)-1</f>
        <v>3.3364330999999803E-2</v>
      </c>
      <c r="V71" s="59">
        <f>(1+U71)*(1+H$27)-1</f>
        <v>3.3364330999999803E-2</v>
      </c>
      <c r="X71" s="5"/>
    </row>
    <row r="72" spans="1:24">
      <c r="A72" s="260"/>
      <c r="B72" s="2" t="s">
        <v>100</v>
      </c>
      <c r="F72" s="2" t="s">
        <v>60</v>
      </c>
      <c r="O72" s="14"/>
      <c r="P72" s="91">
        <f>H$26</f>
        <v>1.0999999999999999E-2</v>
      </c>
      <c r="Q72" s="59">
        <f>(1+P72)*(1+H$26)-1</f>
        <v>2.2120999999999835E-2</v>
      </c>
      <c r="R72" s="59">
        <f t="shared" ref="R72:R73" si="8">(1+Q72)*(1+H$27)-1</f>
        <v>2.2120999999999835E-2</v>
      </c>
      <c r="S72" s="59">
        <f t="shared" ref="S72:S74" si="9">(1+R72)*(1+H$27)-1</f>
        <v>2.2120999999999835E-2</v>
      </c>
      <c r="T72" s="59">
        <f t="shared" ref="T72:T75" si="10">(1+S72)*(1+H$27)-1</f>
        <v>2.2120999999999835E-2</v>
      </c>
      <c r="U72" s="59">
        <f t="shared" ref="U72:U76" si="11">(1+T72)*(1+H$27)-1</f>
        <v>2.2120999999999835E-2</v>
      </c>
      <c r="V72" s="59">
        <f t="shared" ref="V72:V77" si="12">(1+U72)*(1+H$27)-1</f>
        <v>2.2120999999999835E-2</v>
      </c>
      <c r="X72" s="5"/>
    </row>
    <row r="73" spans="1:24">
      <c r="A73" s="260"/>
      <c r="B73" s="2" t="s">
        <v>101</v>
      </c>
      <c r="F73" s="2" t="s">
        <v>60</v>
      </c>
      <c r="O73" s="14"/>
      <c r="P73" s="14"/>
      <c r="Q73" s="91">
        <f>H$26</f>
        <v>1.0999999999999999E-2</v>
      </c>
      <c r="R73" s="88">
        <f t="shared" si="8"/>
        <v>1.0999999999999899E-2</v>
      </c>
      <c r="S73" s="88">
        <f t="shared" si="9"/>
        <v>1.0999999999999899E-2</v>
      </c>
      <c r="T73" s="88">
        <f t="shared" si="10"/>
        <v>1.0999999999999899E-2</v>
      </c>
      <c r="U73" s="88">
        <f t="shared" si="11"/>
        <v>1.0999999999999899E-2</v>
      </c>
      <c r="V73" s="88">
        <f t="shared" si="12"/>
        <v>1.0999999999999899E-2</v>
      </c>
    </row>
    <row r="74" spans="1:24">
      <c r="A74" s="260"/>
      <c r="B74" s="2" t="s">
        <v>102</v>
      </c>
      <c r="F74" s="2" t="s">
        <v>60</v>
      </c>
      <c r="O74" s="14"/>
      <c r="P74" s="14"/>
      <c r="Q74" s="14"/>
      <c r="R74" s="91">
        <f>H$27</f>
        <v>0</v>
      </c>
      <c r="S74" s="88">
        <f t="shared" si="9"/>
        <v>0</v>
      </c>
      <c r="T74" s="88">
        <f t="shared" si="10"/>
        <v>0</v>
      </c>
      <c r="U74" s="88">
        <f t="shared" si="11"/>
        <v>0</v>
      </c>
      <c r="V74" s="88">
        <f t="shared" si="12"/>
        <v>0</v>
      </c>
    </row>
    <row r="75" spans="1:24">
      <c r="A75" s="260"/>
      <c r="B75" s="2" t="s">
        <v>103</v>
      </c>
      <c r="F75" s="2" t="s">
        <v>60</v>
      </c>
      <c r="O75" s="14"/>
      <c r="P75" s="14"/>
      <c r="Q75" s="14"/>
      <c r="R75" s="14"/>
      <c r="S75" s="91">
        <f>H$27</f>
        <v>0</v>
      </c>
      <c r="T75" s="88">
        <f t="shared" si="10"/>
        <v>0</v>
      </c>
      <c r="U75" s="88">
        <f t="shared" si="11"/>
        <v>0</v>
      </c>
      <c r="V75" s="88">
        <f t="shared" si="12"/>
        <v>0</v>
      </c>
    </row>
    <row r="76" spans="1:24">
      <c r="A76" s="260"/>
      <c r="B76" s="2" t="s">
        <v>104</v>
      </c>
      <c r="F76" s="2" t="s">
        <v>60</v>
      </c>
      <c r="O76" s="14"/>
      <c r="P76" s="14"/>
      <c r="Q76" s="14"/>
      <c r="R76" s="14"/>
      <c r="S76" s="14"/>
      <c r="T76" s="91">
        <f>H$27</f>
        <v>0</v>
      </c>
      <c r="U76" s="88">
        <f t="shared" si="11"/>
        <v>0</v>
      </c>
      <c r="V76" s="88">
        <f t="shared" si="12"/>
        <v>0</v>
      </c>
    </row>
    <row r="77" spans="1:24">
      <c r="A77" s="260"/>
      <c r="B77" s="2" t="s">
        <v>105</v>
      </c>
      <c r="F77" s="2" t="s">
        <v>60</v>
      </c>
      <c r="O77" s="14"/>
      <c r="P77" s="14"/>
      <c r="Q77" s="14"/>
      <c r="R77" s="14"/>
      <c r="S77" s="14"/>
      <c r="T77" s="14"/>
      <c r="U77" s="91">
        <f>H$27</f>
        <v>0</v>
      </c>
      <c r="V77" s="88">
        <f t="shared" si="12"/>
        <v>0</v>
      </c>
    </row>
    <row r="78" spans="1:24">
      <c r="A78" s="260"/>
      <c r="B78" s="2" t="s">
        <v>106</v>
      </c>
      <c r="F78" s="2" t="s">
        <v>60</v>
      </c>
      <c r="O78" s="14"/>
      <c r="P78" s="14"/>
      <c r="Q78" s="14"/>
      <c r="R78" s="14"/>
      <c r="S78" s="14"/>
      <c r="T78" s="14"/>
      <c r="U78" s="14"/>
      <c r="V78" s="91">
        <f>H$27</f>
        <v>0</v>
      </c>
    </row>
  </sheetData>
  <mergeCells count="1">
    <mergeCell ref="B4:E9"/>
  </mergeCells>
  <pageMargins left="0.7" right="0.7" top="0.75" bottom="0.75" header="0.3" footer="0.3"/>
  <pageSetup paperSize="8" scale="43" orientation="portrait" r:id="rId1"/>
  <colBreaks count="2" manualBreakCount="2">
    <brk id="7" max="70" man="1"/>
    <brk id="22" max="1048575" man="1"/>
  </colBreaks>
  <ignoredErrors>
    <ignoredError sqref="V4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tabColor rgb="FFFFFFCC"/>
    <pageSetUpPr autoPageBreaks="0"/>
  </sheetPr>
  <dimension ref="A2:Z56"/>
  <sheetViews>
    <sheetView showGridLines="0" zoomScale="85" zoomScaleNormal="85" workbookViewId="0">
      <pane xSplit="6" ySplit="11" topLeftCell="G12" activePane="bottomRight" state="frozen"/>
      <selection pane="topRight"/>
      <selection pane="bottomLeft"/>
      <selection pane="bottomRight"/>
    </sheetView>
  </sheetViews>
  <sheetFormatPr defaultColWidth="9.140625" defaultRowHeight="12.75" outlineLevelCol="1"/>
  <cols>
    <col min="1" max="1" width="4" style="81" customWidth="1"/>
    <col min="2" max="2" width="68" style="81" customWidth="1"/>
    <col min="3" max="5" width="4.5703125" style="81" customWidth="1"/>
    <col min="6" max="6" width="11.7109375" style="81" customWidth="1"/>
    <col min="7" max="7" width="2.7109375" style="81" customWidth="1"/>
    <col min="8" max="8" width="13.7109375" style="81" customWidth="1"/>
    <col min="9" max="9" width="2.7109375" style="81" customWidth="1"/>
    <col min="10" max="10" width="13.7109375" style="81" customWidth="1"/>
    <col min="11" max="11" width="2.7109375" style="81" customWidth="1"/>
    <col min="12" max="16" width="13.7109375" style="81" hidden="1" customWidth="1" outlineLevel="1"/>
    <col min="17" max="17" width="13.7109375" style="81" customWidth="1" collapsed="1"/>
    <col min="18" max="23" width="13.7109375" style="81" customWidth="1"/>
    <col min="24" max="24" width="2.7109375" style="81" customWidth="1"/>
    <col min="25" max="36" width="13.7109375" style="81" customWidth="1"/>
    <col min="37" max="16384" width="9.140625" style="81"/>
  </cols>
  <sheetData>
    <row r="2" spans="1:26" s="20" customFormat="1" ht="18">
      <c r="A2" s="154"/>
      <c r="B2" s="71" t="s">
        <v>231</v>
      </c>
      <c r="Y2" s="224"/>
    </row>
    <row r="3" spans="1:26">
      <c r="A3" s="192"/>
    </row>
    <row r="4" spans="1:26" ht="12.75" customHeight="1">
      <c r="A4" s="192"/>
      <c r="B4" s="306" t="s">
        <v>527</v>
      </c>
      <c r="C4" s="306"/>
      <c r="D4" s="306"/>
      <c r="E4" s="306"/>
      <c r="F4" s="306"/>
      <c r="G4" s="265"/>
      <c r="H4" s="265"/>
      <c r="I4" s="265"/>
      <c r="J4" s="265"/>
    </row>
    <row r="5" spans="1:26">
      <c r="A5" s="192"/>
      <c r="B5" s="306"/>
      <c r="C5" s="306"/>
      <c r="D5" s="306"/>
      <c r="E5" s="306"/>
      <c r="F5" s="306"/>
      <c r="G5" s="265"/>
      <c r="H5" s="265"/>
      <c r="I5" s="265"/>
      <c r="J5" s="265"/>
      <c r="Y5" s="208"/>
    </row>
    <row r="6" spans="1:26">
      <c r="A6" s="192"/>
      <c r="B6" s="306"/>
      <c r="C6" s="306"/>
      <c r="D6" s="306"/>
      <c r="E6" s="306"/>
      <c r="F6" s="306"/>
      <c r="G6" s="265"/>
      <c r="H6" s="265"/>
      <c r="I6" s="265"/>
      <c r="J6" s="265"/>
    </row>
    <row r="7" spans="1:26">
      <c r="A7" s="192"/>
      <c r="B7" s="306"/>
      <c r="C7" s="306"/>
      <c r="D7" s="306"/>
      <c r="E7" s="306"/>
      <c r="F7" s="306"/>
      <c r="G7" s="265"/>
      <c r="H7" s="265"/>
      <c r="I7" s="265"/>
      <c r="J7" s="265"/>
    </row>
    <row r="8" spans="1:26">
      <c r="A8" s="192"/>
      <c r="B8" s="306"/>
      <c r="C8" s="306"/>
      <c r="D8" s="306"/>
      <c r="E8" s="306"/>
      <c r="F8" s="306"/>
      <c r="G8" s="265"/>
      <c r="H8" s="265"/>
      <c r="I8" s="265"/>
      <c r="J8" s="265"/>
    </row>
    <row r="9" spans="1:26" s="266" customFormat="1">
      <c r="A9" s="192"/>
      <c r="B9" s="268"/>
      <c r="C9" s="268"/>
      <c r="D9" s="268"/>
      <c r="E9" s="268"/>
      <c r="F9" s="268"/>
      <c r="G9" s="268"/>
      <c r="H9" s="268"/>
      <c r="I9" s="268"/>
      <c r="J9" s="268"/>
    </row>
    <row r="10" spans="1:26" s="85" customFormat="1">
      <c r="A10" s="184"/>
      <c r="B10" s="85" t="s">
        <v>44</v>
      </c>
      <c r="F10" s="85" t="s">
        <v>26</v>
      </c>
      <c r="H10" s="85" t="s">
        <v>27</v>
      </c>
      <c r="J10" s="85" t="s">
        <v>48</v>
      </c>
      <c r="L10" s="72">
        <v>2011</v>
      </c>
      <c r="M10" s="72">
        <v>2012</v>
      </c>
      <c r="N10" s="72">
        <v>2013</v>
      </c>
      <c r="O10" s="72">
        <v>2014</v>
      </c>
      <c r="P10" s="72">
        <v>2015</v>
      </c>
      <c r="Q10" s="72">
        <v>2016</v>
      </c>
      <c r="R10" s="72">
        <v>2017</v>
      </c>
      <c r="S10" s="72">
        <v>2018</v>
      </c>
      <c r="T10" s="72">
        <v>2019</v>
      </c>
      <c r="U10" s="72">
        <v>2020</v>
      </c>
      <c r="V10" s="72">
        <v>2021</v>
      </c>
      <c r="W10" s="72"/>
      <c r="Y10" s="85" t="s">
        <v>46</v>
      </c>
      <c r="Z10" s="35"/>
    </row>
    <row r="13" spans="1:26" s="85" customFormat="1">
      <c r="A13" s="184"/>
      <c r="B13" s="85" t="s">
        <v>47</v>
      </c>
      <c r="Y13" s="35"/>
    </row>
    <row r="14" spans="1:26">
      <c r="A14" s="192"/>
    </row>
    <row r="15" spans="1:26">
      <c r="A15" s="192"/>
      <c r="B15" s="81" t="s">
        <v>157</v>
      </c>
      <c r="F15" s="81" t="s">
        <v>60</v>
      </c>
      <c r="J15" s="8"/>
      <c r="R15" s="91">
        <f>'Tab 9_Parameters'!R17</f>
        <v>2E-3</v>
      </c>
      <c r="S15" s="91">
        <f>'Tab 9_Parameters'!S17</f>
        <v>1.4E-2</v>
      </c>
      <c r="T15" s="91">
        <f>'Tab 9_Parameters'!T17</f>
        <v>2.1000000000000001E-2</v>
      </c>
      <c r="U15" s="91">
        <f>'Tab 9_Parameters'!U17</f>
        <v>2.8000000000000001E-2</v>
      </c>
      <c r="V15" s="91">
        <f>'Tab 9_Parameters'!V17</f>
        <v>7.0000000000000001E-3</v>
      </c>
    </row>
    <row r="16" spans="1:26">
      <c r="A16" s="192"/>
      <c r="J16" s="8"/>
      <c r="R16" s="90"/>
      <c r="S16" s="90"/>
      <c r="T16" s="90"/>
      <c r="U16" s="90"/>
      <c r="V16" s="90"/>
    </row>
    <row r="17" spans="1:25">
      <c r="A17" s="192"/>
      <c r="B17" s="39" t="s">
        <v>74</v>
      </c>
      <c r="H17" s="249">
        <f>'Tab 9_Parameters'!H47</f>
        <v>-0.15</v>
      </c>
      <c r="S17" s="93"/>
      <c r="T17" s="93"/>
      <c r="U17" s="93"/>
      <c r="V17" s="93"/>
    </row>
    <row r="18" spans="1:25">
      <c r="A18" s="192"/>
    </row>
    <row r="19" spans="1:25">
      <c r="A19" s="192"/>
      <c r="B19" s="181" t="s">
        <v>528</v>
      </c>
      <c r="Y19" s="208"/>
    </row>
    <row r="20" spans="1:25">
      <c r="A20" s="192"/>
      <c r="B20" s="8" t="s">
        <v>132</v>
      </c>
      <c r="F20" s="81" t="s">
        <v>494</v>
      </c>
      <c r="J20" s="187"/>
      <c r="Q20" s="248">
        <f>'Tab 10_Brondata'!Q13</f>
        <v>100985882.14767185</v>
      </c>
    </row>
    <row r="21" spans="1:25">
      <c r="A21" s="192"/>
      <c r="B21" s="8" t="s">
        <v>133</v>
      </c>
      <c r="F21" s="266" t="s">
        <v>494</v>
      </c>
      <c r="J21" s="187"/>
      <c r="Q21" s="248">
        <f>'Tab 10_Brondata'!Q14</f>
        <v>38077861.317479417</v>
      </c>
    </row>
    <row r="22" spans="1:25">
      <c r="A22" s="192"/>
      <c r="B22" s="8" t="s">
        <v>134</v>
      </c>
      <c r="F22" s="266" t="s">
        <v>494</v>
      </c>
      <c r="J22" s="187"/>
      <c r="Q22" s="248">
        <f>'Tab 10_Brondata'!Q15</f>
        <v>268992955.67695087</v>
      </c>
    </row>
    <row r="23" spans="1:25">
      <c r="A23" s="192"/>
      <c r="B23" s="8" t="s">
        <v>135</v>
      </c>
      <c r="F23" s="266" t="s">
        <v>494</v>
      </c>
      <c r="J23" s="187"/>
      <c r="Q23" s="248">
        <f>'Tab 10_Brondata'!Q16</f>
        <v>32839100.114819307</v>
      </c>
    </row>
    <row r="24" spans="1:25">
      <c r="A24" s="192"/>
      <c r="B24" s="81" t="s">
        <v>131</v>
      </c>
      <c r="F24" s="266" t="s">
        <v>494</v>
      </c>
      <c r="J24" s="187"/>
      <c r="Q24" s="248">
        <f>'Tab 10_Brondata'!Q17</f>
        <v>440895799.25692141</v>
      </c>
      <c r="Y24" s="83"/>
    </row>
    <row r="25" spans="1:25">
      <c r="A25" s="192"/>
      <c r="J25" s="33"/>
    </row>
    <row r="26" spans="1:25" s="85" customFormat="1">
      <c r="A26" s="184"/>
      <c r="B26" s="85" t="s">
        <v>530</v>
      </c>
      <c r="Y26" s="35"/>
    </row>
    <row r="28" spans="1:25" s="226" customFormat="1">
      <c r="A28" s="192"/>
      <c r="B28" s="181" t="s">
        <v>529</v>
      </c>
    </row>
    <row r="29" spans="1:25">
      <c r="A29" s="192"/>
      <c r="B29" s="81" t="s">
        <v>132</v>
      </c>
      <c r="F29" s="81" t="s">
        <v>494</v>
      </c>
      <c r="R29" s="37">
        <f>(1+((R$15*100)-$H$17)/100)*$Q20</f>
        <v>101339332.73518871</v>
      </c>
      <c r="S29" s="37">
        <f>(1+((S$15*100)-$H$17)/100)*R29</f>
        <v>102910092.39258415</v>
      </c>
      <c r="T29" s="37">
        <f t="shared" ref="T29:U29" si="0">(1+((T$15*100)-$H$17)/100)*S29</f>
        <v>105225569.47141728</v>
      </c>
      <c r="U29" s="37">
        <f t="shared" si="0"/>
        <v>108329723.77082409</v>
      </c>
      <c r="V29" s="38">
        <f>(1+((V$15*100)-$H$17)/100)*U29</f>
        <v>109250526.42287609</v>
      </c>
    </row>
    <row r="30" spans="1:25">
      <c r="A30" s="192"/>
      <c r="B30" s="81" t="s">
        <v>133</v>
      </c>
      <c r="F30" s="266" t="s">
        <v>494</v>
      </c>
      <c r="R30" s="37">
        <f>(1+((R$15*100)-$H$17)/100)*$Q21</f>
        <v>38211133.832090594</v>
      </c>
      <c r="S30" s="37">
        <f t="shared" ref="S30:V33" si="1">(1+((S$15*100)-$H$17)/100)*R30</f>
        <v>38803406.406488001</v>
      </c>
      <c r="T30" s="37">
        <f t="shared" si="1"/>
        <v>39676483.050633982</v>
      </c>
      <c r="U30" s="37">
        <f t="shared" si="1"/>
        <v>40846939.300627686</v>
      </c>
      <c r="V30" s="38">
        <f t="shared" si="1"/>
        <v>41194138.284683019</v>
      </c>
      <c r="Y30" s="202"/>
    </row>
    <row r="31" spans="1:25">
      <c r="A31" s="192"/>
      <c r="B31" s="81" t="s">
        <v>134</v>
      </c>
      <c r="F31" s="266" t="s">
        <v>494</v>
      </c>
      <c r="R31" s="37">
        <f>(1+((R$15*100)-$H$17)/100)*$Q22</f>
        <v>269934431.02182019</v>
      </c>
      <c r="S31" s="37">
        <f t="shared" si="1"/>
        <v>274118414.70265841</v>
      </c>
      <c r="T31" s="37">
        <f t="shared" si="1"/>
        <v>280286079.03346825</v>
      </c>
      <c r="U31" s="37">
        <f t="shared" si="1"/>
        <v>288554518.3649556</v>
      </c>
      <c r="V31" s="38">
        <f t="shared" si="1"/>
        <v>291007231.77105772</v>
      </c>
      <c r="Y31" s="202"/>
    </row>
    <row r="32" spans="1:25">
      <c r="A32" s="192"/>
      <c r="B32" s="8" t="s">
        <v>135</v>
      </c>
      <c r="F32" s="266" t="s">
        <v>494</v>
      </c>
      <c r="R32" s="37">
        <f>(1+((R$15*100)-$H$17)/100)*$Q23</f>
        <v>32954036.965221178</v>
      </c>
      <c r="S32" s="37">
        <f t="shared" si="1"/>
        <v>33464824.53818211</v>
      </c>
      <c r="T32" s="37">
        <f t="shared" si="1"/>
        <v>34217783.09029121</v>
      </c>
      <c r="U32" s="37">
        <f t="shared" si="1"/>
        <v>35227207.691454805</v>
      </c>
      <c r="V32" s="38">
        <f t="shared" si="1"/>
        <v>35526638.95683217</v>
      </c>
      <c r="Y32" s="202"/>
    </row>
    <row r="33" spans="1:25">
      <c r="A33" s="192"/>
      <c r="B33" s="8" t="s">
        <v>173</v>
      </c>
      <c r="F33" s="266" t="s">
        <v>494</v>
      </c>
      <c r="R33" s="37">
        <f>(1+((R$15*100)-$H$17)/100)*$Q24</f>
        <v>442438934.55432063</v>
      </c>
      <c r="S33" s="37">
        <f t="shared" si="1"/>
        <v>449296738.03991264</v>
      </c>
      <c r="T33" s="37">
        <f t="shared" si="1"/>
        <v>459405914.64581066</v>
      </c>
      <c r="U33" s="37">
        <f t="shared" si="1"/>
        <v>472958389.1278621</v>
      </c>
      <c r="V33" s="37">
        <f t="shared" si="1"/>
        <v>476978535.43544888</v>
      </c>
      <c r="Y33" s="202"/>
    </row>
    <row r="34" spans="1:25" s="212" customFormat="1">
      <c r="A34" s="192"/>
      <c r="B34" s="192"/>
    </row>
    <row r="36" spans="1:25">
      <c r="Q36" s="223"/>
      <c r="R36" s="100"/>
      <c r="S36" s="100"/>
      <c r="T36" s="100"/>
      <c r="U36" s="100"/>
    </row>
    <row r="37" spans="1:25">
      <c r="Q37" s="223"/>
      <c r="R37" s="192"/>
      <c r="S37" s="192"/>
      <c r="T37" s="192"/>
      <c r="U37" s="192"/>
    </row>
    <row r="38" spans="1:25">
      <c r="Q38" s="223"/>
      <c r="R38" s="192"/>
      <c r="S38" s="192"/>
      <c r="T38" s="192"/>
      <c r="U38" s="192"/>
    </row>
    <row r="39" spans="1:25">
      <c r="Q39" s="223"/>
      <c r="R39" s="243"/>
      <c r="S39" s="243"/>
      <c r="T39" s="192"/>
      <c r="U39" s="244"/>
    </row>
    <row r="40" spans="1:25" s="217" customFormat="1">
      <c r="Q40" s="223"/>
      <c r="R40" s="192"/>
      <c r="S40" s="192"/>
      <c r="T40" s="192"/>
      <c r="U40" s="244"/>
    </row>
    <row r="41" spans="1:25">
      <c r="Q41" s="223"/>
      <c r="R41" s="192"/>
      <c r="S41" s="192"/>
      <c r="T41" s="192"/>
      <c r="U41" s="244"/>
    </row>
    <row r="42" spans="1:25">
      <c r="Q42" s="223"/>
      <c r="R42" s="192"/>
      <c r="S42" s="192"/>
      <c r="T42" s="192"/>
      <c r="U42" s="244"/>
    </row>
    <row r="43" spans="1:25">
      <c r="Q43" s="223"/>
      <c r="R43" s="192"/>
      <c r="S43" s="192"/>
      <c r="T43" s="192"/>
      <c r="U43" s="100"/>
    </row>
    <row r="44" spans="1:25">
      <c r="Q44" s="223"/>
      <c r="R44" s="223"/>
      <c r="S44" s="223"/>
    </row>
    <row r="45" spans="1:25">
      <c r="Q45" s="223"/>
      <c r="R45" s="46"/>
      <c r="S45" s="46"/>
      <c r="T45" s="46"/>
    </row>
    <row r="46" spans="1:25">
      <c r="Q46" s="223"/>
      <c r="R46" s="46"/>
      <c r="S46" s="46"/>
      <c r="T46" s="46"/>
    </row>
    <row r="47" spans="1:25">
      <c r="Q47" s="223"/>
      <c r="R47" s="46"/>
      <c r="S47" s="46"/>
      <c r="T47" s="46"/>
    </row>
    <row r="48" spans="1:25">
      <c r="Q48" s="223"/>
      <c r="R48" s="46"/>
      <c r="S48" s="46"/>
      <c r="T48" s="46"/>
    </row>
    <row r="49" spans="17:21">
      <c r="Q49" s="223"/>
      <c r="R49" s="46"/>
      <c r="S49" s="46"/>
      <c r="T49" s="46"/>
    </row>
    <row r="50" spans="17:21">
      <c r="Q50" s="223"/>
      <c r="R50" s="223"/>
      <c r="S50" s="223"/>
    </row>
    <row r="52" spans="17:21">
      <c r="U52" s="46"/>
    </row>
    <row r="53" spans="17:21">
      <c r="U53" s="46"/>
    </row>
    <row r="54" spans="17:21">
      <c r="U54" s="46"/>
    </row>
    <row r="55" spans="17:21">
      <c r="U55" s="46"/>
    </row>
    <row r="56" spans="17:21">
      <c r="U56" s="46"/>
    </row>
  </sheetData>
  <mergeCells count="1">
    <mergeCell ref="B4:F8"/>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tabColor rgb="FFFFFFCC"/>
    <pageSetUpPr autoPageBreaks="0"/>
  </sheetPr>
  <dimension ref="A1:Y85"/>
  <sheetViews>
    <sheetView showGridLines="0" zoomScale="85" zoomScaleNormal="85" workbookViewId="0">
      <pane xSplit="6" ySplit="14" topLeftCell="G15" activePane="bottomRight" state="frozen"/>
      <selection pane="topRight" activeCell="G1" sqref="G1"/>
      <selection pane="bottomLeft" activeCell="A14" sqref="A14"/>
      <selection pane="bottomRight"/>
    </sheetView>
  </sheetViews>
  <sheetFormatPr defaultColWidth="9.140625" defaultRowHeight="12.75" outlineLevelCol="1"/>
  <cols>
    <col min="1" max="1" width="4" style="2" customWidth="1"/>
    <col min="2" max="2" width="75.5703125" style="2" customWidth="1"/>
    <col min="3" max="5" width="4.5703125" style="2" customWidth="1"/>
    <col min="6" max="6" width="15.28515625" style="2" customWidth="1"/>
    <col min="7" max="7" width="2.7109375" style="2" customWidth="1"/>
    <col min="8" max="8" width="13" style="2" bestFit="1" customWidth="1"/>
    <col min="9" max="9" width="2.7109375" style="2" customWidth="1"/>
    <col min="10" max="10" width="13" style="2" bestFit="1" customWidth="1"/>
    <col min="11" max="11" width="2.7109375" style="2" customWidth="1"/>
    <col min="12" max="12" width="14.7109375" style="217" hidden="1" customWidth="1" outlineLevel="1"/>
    <col min="13" max="13" width="12.5703125" style="217" hidden="1" customWidth="1" outlineLevel="1"/>
    <col min="14" max="14" width="14.7109375" style="2" hidden="1" customWidth="1" outlineLevel="1"/>
    <col min="15" max="16" width="12.5703125" style="2" hidden="1" customWidth="1" outlineLevel="1"/>
    <col min="17" max="19" width="13.7109375" style="2" hidden="1" customWidth="1" outlineLevel="1"/>
    <col min="20" max="20" width="13.7109375" style="279" customWidth="1" outlineLevel="1"/>
    <col min="21" max="23" width="13.7109375" style="2" customWidth="1"/>
    <col min="24" max="24" width="2.5703125" style="217" customWidth="1"/>
    <col min="25" max="25" width="12.7109375" style="2" customWidth="1"/>
    <col min="26" max="33" width="13.7109375" style="2" customWidth="1"/>
    <col min="34" max="16384" width="9.140625" style="2"/>
  </cols>
  <sheetData>
    <row r="1" spans="1:25">
      <c r="A1" s="8"/>
    </row>
    <row r="2" spans="1:25" s="20" customFormat="1" ht="18">
      <c r="B2" s="20" t="s">
        <v>232</v>
      </c>
      <c r="Y2" s="224"/>
    </row>
    <row r="3" spans="1:25">
      <c r="A3" s="192"/>
    </row>
    <row r="4" spans="1:25" s="81" customFormat="1" ht="12.75" customHeight="1">
      <c r="A4" s="192"/>
      <c r="B4" s="306" t="s">
        <v>672</v>
      </c>
      <c r="C4" s="306"/>
      <c r="D4" s="306"/>
      <c r="E4" s="306"/>
      <c r="F4" s="239"/>
      <c r="G4" s="239"/>
      <c r="H4" s="239"/>
      <c r="L4" s="217"/>
      <c r="M4" s="217"/>
      <c r="T4" s="279"/>
      <c r="X4" s="217"/>
    </row>
    <row r="5" spans="1:25" s="81" customFormat="1">
      <c r="A5" s="192"/>
      <c r="B5" s="306"/>
      <c r="C5" s="306"/>
      <c r="D5" s="306"/>
      <c r="E5" s="306"/>
      <c r="F5" s="239"/>
      <c r="G5" s="239"/>
      <c r="H5" s="239"/>
      <c r="L5" s="217"/>
      <c r="M5" s="217"/>
      <c r="T5" s="279"/>
      <c r="X5" s="217"/>
      <c r="Y5" s="208"/>
    </row>
    <row r="6" spans="1:25" s="81" customFormat="1">
      <c r="A6" s="192"/>
      <c r="B6" s="306"/>
      <c r="C6" s="306"/>
      <c r="D6" s="306"/>
      <c r="E6" s="306"/>
      <c r="F6" s="239"/>
      <c r="G6" s="239"/>
      <c r="H6" s="239"/>
      <c r="L6" s="217"/>
      <c r="M6" s="217"/>
      <c r="T6" s="279"/>
      <c r="X6" s="217"/>
    </row>
    <row r="7" spans="1:25" s="81" customFormat="1">
      <c r="A7" s="192"/>
      <c r="B7" s="306"/>
      <c r="C7" s="306"/>
      <c r="D7" s="306"/>
      <c r="E7" s="306"/>
      <c r="F7" s="239"/>
      <c r="G7" s="239"/>
      <c r="H7" s="239"/>
      <c r="L7" s="217"/>
      <c r="M7" s="217"/>
      <c r="T7" s="279"/>
      <c r="X7" s="217"/>
    </row>
    <row r="8" spans="1:25" s="81" customFormat="1">
      <c r="A8" s="192"/>
      <c r="B8" s="306"/>
      <c r="C8" s="306"/>
      <c r="D8" s="306"/>
      <c r="E8" s="306"/>
      <c r="F8" s="239"/>
      <c r="G8" s="239"/>
      <c r="H8" s="239"/>
      <c r="L8" s="217"/>
      <c r="M8" s="217"/>
      <c r="T8" s="279"/>
      <c r="X8" s="217"/>
    </row>
    <row r="9" spans="1:25" s="161" customFormat="1">
      <c r="A9" s="192"/>
      <c r="B9" s="306"/>
      <c r="C9" s="306"/>
      <c r="D9" s="306"/>
      <c r="E9" s="306"/>
      <c r="F9" s="239"/>
      <c r="G9" s="239"/>
      <c r="H9" s="239"/>
      <c r="L9" s="217"/>
      <c r="M9" s="217"/>
      <c r="T9" s="279"/>
      <c r="X9" s="217"/>
    </row>
    <row r="10" spans="1:25" s="281" customFormat="1">
      <c r="A10" s="192"/>
      <c r="B10" s="306"/>
      <c r="C10" s="306"/>
      <c r="D10" s="306"/>
      <c r="E10" s="306"/>
      <c r="F10" s="280"/>
      <c r="G10" s="280"/>
      <c r="H10" s="280"/>
    </row>
    <row r="11" spans="1:25" s="281" customFormat="1">
      <c r="A11" s="192"/>
      <c r="B11" s="306"/>
      <c r="C11" s="306"/>
      <c r="D11" s="306"/>
      <c r="E11" s="306"/>
      <c r="F11" s="280"/>
      <c r="G11" s="280"/>
      <c r="H11" s="280"/>
    </row>
    <row r="12" spans="1:25" s="161" customFormat="1">
      <c r="A12" s="192"/>
      <c r="B12" s="306"/>
      <c r="C12" s="306"/>
      <c r="D12" s="306"/>
      <c r="E12" s="306"/>
      <c r="F12" s="239"/>
      <c r="G12" s="239"/>
      <c r="H12" s="239"/>
      <c r="L12" s="217"/>
      <c r="M12" s="217"/>
      <c r="T12" s="279"/>
      <c r="X12" s="217"/>
    </row>
    <row r="13" spans="1:25" s="7" customFormat="1">
      <c r="B13" s="7" t="s">
        <v>44</v>
      </c>
      <c r="F13" s="7" t="s">
        <v>26</v>
      </c>
      <c r="H13" s="7" t="s">
        <v>27</v>
      </c>
      <c r="J13" s="7" t="s">
        <v>48</v>
      </c>
      <c r="L13" s="184" t="s">
        <v>332</v>
      </c>
      <c r="M13" s="184" t="s">
        <v>333</v>
      </c>
      <c r="N13" s="222">
        <v>2013</v>
      </c>
      <c r="O13" s="72">
        <v>2014</v>
      </c>
      <c r="P13" s="72">
        <v>2015</v>
      </c>
      <c r="Q13" s="72">
        <v>2016</v>
      </c>
      <c r="R13" s="72">
        <v>2017</v>
      </c>
      <c r="S13" s="72">
        <v>2018</v>
      </c>
      <c r="T13" s="72">
        <v>2018</v>
      </c>
      <c r="U13" s="72">
        <v>2019</v>
      </c>
      <c r="V13" s="72">
        <v>2020</v>
      </c>
      <c r="W13" s="72">
        <v>2021</v>
      </c>
      <c r="X13" s="184"/>
      <c r="Y13" s="7" t="s">
        <v>46</v>
      </c>
    </row>
    <row r="16" spans="1:25" s="7" customFormat="1">
      <c r="B16" s="7" t="s">
        <v>47</v>
      </c>
      <c r="L16" s="184"/>
      <c r="M16" s="184"/>
      <c r="T16" s="184"/>
      <c r="X16" s="184"/>
    </row>
    <row r="18" spans="1:24" s="216" customFormat="1">
      <c r="A18" s="192"/>
      <c r="B18" s="181" t="s">
        <v>156</v>
      </c>
      <c r="L18" s="217"/>
      <c r="M18" s="217"/>
      <c r="T18" s="279"/>
      <c r="X18" s="217"/>
    </row>
    <row r="19" spans="1:24" s="216" customFormat="1">
      <c r="A19" s="192"/>
      <c r="B19" s="216" t="s">
        <v>157</v>
      </c>
      <c r="F19" s="216" t="s">
        <v>60</v>
      </c>
      <c r="L19" s="218"/>
      <c r="M19" s="218"/>
      <c r="N19" s="218"/>
      <c r="O19" s="218"/>
      <c r="P19" s="218"/>
      <c r="Q19" s="218"/>
      <c r="R19" s="218"/>
      <c r="S19" s="218"/>
      <c r="T19" s="218"/>
      <c r="U19" s="218"/>
      <c r="V19" s="218"/>
      <c r="W19" s="91">
        <f>'Tab 12_Berekening parameters'!V17</f>
        <v>7.0000000000000001E-3</v>
      </c>
      <c r="X19" s="218"/>
    </row>
    <row r="20" spans="1:24" s="216" customFormat="1">
      <c r="A20" s="192"/>
      <c r="L20" s="217"/>
      <c r="M20" s="217"/>
      <c r="T20" s="279"/>
      <c r="X20" s="217"/>
    </row>
    <row r="21" spans="1:24" s="279" customFormat="1">
      <c r="A21" s="192"/>
      <c r="B21" s="279" t="s">
        <v>659</v>
      </c>
      <c r="F21" s="279" t="s">
        <v>60</v>
      </c>
      <c r="H21" s="91">
        <f>'Tab 12_Berekening parameters'!U42</f>
        <v>4.9587999999999965E-2</v>
      </c>
    </row>
    <row r="22" spans="1:24" s="217" customFormat="1">
      <c r="A22" s="192"/>
      <c r="B22" s="266" t="s">
        <v>533</v>
      </c>
      <c r="F22" s="266" t="s">
        <v>60</v>
      </c>
      <c r="H22" s="91">
        <f>'Tab 12_Berekening parameters'!V43</f>
        <v>3.5196000000000005E-2</v>
      </c>
      <c r="T22" s="279"/>
    </row>
    <row r="23" spans="1:24" s="266" customFormat="1">
      <c r="A23" s="192"/>
      <c r="T23" s="279"/>
    </row>
    <row r="24" spans="1:24" s="266" customFormat="1">
      <c r="A24" s="192"/>
      <c r="B24" s="181" t="s">
        <v>67</v>
      </c>
      <c r="T24" s="279"/>
    </row>
    <row r="25" spans="1:24" s="266" customFormat="1">
      <c r="A25" s="192"/>
      <c r="B25" s="266" t="s">
        <v>96</v>
      </c>
      <c r="F25" s="266" t="s">
        <v>60</v>
      </c>
      <c r="T25" s="279"/>
      <c r="W25" s="102">
        <f>'Tab 12_Berekening parameters'!V50</f>
        <v>4.0000000000000036E-2</v>
      </c>
    </row>
    <row r="26" spans="1:24" s="266" customFormat="1">
      <c r="A26" s="192"/>
      <c r="T26" s="279"/>
    </row>
    <row r="27" spans="1:24" s="217" customFormat="1">
      <c r="A27" s="192"/>
      <c r="B27" s="181" t="s">
        <v>253</v>
      </c>
      <c r="T27" s="279"/>
    </row>
    <row r="28" spans="1:24" s="216" customFormat="1">
      <c r="A28" s="192"/>
      <c r="B28" s="216" t="s">
        <v>252</v>
      </c>
      <c r="F28" s="216" t="s">
        <v>60</v>
      </c>
      <c r="L28" s="250"/>
      <c r="M28" s="250"/>
      <c r="N28" s="250"/>
      <c r="O28" s="250"/>
      <c r="P28" s="250"/>
      <c r="Q28" s="250"/>
      <c r="R28" s="218"/>
      <c r="S28" s="218"/>
      <c r="T28" s="218"/>
      <c r="U28" s="218"/>
      <c r="V28" s="91">
        <f>'Tab 9_Parameters'!U38</f>
        <v>3.3000000000000002E-2</v>
      </c>
      <c r="W28" s="91">
        <f>'Tab 9_Parameters'!V38</f>
        <v>0.03</v>
      </c>
      <c r="X28" s="217"/>
    </row>
    <row r="29" spans="1:24" s="217" customFormat="1">
      <c r="A29" s="192"/>
      <c r="T29" s="279"/>
    </row>
    <row r="30" spans="1:24" s="217" customFormat="1">
      <c r="A30" s="192"/>
      <c r="B30" s="181" t="s">
        <v>330</v>
      </c>
      <c r="T30" s="279"/>
    </row>
    <row r="31" spans="1:24" s="216" customFormat="1">
      <c r="A31" s="192"/>
      <c r="B31" s="216" t="s">
        <v>324</v>
      </c>
      <c r="F31" s="216" t="s">
        <v>60</v>
      </c>
      <c r="L31" s="217"/>
      <c r="M31" s="217"/>
      <c r="O31" s="218"/>
      <c r="P31" s="218"/>
      <c r="Q31" s="218"/>
      <c r="R31" s="218"/>
      <c r="S31" s="218"/>
      <c r="T31" s="218"/>
      <c r="U31" s="91">
        <f>'Tab 12_Berekening parameters'!T76</f>
        <v>0</v>
      </c>
      <c r="V31" s="91">
        <f>'Tab 12_Berekening parameters'!U77</f>
        <v>0</v>
      </c>
      <c r="W31" s="91">
        <f>'Tab 12_Berekening parameters'!V78</f>
        <v>0</v>
      </c>
      <c r="X31" s="218"/>
    </row>
    <row r="32" spans="1:24" s="217" customFormat="1">
      <c r="A32" s="192"/>
      <c r="T32" s="279"/>
    </row>
    <row r="33" spans="1:25" s="266" customFormat="1">
      <c r="A33" s="192"/>
      <c r="B33" s="181" t="s">
        <v>504</v>
      </c>
      <c r="T33" s="279"/>
    </row>
    <row r="34" spans="1:25" s="266" customFormat="1">
      <c r="A34" s="192"/>
      <c r="B34" s="266" t="s">
        <v>531</v>
      </c>
      <c r="H34" s="269">
        <f>'Tab 9_Parameters'!H50</f>
        <v>0.01</v>
      </c>
      <c r="T34" s="279"/>
    </row>
    <row r="35" spans="1:25" s="266" customFormat="1">
      <c r="A35" s="192"/>
      <c r="T35" s="279"/>
    </row>
    <row r="36" spans="1:25" s="217" customFormat="1">
      <c r="A36" s="192"/>
      <c r="B36" s="181" t="s">
        <v>138</v>
      </c>
      <c r="T36" s="279"/>
    </row>
    <row r="37" spans="1:25" s="217" customFormat="1">
      <c r="A37" s="192"/>
      <c r="B37" s="217" t="s">
        <v>323</v>
      </c>
      <c r="F37" s="217" t="s">
        <v>494</v>
      </c>
      <c r="T37" s="279"/>
      <c r="V37" s="188">
        <f>'Tab 10_Brondata'!U40</f>
        <v>69010269.439938113</v>
      </c>
    </row>
    <row r="38" spans="1:25" s="266" customFormat="1">
      <c r="A38" s="192"/>
      <c r="T38" s="279"/>
    </row>
    <row r="39" spans="1:25" s="217" customFormat="1">
      <c r="A39" s="192"/>
      <c r="B39" s="181" t="s">
        <v>127</v>
      </c>
      <c r="T39" s="279"/>
    </row>
    <row r="40" spans="1:25" s="217" customFormat="1">
      <c r="A40" s="192"/>
      <c r="B40" s="217" t="s">
        <v>506</v>
      </c>
      <c r="F40" s="217" t="s">
        <v>494</v>
      </c>
      <c r="P40" s="44"/>
      <c r="Q40" s="44"/>
      <c r="R40" s="44"/>
      <c r="S40" s="44"/>
      <c r="T40" s="44"/>
      <c r="U40" s="297" t="s">
        <v>777</v>
      </c>
    </row>
    <row r="41" spans="1:25" s="217" customFormat="1">
      <c r="A41" s="192"/>
      <c r="B41" s="217" t="s">
        <v>505</v>
      </c>
      <c r="F41" s="266" t="s">
        <v>494</v>
      </c>
      <c r="P41" s="44"/>
      <c r="Q41" s="44"/>
      <c r="R41" s="44"/>
      <c r="S41" s="44"/>
      <c r="T41" s="44"/>
      <c r="U41" s="297" t="s">
        <v>778</v>
      </c>
    </row>
    <row r="42" spans="1:25" s="217" customFormat="1">
      <c r="A42" s="192"/>
      <c r="B42" s="217" t="s">
        <v>507</v>
      </c>
      <c r="F42" s="266" t="s">
        <v>494</v>
      </c>
      <c r="P42" s="44"/>
      <c r="Q42" s="44"/>
      <c r="R42" s="44"/>
      <c r="S42" s="44"/>
      <c r="T42" s="44"/>
      <c r="U42" s="297" t="s">
        <v>779</v>
      </c>
    </row>
    <row r="43" spans="1:25" s="217" customFormat="1">
      <c r="A43" s="192"/>
      <c r="B43" s="217" t="s">
        <v>508</v>
      </c>
      <c r="F43" s="266" t="s">
        <v>494</v>
      </c>
      <c r="P43" s="44"/>
      <c r="Q43" s="44"/>
      <c r="R43" s="44"/>
      <c r="S43" s="44"/>
      <c r="T43" s="44"/>
      <c r="U43" s="297" t="s">
        <v>780</v>
      </c>
    </row>
    <row r="44" spans="1:25" s="217" customFormat="1">
      <c r="A44" s="192"/>
      <c r="F44" s="266"/>
      <c r="T44" s="279"/>
    </row>
    <row r="45" spans="1:25" s="216" customFormat="1">
      <c r="A45" s="192"/>
      <c r="B45" s="216" t="s">
        <v>453</v>
      </c>
      <c r="F45" s="266" t="s">
        <v>494</v>
      </c>
      <c r="L45" s="217"/>
      <c r="M45" s="217"/>
      <c r="P45" s="217"/>
      <c r="Q45" s="44"/>
      <c r="R45" s="44"/>
      <c r="S45" s="44"/>
      <c r="T45" s="44"/>
      <c r="V45" s="188">
        <f>'Tab 6_Correcties en prognoses'!U30</f>
        <v>35839262</v>
      </c>
      <c r="X45" s="217"/>
      <c r="Y45" s="208"/>
    </row>
    <row r="46" spans="1:25" s="216" customFormat="1">
      <c r="A46" s="192"/>
      <c r="F46" s="266"/>
      <c r="L46" s="217"/>
      <c r="M46" s="217"/>
      <c r="P46" s="217"/>
      <c r="Q46" s="217"/>
      <c r="R46" s="217"/>
      <c r="S46" s="217"/>
      <c r="T46" s="279"/>
      <c r="U46" s="217"/>
      <c r="X46" s="217"/>
    </row>
    <row r="47" spans="1:25">
      <c r="A47" s="192"/>
      <c r="B47" s="181" t="s">
        <v>128</v>
      </c>
      <c r="F47" s="266"/>
      <c r="P47" s="217"/>
      <c r="Q47" s="217"/>
      <c r="R47" s="217"/>
      <c r="S47" s="217"/>
      <c r="U47" s="217"/>
    </row>
    <row r="48" spans="1:25" s="216" customFormat="1">
      <c r="A48" s="236"/>
      <c r="B48" s="216" t="s">
        <v>509</v>
      </c>
      <c r="F48" s="266" t="s">
        <v>494</v>
      </c>
      <c r="L48" s="251"/>
      <c r="M48" s="251"/>
      <c r="N48" s="251"/>
      <c r="O48" s="251"/>
      <c r="P48" s="251"/>
      <c r="Q48" s="251"/>
      <c r="R48" s="251"/>
      <c r="S48" s="251"/>
      <c r="T48" s="251"/>
      <c r="U48" s="248">
        <f>'Tab 10_Brondata'!T49</f>
        <v>75132787.093038127</v>
      </c>
      <c r="X48" s="217"/>
      <c r="Y48" s="208"/>
    </row>
    <row r="49" spans="1:25" s="216" customFormat="1">
      <c r="A49" s="236"/>
      <c r="B49" s="216" t="s">
        <v>510</v>
      </c>
      <c r="F49" s="266" t="s">
        <v>494</v>
      </c>
      <c r="L49" s="251"/>
      <c r="M49" s="251"/>
      <c r="N49" s="251"/>
      <c r="O49" s="251"/>
      <c r="P49" s="251"/>
      <c r="Q49" s="251"/>
      <c r="R49" s="251"/>
      <c r="S49" s="251"/>
      <c r="T49" s="251"/>
      <c r="U49" s="248">
        <f>'Tab 10_Brondata'!T50</f>
        <v>18983111.8034807</v>
      </c>
      <c r="X49" s="217"/>
      <c r="Y49" s="208"/>
    </row>
    <row r="50" spans="1:25" s="216" customFormat="1">
      <c r="A50" s="192"/>
      <c r="B50" s="216" t="s">
        <v>511</v>
      </c>
      <c r="F50" s="266" t="s">
        <v>494</v>
      </c>
      <c r="L50" s="251"/>
      <c r="M50" s="251"/>
      <c r="N50" s="251"/>
      <c r="O50" s="251"/>
      <c r="P50" s="251"/>
      <c r="Q50" s="251"/>
      <c r="R50" s="251"/>
      <c r="S50" s="251"/>
      <c r="T50" s="251"/>
      <c r="U50" s="248">
        <f>'Tab 10_Brondata'!T51</f>
        <v>21864625.960000001</v>
      </c>
      <c r="X50" s="217"/>
    </row>
    <row r="51" spans="1:25" s="279" customFormat="1">
      <c r="A51" s="192"/>
      <c r="L51" s="251"/>
      <c r="M51" s="251"/>
      <c r="N51" s="251"/>
      <c r="O51" s="251"/>
      <c r="P51" s="251"/>
      <c r="Q51" s="251"/>
      <c r="R51" s="251"/>
      <c r="S51" s="251"/>
      <c r="T51" s="251"/>
      <c r="U51" s="282"/>
    </row>
    <row r="52" spans="1:25" s="279" customFormat="1">
      <c r="A52" s="192"/>
      <c r="B52" s="181" t="s">
        <v>669</v>
      </c>
      <c r="L52" s="251"/>
      <c r="M52" s="251"/>
      <c r="N52" s="251"/>
      <c r="O52" s="251"/>
      <c r="P52" s="251"/>
      <c r="Q52" s="251"/>
      <c r="R52" s="251"/>
      <c r="S52" s="251"/>
      <c r="T52" s="251"/>
      <c r="U52" s="282"/>
    </row>
    <row r="53" spans="1:25" s="279" customFormat="1">
      <c r="A53" s="192"/>
      <c r="B53" s="279" t="s">
        <v>668</v>
      </c>
      <c r="F53" s="279" t="s">
        <v>198</v>
      </c>
      <c r="L53" s="251"/>
      <c r="M53" s="251"/>
      <c r="N53" s="251"/>
      <c r="O53" s="251"/>
      <c r="P53" s="251"/>
      <c r="Q53" s="251"/>
      <c r="R53" s="251"/>
      <c r="S53" s="251"/>
      <c r="T53" s="282"/>
      <c r="U53" s="282"/>
      <c r="V53" s="248">
        <f>'Tab 10_Brondata'!T54</f>
        <v>44024081.476754203</v>
      </c>
    </row>
    <row r="54" spans="1:25" s="279" customFormat="1">
      <c r="A54" s="192"/>
      <c r="B54" s="279" t="s">
        <v>654</v>
      </c>
      <c r="F54" s="279" t="s">
        <v>123</v>
      </c>
      <c r="L54" s="251"/>
      <c r="M54" s="251"/>
      <c r="N54" s="251"/>
      <c r="O54" s="251"/>
      <c r="P54" s="251"/>
      <c r="Q54" s="251"/>
      <c r="R54" s="251"/>
      <c r="S54" s="251"/>
      <c r="T54" s="248">
        <f>'Tab 10_Brondata'!T55</f>
        <v>84217417.136649802</v>
      </c>
      <c r="U54" s="282"/>
    </row>
    <row r="55" spans="1:25" s="279" customFormat="1">
      <c r="A55" s="192"/>
      <c r="B55" s="279" t="s">
        <v>655</v>
      </c>
      <c r="F55" s="279" t="s">
        <v>123</v>
      </c>
      <c r="L55" s="251"/>
      <c r="M55" s="251"/>
      <c r="N55" s="251"/>
      <c r="O55" s="251"/>
      <c r="P55" s="251"/>
      <c r="Q55" s="251"/>
      <c r="R55" s="251"/>
      <c r="S55" s="251"/>
      <c r="T55" s="248">
        <f>'Tab 10_Brondata'!T56</f>
        <v>15996437.668231335</v>
      </c>
      <c r="U55" s="282"/>
    </row>
    <row r="56" spans="1:25" s="279" customFormat="1">
      <c r="A56" s="192"/>
      <c r="B56" s="279" t="s">
        <v>657</v>
      </c>
      <c r="F56" s="279" t="s">
        <v>123</v>
      </c>
      <c r="L56" s="251"/>
      <c r="M56" s="251"/>
      <c r="N56" s="251"/>
      <c r="O56" s="251"/>
      <c r="P56" s="251"/>
      <c r="Q56" s="251"/>
      <c r="R56" s="251"/>
      <c r="S56" s="251"/>
      <c r="T56" s="248">
        <f>'Tab 10_Brondata'!T57</f>
        <v>22170305.974530499</v>
      </c>
      <c r="U56" s="282"/>
    </row>
    <row r="57" spans="1:25" s="192" customFormat="1">
      <c r="P57" s="217"/>
      <c r="Q57" s="217"/>
      <c r="R57" s="217"/>
      <c r="S57" s="217"/>
      <c r="T57" s="279"/>
      <c r="U57" s="163"/>
    </row>
    <row r="58" spans="1:25" s="184" customFormat="1">
      <c r="B58" s="184" t="s">
        <v>534</v>
      </c>
    </row>
    <row r="59" spans="1:25" s="216" customFormat="1">
      <c r="A59" s="192"/>
      <c r="L59" s="217"/>
      <c r="M59" s="217"/>
      <c r="T59" s="279"/>
      <c r="X59" s="217"/>
    </row>
    <row r="60" spans="1:25" s="216" customFormat="1">
      <c r="A60" s="192"/>
      <c r="B60" s="216" t="s">
        <v>532</v>
      </c>
      <c r="F60" s="216" t="s">
        <v>494</v>
      </c>
      <c r="L60" s="217"/>
      <c r="M60" s="217"/>
      <c r="Q60" s="44"/>
      <c r="R60" s="100"/>
      <c r="S60" s="100"/>
      <c r="T60" s="100"/>
      <c r="U60" s="100"/>
      <c r="V60" s="100"/>
      <c r="W60" s="37">
        <f>V37*(1+W19-$H$34)</f>
        <v>68803238.631618291</v>
      </c>
      <c r="X60" s="217"/>
      <c r="Y60" s="216" t="s">
        <v>325</v>
      </c>
    </row>
    <row r="61" spans="1:25" s="192" customFormat="1">
      <c r="Q61" s="44"/>
      <c r="R61" s="100"/>
      <c r="S61" s="100"/>
      <c r="T61" s="100"/>
      <c r="U61" s="100"/>
      <c r="V61" s="219"/>
    </row>
    <row r="62" spans="1:25" s="184" customFormat="1">
      <c r="B62" s="184" t="s">
        <v>535</v>
      </c>
    </row>
    <row r="63" spans="1:25" s="216" customFormat="1">
      <c r="A63" s="192"/>
      <c r="L63" s="217"/>
      <c r="M63" s="217"/>
      <c r="T63" s="279"/>
      <c r="X63" s="217"/>
    </row>
    <row r="64" spans="1:25" s="216" customFormat="1">
      <c r="A64" s="192"/>
      <c r="B64" s="216" t="s">
        <v>306</v>
      </c>
      <c r="F64" s="216" t="s">
        <v>494</v>
      </c>
      <c r="L64" s="217"/>
      <c r="M64" s="217"/>
      <c r="R64" s="100"/>
      <c r="S64" s="100"/>
      <c r="T64" s="100"/>
      <c r="U64" s="100"/>
      <c r="V64" s="100"/>
      <c r="W64" s="296" t="s">
        <v>787</v>
      </c>
      <c r="X64" s="217"/>
      <c r="Y64" s="216" t="s">
        <v>327</v>
      </c>
    </row>
    <row r="65" spans="1:25" s="216" customFormat="1">
      <c r="A65" s="192"/>
      <c r="B65" s="216" t="s">
        <v>307</v>
      </c>
      <c r="F65" s="266" t="s">
        <v>494</v>
      </c>
      <c r="L65" s="217"/>
      <c r="M65" s="217"/>
      <c r="R65" s="100"/>
      <c r="S65" s="100"/>
      <c r="T65" s="100"/>
      <c r="U65" s="100"/>
      <c r="V65" s="100"/>
      <c r="W65" s="296" t="s">
        <v>788</v>
      </c>
      <c r="X65" s="217"/>
      <c r="Y65" s="217" t="s">
        <v>327</v>
      </c>
    </row>
    <row r="66" spans="1:25" s="216" customFormat="1">
      <c r="A66" s="192"/>
      <c r="B66" s="216" t="s">
        <v>308</v>
      </c>
      <c r="F66" s="266" t="s">
        <v>494</v>
      </c>
      <c r="L66" s="217"/>
      <c r="M66" s="217"/>
      <c r="R66" s="100"/>
      <c r="S66" s="100"/>
      <c r="T66" s="100"/>
      <c r="U66" s="100"/>
      <c r="V66" s="100"/>
      <c r="W66" s="296" t="s">
        <v>786</v>
      </c>
      <c r="X66" s="217"/>
      <c r="Y66" s="217" t="s">
        <v>327</v>
      </c>
    </row>
    <row r="67" spans="1:25" s="216" customFormat="1">
      <c r="A67" s="192"/>
      <c r="B67" s="216" t="s">
        <v>309</v>
      </c>
      <c r="F67" s="266" t="s">
        <v>494</v>
      </c>
      <c r="L67" s="217"/>
      <c r="M67" s="217"/>
      <c r="R67" s="100"/>
      <c r="S67" s="100"/>
      <c r="T67" s="100"/>
      <c r="U67" s="100"/>
      <c r="V67" s="100"/>
      <c r="W67" s="296" t="s">
        <v>785</v>
      </c>
      <c r="X67" s="217"/>
      <c r="Y67" s="217" t="s">
        <v>327</v>
      </c>
    </row>
    <row r="68" spans="1:25" s="192" customFormat="1">
      <c r="R68" s="100"/>
      <c r="S68" s="100"/>
      <c r="T68" s="100"/>
      <c r="U68" s="100"/>
      <c r="V68" s="100"/>
    </row>
    <row r="69" spans="1:25" s="216" customFormat="1">
      <c r="A69" s="192"/>
      <c r="B69" s="216" t="s">
        <v>538</v>
      </c>
      <c r="F69" s="216" t="s">
        <v>494</v>
      </c>
      <c r="L69" s="217"/>
      <c r="M69" s="217"/>
      <c r="R69" s="100"/>
      <c r="S69" s="100"/>
      <c r="T69" s="100"/>
      <c r="U69" s="100"/>
      <c r="V69" s="100"/>
      <c r="W69" s="37">
        <v>75393087.813298896</v>
      </c>
      <c r="X69" s="217"/>
      <c r="Y69" s="216" t="s">
        <v>328</v>
      </c>
    </row>
    <row r="70" spans="1:25" s="216" customFormat="1">
      <c r="A70" s="192"/>
      <c r="L70" s="217"/>
      <c r="M70" s="217"/>
      <c r="T70" s="279"/>
      <c r="X70" s="217"/>
    </row>
    <row r="71" spans="1:25" s="184" customFormat="1">
      <c r="B71" s="184" t="s">
        <v>536</v>
      </c>
    </row>
    <row r="72" spans="1:25" s="216" customFormat="1">
      <c r="A72" s="192"/>
      <c r="L72" s="217"/>
      <c r="M72" s="217"/>
      <c r="T72" s="279"/>
      <c r="X72" s="217"/>
    </row>
    <row r="73" spans="1:25" s="216" customFormat="1">
      <c r="A73" s="192"/>
      <c r="B73" s="207" t="s">
        <v>537</v>
      </c>
      <c r="F73" s="216" t="s">
        <v>494</v>
      </c>
      <c r="L73" s="100"/>
      <c r="M73" s="100"/>
      <c r="N73" s="100"/>
      <c r="O73" s="100"/>
      <c r="P73" s="100"/>
      <c r="Q73" s="100"/>
      <c r="R73" s="100"/>
      <c r="S73" s="100"/>
      <c r="T73" s="100"/>
      <c r="U73" s="37">
        <f>W28*U48+U49+U50</f>
        <v>43101721.376271844</v>
      </c>
      <c r="W73" s="13"/>
      <c r="X73" s="217"/>
      <c r="Y73" s="216" t="s">
        <v>326</v>
      </c>
    </row>
    <row r="74" spans="1:25" s="216" customFormat="1">
      <c r="A74" s="236"/>
      <c r="B74" s="216" t="s">
        <v>539</v>
      </c>
      <c r="F74" s="216" t="s">
        <v>494</v>
      </c>
      <c r="L74" s="217"/>
      <c r="M74" s="217"/>
      <c r="N74" s="100"/>
      <c r="O74" s="100"/>
      <c r="P74" s="100"/>
      <c r="Q74" s="100"/>
      <c r="R74" s="100"/>
      <c r="S74" s="100"/>
      <c r="T74" s="100"/>
      <c r="U74" s="100"/>
      <c r="V74" s="100"/>
      <c r="W74" s="37">
        <f>U73*(1+H22)*(1-V31)*(1-W31)</f>
        <v>44618729.561831109</v>
      </c>
      <c r="X74" s="217"/>
      <c r="Y74" s="216" t="s">
        <v>419</v>
      </c>
    </row>
    <row r="75" spans="1:25" s="216" customFormat="1">
      <c r="A75" s="192"/>
      <c r="L75" s="217"/>
      <c r="M75" s="217"/>
      <c r="N75" s="192"/>
      <c r="O75" s="192"/>
      <c r="P75" s="192"/>
      <c r="Q75" s="192"/>
      <c r="T75" s="279"/>
      <c r="X75" s="217"/>
    </row>
    <row r="76" spans="1:25" s="184" customFormat="1">
      <c r="B76" s="184" t="s">
        <v>540</v>
      </c>
    </row>
    <row r="77" spans="1:25" s="216" customFormat="1">
      <c r="A77" s="192"/>
      <c r="L77" s="217"/>
      <c r="M77" s="217"/>
      <c r="T77" s="279"/>
      <c r="X77" s="217"/>
    </row>
    <row r="78" spans="1:25" s="216" customFormat="1">
      <c r="A78" s="192"/>
      <c r="B78" s="216" t="s">
        <v>541</v>
      </c>
      <c r="F78" s="266" t="s">
        <v>494</v>
      </c>
      <c r="L78" s="217"/>
      <c r="M78" s="217"/>
      <c r="T78" s="279"/>
      <c r="W78" s="214">
        <f>W60+W69+W74</f>
        <v>188815056.00674832</v>
      </c>
      <c r="X78" s="217"/>
      <c r="Y78" s="216" t="s">
        <v>329</v>
      </c>
    </row>
    <row r="79" spans="1:25" s="216" customFormat="1">
      <c r="A79" s="192"/>
      <c r="L79" s="217"/>
      <c r="M79" s="217"/>
      <c r="T79" s="279"/>
      <c r="X79" s="217"/>
    </row>
    <row r="80" spans="1:25" s="184" customFormat="1">
      <c r="B80" s="184" t="s">
        <v>667</v>
      </c>
    </row>
    <row r="82" spans="2:23">
      <c r="B82" s="2" t="s">
        <v>660</v>
      </c>
      <c r="F82" s="281" t="s">
        <v>494</v>
      </c>
      <c r="T82" s="37">
        <f>V28*T54+T55+T56</f>
        <v>40945918.408271283</v>
      </c>
    </row>
    <row r="83" spans="2:23">
      <c r="B83" s="2" t="s">
        <v>670</v>
      </c>
      <c r="F83" s="281" t="s">
        <v>494</v>
      </c>
      <c r="V83" s="37">
        <f>T82*(1+H21)*(1-U31)*(1-V31)</f>
        <v>42976344.610300638</v>
      </c>
    </row>
    <row r="84" spans="2:23">
      <c r="B84" s="2" t="s">
        <v>671</v>
      </c>
      <c r="F84" s="281" t="s">
        <v>494</v>
      </c>
      <c r="V84" s="37">
        <f>V83-V53</f>
        <v>-1047736.8664535657</v>
      </c>
    </row>
    <row r="85" spans="2:23">
      <c r="B85" s="2" t="s">
        <v>666</v>
      </c>
      <c r="F85" s="281" t="s">
        <v>494</v>
      </c>
      <c r="W85" s="214">
        <f>V84*(1+W25)</f>
        <v>-1089646.3411117084</v>
      </c>
    </row>
  </sheetData>
  <mergeCells count="1">
    <mergeCell ref="B4:E1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tabColor rgb="FFFFFFCC"/>
    <pageSetUpPr autoPageBreaks="0"/>
  </sheetPr>
  <dimension ref="A1:Y155"/>
  <sheetViews>
    <sheetView showGridLines="0" zoomScale="85" zoomScaleNormal="85" workbookViewId="0">
      <pane xSplit="6" ySplit="14" topLeftCell="G15" activePane="bottomRight" state="frozen"/>
      <selection pane="topRight"/>
      <selection pane="bottomLeft"/>
      <selection pane="bottomRight"/>
    </sheetView>
  </sheetViews>
  <sheetFormatPr defaultColWidth="9.140625" defaultRowHeight="12.75"/>
  <cols>
    <col min="1" max="1" width="4" style="212" customWidth="1"/>
    <col min="2" max="2" width="62.140625" style="212" customWidth="1"/>
    <col min="3" max="5" width="4.5703125" style="212" customWidth="1"/>
    <col min="6" max="6" width="16.7109375" style="212" customWidth="1"/>
    <col min="7" max="7" width="2.7109375" style="212" customWidth="1"/>
    <col min="8" max="8" width="13.7109375" style="212" customWidth="1"/>
    <col min="9" max="9" width="2.7109375" style="212" customWidth="1"/>
    <col min="10" max="10" width="12.5703125" style="212" customWidth="1"/>
    <col min="11" max="11" width="2.7109375" style="212" customWidth="1"/>
    <col min="12" max="22" width="12.5703125" style="212" customWidth="1"/>
    <col min="23" max="23" width="2.7109375" style="212" customWidth="1"/>
    <col min="24" max="38" width="13.7109375" style="212" customWidth="1"/>
    <col min="39" max="16384" width="9.140625" style="212"/>
  </cols>
  <sheetData>
    <row r="1" spans="1:25">
      <c r="A1" s="192"/>
    </row>
    <row r="2" spans="1:25" s="20" customFormat="1" ht="18">
      <c r="B2" s="20" t="s">
        <v>366</v>
      </c>
    </row>
    <row r="3" spans="1:25">
      <c r="A3" s="192"/>
    </row>
    <row r="4" spans="1:25">
      <c r="A4" s="192"/>
      <c r="B4" s="181" t="s">
        <v>56</v>
      </c>
      <c r="C4" s="181"/>
      <c r="D4" s="181"/>
    </row>
    <row r="5" spans="1:25" ht="12.75" customHeight="1">
      <c r="A5" s="192"/>
      <c r="B5" s="303" t="s">
        <v>542</v>
      </c>
      <c r="C5" s="303"/>
      <c r="D5" s="303"/>
      <c r="E5" s="303"/>
      <c r="F5" s="303"/>
      <c r="G5" s="303"/>
      <c r="H5" s="303"/>
      <c r="I5" s="303"/>
      <c r="J5" s="303"/>
      <c r="K5" s="303"/>
      <c r="L5" s="303"/>
      <c r="M5" s="267"/>
      <c r="N5" s="267"/>
      <c r="O5" s="267"/>
      <c r="P5" s="267"/>
    </row>
    <row r="6" spans="1:25">
      <c r="A6" s="192"/>
      <c r="B6" s="303"/>
      <c r="C6" s="303"/>
      <c r="D6" s="303"/>
      <c r="E6" s="303"/>
      <c r="F6" s="303"/>
      <c r="G6" s="303"/>
      <c r="H6" s="303"/>
      <c r="I6" s="303"/>
      <c r="J6" s="303"/>
      <c r="K6" s="303"/>
      <c r="L6" s="303"/>
      <c r="M6" s="267"/>
      <c r="N6" s="267"/>
      <c r="O6" s="267"/>
      <c r="P6" s="267"/>
    </row>
    <row r="7" spans="1:25">
      <c r="A7" s="192"/>
      <c r="B7" s="303"/>
      <c r="C7" s="303"/>
      <c r="D7" s="303"/>
      <c r="E7" s="303"/>
      <c r="F7" s="303"/>
      <c r="G7" s="303"/>
      <c r="H7" s="303"/>
      <c r="I7" s="303"/>
      <c r="J7" s="303"/>
      <c r="K7" s="303"/>
      <c r="L7" s="303"/>
      <c r="M7" s="267"/>
      <c r="N7" s="267"/>
      <c r="O7" s="267"/>
      <c r="P7" s="267"/>
    </row>
    <row r="8" spans="1:25">
      <c r="A8" s="192"/>
      <c r="B8" s="303"/>
      <c r="C8" s="303"/>
      <c r="D8" s="303"/>
      <c r="E8" s="303"/>
      <c r="F8" s="303"/>
      <c r="G8" s="303"/>
      <c r="H8" s="303"/>
      <c r="I8" s="303"/>
      <c r="J8" s="303"/>
      <c r="K8" s="303"/>
      <c r="L8" s="303"/>
      <c r="M8" s="267"/>
      <c r="N8" s="267"/>
      <c r="O8" s="267"/>
      <c r="P8" s="267"/>
    </row>
    <row r="9" spans="1:25">
      <c r="A9" s="192"/>
      <c r="B9" s="303"/>
      <c r="C9" s="303"/>
      <c r="D9" s="303"/>
      <c r="E9" s="303"/>
      <c r="F9" s="303"/>
      <c r="G9" s="303"/>
      <c r="H9" s="303"/>
      <c r="I9" s="303"/>
      <c r="J9" s="303"/>
      <c r="K9" s="303"/>
      <c r="L9" s="303"/>
      <c r="M9" s="267"/>
      <c r="N9" s="267"/>
      <c r="O9" s="267"/>
      <c r="P9" s="267"/>
    </row>
    <row r="10" spans="1:25">
      <c r="A10" s="192"/>
      <c r="B10" s="303"/>
      <c r="C10" s="303"/>
      <c r="D10" s="303"/>
      <c r="E10" s="303"/>
      <c r="F10" s="303"/>
      <c r="G10" s="303"/>
      <c r="H10" s="303"/>
      <c r="I10" s="303"/>
      <c r="J10" s="303"/>
      <c r="K10" s="303"/>
      <c r="L10" s="303"/>
      <c r="M10" s="267"/>
      <c r="N10" s="267"/>
      <c r="O10" s="267"/>
      <c r="P10" s="267"/>
    </row>
    <row r="11" spans="1:25">
      <c r="A11" s="192"/>
      <c r="B11" s="303"/>
      <c r="C11" s="303"/>
      <c r="D11" s="303"/>
      <c r="E11" s="303"/>
      <c r="F11" s="303"/>
      <c r="G11" s="303"/>
      <c r="H11" s="303"/>
      <c r="I11" s="303"/>
      <c r="J11" s="303"/>
      <c r="K11" s="303"/>
      <c r="L11" s="303"/>
      <c r="M11" s="267"/>
      <c r="N11" s="267"/>
      <c r="O11" s="267"/>
      <c r="P11" s="267"/>
    </row>
    <row r="13" spans="1:25" s="184" customFormat="1">
      <c r="B13" s="184" t="s">
        <v>44</v>
      </c>
      <c r="F13" s="184" t="s">
        <v>26</v>
      </c>
      <c r="H13" s="184" t="s">
        <v>27</v>
      </c>
      <c r="J13" s="184" t="s">
        <v>48</v>
      </c>
      <c r="L13" s="72">
        <v>2011</v>
      </c>
      <c r="M13" s="72">
        <v>2012</v>
      </c>
      <c r="N13" s="72">
        <v>2013</v>
      </c>
      <c r="O13" s="72">
        <v>2014</v>
      </c>
      <c r="P13" s="72">
        <v>2015</v>
      </c>
      <c r="Q13" s="72">
        <v>2016</v>
      </c>
      <c r="R13" s="72">
        <v>2017</v>
      </c>
      <c r="S13" s="72">
        <v>2018</v>
      </c>
      <c r="T13" s="72">
        <v>2019</v>
      </c>
      <c r="U13" s="72">
        <v>2020</v>
      </c>
      <c r="V13" s="72">
        <v>2021</v>
      </c>
      <c r="X13" s="184" t="s">
        <v>46</v>
      </c>
      <c r="Y13" s="35"/>
    </row>
    <row r="16" spans="1:25" s="184" customFormat="1">
      <c r="B16" s="184" t="s">
        <v>47</v>
      </c>
    </row>
    <row r="17" spans="1:24">
      <c r="A17" s="192"/>
    </row>
    <row r="18" spans="1:24">
      <c r="A18" s="192"/>
      <c r="B18" s="181" t="s">
        <v>156</v>
      </c>
    </row>
    <row r="19" spans="1:24">
      <c r="A19" s="192"/>
      <c r="B19" s="212" t="s">
        <v>157</v>
      </c>
      <c r="F19" s="212" t="s">
        <v>60</v>
      </c>
      <c r="N19" s="218"/>
      <c r="O19" s="218"/>
      <c r="P19" s="218"/>
      <c r="Q19" s="218"/>
      <c r="R19" s="91">
        <f>'Tab 12_Berekening parameters'!R17</f>
        <v>2E-3</v>
      </c>
      <c r="S19" s="91">
        <f>'Tab 12_Berekening parameters'!S17</f>
        <v>1.4E-2</v>
      </c>
      <c r="T19" s="91">
        <f>'Tab 12_Berekening parameters'!T17</f>
        <v>2.1000000000000001E-2</v>
      </c>
      <c r="U19" s="91">
        <f>'Tab 12_Berekening parameters'!U17</f>
        <v>2.8000000000000001E-2</v>
      </c>
      <c r="V19" s="91">
        <f>'Tab 12_Berekening parameters'!V17</f>
        <v>7.0000000000000001E-3</v>
      </c>
      <c r="X19" s="208"/>
    </row>
    <row r="20" spans="1:24">
      <c r="A20" s="192"/>
    </row>
    <row r="21" spans="1:24">
      <c r="A21" s="236"/>
      <c r="B21" s="212" t="s">
        <v>303</v>
      </c>
      <c r="F21" s="212" t="s">
        <v>60</v>
      </c>
      <c r="H21" s="91">
        <f>'Tab 12_Berekening parameters'!Q37</f>
        <v>4.6586240000000112E-2</v>
      </c>
    </row>
    <row r="22" spans="1:24">
      <c r="A22" s="236"/>
      <c r="B22" s="212" t="s">
        <v>304</v>
      </c>
      <c r="F22" s="217" t="s">
        <v>60</v>
      </c>
      <c r="H22" s="91">
        <f>'Tab 12_Berekening parameters'!Q38</f>
        <v>1.8080000000000096E-2</v>
      </c>
    </row>
    <row r="23" spans="1:24">
      <c r="A23" s="236"/>
      <c r="B23" s="212" t="s">
        <v>305</v>
      </c>
      <c r="F23" s="217" t="s">
        <v>60</v>
      </c>
      <c r="H23" s="91">
        <f>'Tab 12_Berekening parameters'!Q39</f>
        <v>8.0000000000000002E-3</v>
      </c>
    </row>
    <row r="24" spans="1:24">
      <c r="A24" s="192"/>
    </row>
    <row r="25" spans="1:24" s="217" customFormat="1">
      <c r="A25" s="192"/>
      <c r="B25" s="181" t="s">
        <v>67</v>
      </c>
    </row>
    <row r="26" spans="1:24">
      <c r="A26" s="192"/>
      <c r="B26" s="266" t="s">
        <v>544</v>
      </c>
      <c r="H26" s="102">
        <f>'Tab 12_Berekening parameters'!V61</f>
        <v>8.1600000000000117E-2</v>
      </c>
    </row>
    <row r="27" spans="1:24" s="266" customFormat="1">
      <c r="A27" s="192"/>
    </row>
    <row r="28" spans="1:24" s="217" customFormat="1">
      <c r="A28" s="192"/>
      <c r="B28" s="181" t="s">
        <v>73</v>
      </c>
    </row>
    <row r="29" spans="1:24" s="217" customFormat="1">
      <c r="A29" s="192"/>
      <c r="B29" s="39" t="s">
        <v>266</v>
      </c>
      <c r="F29" s="217" t="s">
        <v>60</v>
      </c>
      <c r="H29" s="95">
        <f>'Tab 9_Parameters'!H47</f>
        <v>-0.15</v>
      </c>
      <c r="J29" s="208"/>
    </row>
    <row r="30" spans="1:24" s="217" customFormat="1">
      <c r="A30" s="192"/>
    </row>
    <row r="31" spans="1:24">
      <c r="A31" s="192"/>
      <c r="B31" s="181" t="s">
        <v>334</v>
      </c>
    </row>
    <row r="32" spans="1:24">
      <c r="A32" s="192"/>
      <c r="B32" s="212" t="s">
        <v>301</v>
      </c>
      <c r="F32" s="212" t="s">
        <v>494</v>
      </c>
      <c r="N32" s="294" t="s">
        <v>750</v>
      </c>
      <c r="O32" s="294" t="s">
        <v>753</v>
      </c>
      <c r="P32" s="294" t="s">
        <v>756</v>
      </c>
      <c r="R32" s="271"/>
      <c r="S32" s="271"/>
      <c r="T32" s="294" t="s">
        <v>759</v>
      </c>
    </row>
    <row r="33" spans="1:24">
      <c r="A33" s="192"/>
      <c r="B33" s="212" t="s">
        <v>302</v>
      </c>
      <c r="F33" s="266" t="s">
        <v>494</v>
      </c>
      <c r="N33" s="294" t="s">
        <v>751</v>
      </c>
      <c r="O33" s="294" t="s">
        <v>754</v>
      </c>
      <c r="P33" s="294" t="s">
        <v>757</v>
      </c>
      <c r="R33" s="271"/>
      <c r="S33" s="271"/>
      <c r="T33" s="294" t="s">
        <v>760</v>
      </c>
    </row>
    <row r="34" spans="1:24">
      <c r="A34" s="192"/>
      <c r="B34" s="212" t="s">
        <v>310</v>
      </c>
      <c r="F34" s="266" t="s">
        <v>494</v>
      </c>
      <c r="N34" s="294" t="s">
        <v>752</v>
      </c>
      <c r="O34" s="294" t="s">
        <v>755</v>
      </c>
      <c r="P34" s="294" t="s">
        <v>758</v>
      </c>
      <c r="R34" s="271"/>
      <c r="S34" s="271"/>
      <c r="T34" s="294" t="s">
        <v>761</v>
      </c>
    </row>
    <row r="35" spans="1:24">
      <c r="A35" s="192"/>
      <c r="R35" s="192"/>
      <c r="S35" s="192"/>
      <c r="T35" s="266"/>
    </row>
    <row r="36" spans="1:24">
      <c r="A36" s="192"/>
      <c r="B36" s="181" t="s">
        <v>335</v>
      </c>
      <c r="R36" s="192"/>
      <c r="S36" s="192"/>
      <c r="T36" s="266"/>
    </row>
    <row r="37" spans="1:24">
      <c r="A37" s="192"/>
      <c r="B37" s="212" t="s">
        <v>298</v>
      </c>
      <c r="F37" s="212" t="s">
        <v>494</v>
      </c>
      <c r="N37" s="294" t="s">
        <v>762</v>
      </c>
      <c r="O37" s="294" t="s">
        <v>766</v>
      </c>
      <c r="P37" s="294" t="s">
        <v>770</v>
      </c>
      <c r="R37" s="271"/>
      <c r="S37" s="271"/>
      <c r="T37" s="294" t="s">
        <v>774</v>
      </c>
    </row>
    <row r="38" spans="1:24">
      <c r="A38" s="192"/>
      <c r="B38" s="212" t="s">
        <v>299</v>
      </c>
      <c r="F38" s="266" t="s">
        <v>494</v>
      </c>
      <c r="N38" s="294" t="s">
        <v>763</v>
      </c>
      <c r="O38" s="294" t="s">
        <v>767</v>
      </c>
      <c r="P38" s="294" t="s">
        <v>771</v>
      </c>
      <c r="R38" s="271"/>
      <c r="S38" s="271"/>
      <c r="T38" s="294" t="s">
        <v>775</v>
      </c>
    </row>
    <row r="39" spans="1:24">
      <c r="A39" s="192"/>
      <c r="B39" s="212" t="s">
        <v>300</v>
      </c>
      <c r="F39" s="266" t="s">
        <v>494</v>
      </c>
      <c r="N39" s="294" t="s">
        <v>764</v>
      </c>
      <c r="O39" s="294" t="s">
        <v>768</v>
      </c>
      <c r="P39" s="294" t="s">
        <v>772</v>
      </c>
      <c r="R39" s="271"/>
      <c r="S39" s="271"/>
      <c r="T39" s="294" t="s">
        <v>776</v>
      </c>
    </row>
    <row r="40" spans="1:24">
      <c r="A40" s="192"/>
      <c r="B40" s="212" t="s">
        <v>352</v>
      </c>
      <c r="F40" s="266" t="s">
        <v>494</v>
      </c>
      <c r="N40" s="294" t="s">
        <v>765</v>
      </c>
      <c r="O40" s="294" t="s">
        <v>769</v>
      </c>
      <c r="P40" s="295" t="s">
        <v>773</v>
      </c>
      <c r="Q40" s="208"/>
      <c r="R40" s="192"/>
      <c r="S40" s="192"/>
      <c r="T40" s="266"/>
      <c r="X40" s="212" t="s">
        <v>353</v>
      </c>
    </row>
    <row r="41" spans="1:24" s="217" customFormat="1">
      <c r="A41" s="192"/>
      <c r="R41" s="192"/>
      <c r="S41" s="192"/>
      <c r="T41" s="266"/>
    </row>
    <row r="42" spans="1:24">
      <c r="A42" s="192"/>
      <c r="B42" s="181" t="s">
        <v>336</v>
      </c>
      <c r="R42" s="192"/>
      <c r="S42" s="192"/>
      <c r="T42" s="266"/>
    </row>
    <row r="43" spans="1:24">
      <c r="A43" s="192"/>
      <c r="B43" s="212" t="s">
        <v>506</v>
      </c>
      <c r="F43" s="212" t="s">
        <v>494</v>
      </c>
      <c r="P43" s="226"/>
      <c r="Q43" s="226"/>
      <c r="R43" s="271"/>
      <c r="S43" s="271"/>
      <c r="T43" s="294" t="s">
        <v>777</v>
      </c>
      <c r="X43" s="208"/>
    </row>
    <row r="44" spans="1:24">
      <c r="A44" s="192"/>
      <c r="B44" s="212" t="s">
        <v>505</v>
      </c>
      <c r="F44" s="266" t="s">
        <v>494</v>
      </c>
      <c r="P44" s="226"/>
      <c r="Q44" s="226"/>
      <c r="R44" s="271"/>
      <c r="S44" s="271"/>
      <c r="T44" s="294" t="s">
        <v>778</v>
      </c>
    </row>
    <row r="45" spans="1:24">
      <c r="A45" s="192"/>
      <c r="B45" s="212" t="s">
        <v>507</v>
      </c>
      <c r="F45" s="266" t="s">
        <v>494</v>
      </c>
      <c r="P45" s="226"/>
      <c r="Q45" s="226"/>
      <c r="R45" s="271"/>
      <c r="S45" s="271"/>
      <c r="T45" s="294" t="s">
        <v>779</v>
      </c>
    </row>
    <row r="46" spans="1:24">
      <c r="A46" s="192"/>
      <c r="B46" s="212" t="s">
        <v>508</v>
      </c>
      <c r="F46" s="266" t="s">
        <v>494</v>
      </c>
      <c r="P46" s="226"/>
      <c r="Q46" s="226"/>
      <c r="R46" s="271"/>
      <c r="S46" s="271"/>
      <c r="T46" s="294" t="s">
        <v>780</v>
      </c>
    </row>
    <row r="47" spans="1:24">
      <c r="A47" s="192"/>
      <c r="R47" s="192"/>
      <c r="S47" s="192"/>
      <c r="T47" s="266"/>
    </row>
    <row r="48" spans="1:24" s="217" customFormat="1">
      <c r="A48" s="192"/>
      <c r="B48" s="217" t="s">
        <v>516</v>
      </c>
      <c r="F48" s="217" t="s">
        <v>494</v>
      </c>
      <c r="R48" s="271"/>
      <c r="S48" s="271"/>
      <c r="T48" s="294" t="s">
        <v>781</v>
      </c>
    </row>
    <row r="49" spans="1:20" s="217" customFormat="1">
      <c r="A49" s="192"/>
      <c r="B49" s="217" t="s">
        <v>517</v>
      </c>
      <c r="F49" s="266" t="s">
        <v>494</v>
      </c>
      <c r="R49" s="271"/>
      <c r="S49" s="271"/>
      <c r="T49" s="294" t="s">
        <v>782</v>
      </c>
    </row>
    <row r="50" spans="1:20" s="217" customFormat="1">
      <c r="A50" s="192"/>
      <c r="B50" s="217" t="s">
        <v>518</v>
      </c>
      <c r="F50" s="266" t="s">
        <v>494</v>
      </c>
      <c r="R50" s="271"/>
      <c r="S50" s="271"/>
      <c r="T50" s="294" t="s">
        <v>783</v>
      </c>
    </row>
    <row r="51" spans="1:20" s="217" customFormat="1">
      <c r="A51" s="192"/>
      <c r="B51" s="217" t="s">
        <v>519</v>
      </c>
      <c r="F51" s="266" t="s">
        <v>494</v>
      </c>
      <c r="R51" s="271"/>
      <c r="S51" s="271"/>
      <c r="T51" s="294" t="s">
        <v>784</v>
      </c>
    </row>
    <row r="52" spans="1:20" s="217" customFormat="1"/>
    <row r="53" spans="1:20" s="184" customFormat="1">
      <c r="B53" s="184" t="s">
        <v>548</v>
      </c>
    </row>
    <row r="55" spans="1:20" s="217" customFormat="1">
      <c r="A55" s="192"/>
      <c r="B55" s="181" t="s">
        <v>344</v>
      </c>
    </row>
    <row r="56" spans="1:20" s="217" customFormat="1">
      <c r="A56" s="192"/>
      <c r="B56" s="217" t="s">
        <v>337</v>
      </c>
      <c r="F56" s="217" t="s">
        <v>494</v>
      </c>
      <c r="Q56" s="293" t="s">
        <v>744</v>
      </c>
    </row>
    <row r="57" spans="1:20" s="217" customFormat="1">
      <c r="A57" s="192"/>
      <c r="B57" s="217" t="s">
        <v>338</v>
      </c>
      <c r="F57" s="266" t="s">
        <v>494</v>
      </c>
      <c r="Q57" s="293" t="s">
        <v>745</v>
      </c>
    </row>
    <row r="58" spans="1:20" s="217" customFormat="1">
      <c r="A58" s="192"/>
      <c r="B58" s="217" t="s">
        <v>339</v>
      </c>
      <c r="F58" s="266" t="s">
        <v>494</v>
      </c>
      <c r="Q58" s="293" t="s">
        <v>746</v>
      </c>
    </row>
    <row r="59" spans="1:20" s="217" customFormat="1">
      <c r="A59" s="192"/>
    </row>
    <row r="60" spans="1:20" s="217" customFormat="1">
      <c r="A60" s="192"/>
      <c r="B60" s="181" t="s">
        <v>345</v>
      </c>
    </row>
    <row r="61" spans="1:20" s="217" customFormat="1">
      <c r="A61" s="192"/>
      <c r="B61" s="217" t="s">
        <v>340</v>
      </c>
      <c r="F61" s="217" t="s">
        <v>494</v>
      </c>
      <c r="Q61" s="293" t="s">
        <v>747</v>
      </c>
    </row>
    <row r="62" spans="1:20" s="217" customFormat="1">
      <c r="A62" s="192"/>
      <c r="B62" s="217" t="s">
        <v>341</v>
      </c>
      <c r="F62" s="266" t="s">
        <v>494</v>
      </c>
      <c r="Q62" s="293" t="s">
        <v>748</v>
      </c>
    </row>
    <row r="63" spans="1:20" s="217" customFormat="1">
      <c r="A63" s="192"/>
      <c r="B63" s="217" t="s">
        <v>342</v>
      </c>
      <c r="F63" s="266" t="s">
        <v>494</v>
      </c>
      <c r="Q63" s="293" t="s">
        <v>749</v>
      </c>
    </row>
    <row r="64" spans="1:20" s="217" customFormat="1">
      <c r="A64" s="192"/>
    </row>
    <row r="65" spans="1:24">
      <c r="A65" s="192"/>
      <c r="B65" s="213" t="s">
        <v>343</v>
      </c>
    </row>
    <row r="66" spans="1:24">
      <c r="A66" s="192"/>
      <c r="B66" s="212" t="s">
        <v>311</v>
      </c>
      <c r="F66" s="212" t="s">
        <v>494</v>
      </c>
      <c r="Q66" s="217"/>
      <c r="R66" s="293" t="s">
        <v>735</v>
      </c>
      <c r="S66" s="293" t="s">
        <v>738</v>
      </c>
      <c r="T66" s="293" t="s">
        <v>741</v>
      </c>
      <c r="U66" s="270"/>
      <c r="X66" s="212" t="s">
        <v>354</v>
      </c>
    </row>
    <row r="67" spans="1:24">
      <c r="A67" s="192"/>
      <c r="B67" s="212" t="s">
        <v>312</v>
      </c>
      <c r="F67" s="266" t="s">
        <v>494</v>
      </c>
      <c r="Q67" s="217"/>
      <c r="R67" s="293" t="s">
        <v>736</v>
      </c>
      <c r="S67" s="293" t="s">
        <v>739</v>
      </c>
      <c r="T67" s="293" t="s">
        <v>742</v>
      </c>
      <c r="U67" s="270"/>
      <c r="X67" s="217" t="s">
        <v>354</v>
      </c>
    </row>
    <row r="68" spans="1:24">
      <c r="A68" s="192"/>
      <c r="B68" s="212" t="s">
        <v>320</v>
      </c>
      <c r="F68" s="266" t="s">
        <v>494</v>
      </c>
      <c r="Q68" s="217"/>
      <c r="R68" s="293" t="s">
        <v>737</v>
      </c>
      <c r="S68" s="293" t="s">
        <v>740</v>
      </c>
      <c r="T68" s="293" t="s">
        <v>743</v>
      </c>
      <c r="U68" s="270"/>
      <c r="X68" s="217" t="s">
        <v>354</v>
      </c>
    </row>
    <row r="69" spans="1:24">
      <c r="A69" s="192"/>
      <c r="Q69" s="217"/>
      <c r="R69" s="217"/>
      <c r="S69" s="217"/>
      <c r="T69" s="266"/>
      <c r="U69" s="192"/>
    </row>
    <row r="70" spans="1:24">
      <c r="A70" s="192"/>
      <c r="B70" s="181" t="s">
        <v>346</v>
      </c>
      <c r="Q70" s="217"/>
      <c r="R70" s="217"/>
      <c r="S70" s="217"/>
      <c r="T70" s="266"/>
      <c r="U70" s="192"/>
    </row>
    <row r="71" spans="1:24">
      <c r="A71" s="192"/>
      <c r="B71" s="212" t="s">
        <v>313</v>
      </c>
      <c r="F71" s="212" t="s">
        <v>494</v>
      </c>
      <c r="Q71" s="217"/>
      <c r="R71" s="293" t="s">
        <v>729</v>
      </c>
      <c r="S71" s="293" t="s">
        <v>732</v>
      </c>
      <c r="T71" s="293" t="s">
        <v>728</v>
      </c>
      <c r="U71" s="270"/>
      <c r="X71" s="212" t="s">
        <v>354</v>
      </c>
    </row>
    <row r="72" spans="1:24">
      <c r="A72" s="192"/>
      <c r="B72" s="212" t="s">
        <v>314</v>
      </c>
      <c r="F72" s="212" t="s">
        <v>494</v>
      </c>
      <c r="Q72" s="217"/>
      <c r="R72" s="293" t="s">
        <v>730</v>
      </c>
      <c r="S72" s="293" t="s">
        <v>733</v>
      </c>
      <c r="T72" s="293" t="s">
        <v>727</v>
      </c>
      <c r="U72" s="270"/>
      <c r="X72" s="217" t="s">
        <v>354</v>
      </c>
    </row>
    <row r="73" spans="1:24">
      <c r="A73" s="192"/>
      <c r="B73" s="212" t="s">
        <v>321</v>
      </c>
      <c r="F73" s="212" t="s">
        <v>494</v>
      </c>
      <c r="Q73" s="217"/>
      <c r="R73" s="293" t="s">
        <v>731</v>
      </c>
      <c r="S73" s="293" t="s">
        <v>734</v>
      </c>
      <c r="T73" s="293" t="s">
        <v>726</v>
      </c>
      <c r="U73" s="270"/>
      <c r="X73" s="217" t="s">
        <v>354</v>
      </c>
    </row>
    <row r="74" spans="1:24">
      <c r="A74" s="192"/>
    </row>
    <row r="75" spans="1:24" s="184" customFormat="1">
      <c r="B75" s="184" t="s">
        <v>331</v>
      </c>
    </row>
    <row r="76" spans="1:24">
      <c r="A76" s="192"/>
    </row>
    <row r="77" spans="1:24">
      <c r="A77" s="192"/>
      <c r="B77" s="181" t="s">
        <v>374</v>
      </c>
    </row>
    <row r="78" spans="1:24">
      <c r="A78" s="192"/>
      <c r="B78" s="207" t="s">
        <v>315</v>
      </c>
      <c r="F78" s="212" t="s">
        <v>494</v>
      </c>
      <c r="R78" s="270"/>
      <c r="S78" s="270"/>
      <c r="T78" s="293" t="s">
        <v>676</v>
      </c>
    </row>
    <row r="79" spans="1:24">
      <c r="A79" s="192"/>
      <c r="B79" s="207" t="s">
        <v>316</v>
      </c>
      <c r="F79" s="266" t="s">
        <v>494</v>
      </c>
      <c r="R79" s="270"/>
      <c r="S79" s="270"/>
      <c r="T79" s="293" t="s">
        <v>677</v>
      </c>
    </row>
    <row r="80" spans="1:24">
      <c r="A80" s="192"/>
      <c r="B80" s="207" t="s">
        <v>317</v>
      </c>
      <c r="F80" s="266" t="s">
        <v>494</v>
      </c>
      <c r="R80" s="270"/>
      <c r="S80" s="270"/>
      <c r="T80" s="293" t="s">
        <v>678</v>
      </c>
    </row>
    <row r="81" spans="1:20">
      <c r="A81" s="192"/>
      <c r="B81" s="207" t="s">
        <v>318</v>
      </c>
      <c r="F81" s="266" t="s">
        <v>494</v>
      </c>
      <c r="R81" s="270"/>
      <c r="S81" s="270"/>
      <c r="T81" s="293" t="s">
        <v>679</v>
      </c>
    </row>
    <row r="82" spans="1:20">
      <c r="A82" s="192"/>
      <c r="B82" s="207" t="s">
        <v>319</v>
      </c>
      <c r="F82" s="266" t="s">
        <v>494</v>
      </c>
      <c r="R82" s="270"/>
      <c r="S82" s="270"/>
      <c r="T82" s="293" t="s">
        <v>680</v>
      </c>
    </row>
    <row r="83" spans="1:20">
      <c r="A83" s="192"/>
      <c r="B83" s="207"/>
      <c r="R83" s="192"/>
      <c r="S83" s="192"/>
      <c r="T83" s="266"/>
    </row>
    <row r="84" spans="1:20">
      <c r="A84" s="192"/>
      <c r="B84" s="181" t="s">
        <v>375</v>
      </c>
      <c r="R84" s="192"/>
      <c r="S84" s="192"/>
      <c r="T84" s="266"/>
    </row>
    <row r="85" spans="1:20">
      <c r="A85" s="192"/>
      <c r="B85" s="207" t="s">
        <v>315</v>
      </c>
      <c r="F85" s="212" t="s">
        <v>494</v>
      </c>
      <c r="R85" s="270"/>
      <c r="S85" s="270"/>
      <c r="T85" s="293" t="s">
        <v>681</v>
      </c>
    </row>
    <row r="86" spans="1:20">
      <c r="A86" s="192"/>
      <c r="B86" s="207" t="s">
        <v>316</v>
      </c>
      <c r="F86" s="212" t="s">
        <v>494</v>
      </c>
      <c r="R86" s="270"/>
      <c r="S86" s="270"/>
      <c r="T86" s="293" t="s">
        <v>682</v>
      </c>
    </row>
    <row r="87" spans="1:20">
      <c r="A87" s="192"/>
      <c r="B87" s="207" t="s">
        <v>317</v>
      </c>
      <c r="F87" s="212" t="s">
        <v>494</v>
      </c>
      <c r="R87" s="270"/>
      <c r="S87" s="270"/>
      <c r="T87" s="293" t="s">
        <v>683</v>
      </c>
    </row>
    <row r="88" spans="1:20">
      <c r="A88" s="192"/>
      <c r="B88" s="207" t="s">
        <v>318</v>
      </c>
      <c r="F88" s="212" t="s">
        <v>494</v>
      </c>
      <c r="R88" s="270"/>
      <c r="S88" s="270"/>
      <c r="T88" s="293" t="s">
        <v>684</v>
      </c>
    </row>
    <row r="89" spans="1:20">
      <c r="A89" s="192"/>
      <c r="B89" s="207" t="s">
        <v>319</v>
      </c>
      <c r="F89" s="212" t="s">
        <v>494</v>
      </c>
      <c r="R89" s="270"/>
      <c r="S89" s="270"/>
      <c r="T89" s="293" t="s">
        <v>685</v>
      </c>
    </row>
    <row r="90" spans="1:20">
      <c r="A90" s="192"/>
      <c r="B90" s="207"/>
      <c r="R90" s="192"/>
      <c r="S90" s="192"/>
      <c r="T90" s="266"/>
    </row>
    <row r="91" spans="1:20">
      <c r="A91" s="192"/>
      <c r="B91" s="181" t="s">
        <v>376</v>
      </c>
      <c r="R91" s="192"/>
      <c r="S91" s="192"/>
      <c r="T91" s="266"/>
    </row>
    <row r="92" spans="1:20">
      <c r="A92" s="192"/>
      <c r="B92" s="207" t="s">
        <v>315</v>
      </c>
      <c r="F92" s="212" t="s">
        <v>494</v>
      </c>
      <c r="R92" s="270"/>
      <c r="S92" s="270"/>
      <c r="T92" s="293" t="s">
        <v>686</v>
      </c>
    </row>
    <row r="93" spans="1:20">
      <c r="A93" s="192"/>
      <c r="B93" s="207" t="s">
        <v>316</v>
      </c>
      <c r="F93" s="212" t="s">
        <v>494</v>
      </c>
      <c r="R93" s="270"/>
      <c r="S93" s="270"/>
      <c r="T93" s="293" t="s">
        <v>687</v>
      </c>
    </row>
    <row r="94" spans="1:20">
      <c r="A94" s="192"/>
      <c r="B94" s="207" t="s">
        <v>317</v>
      </c>
      <c r="F94" s="212" t="s">
        <v>494</v>
      </c>
      <c r="R94" s="270"/>
      <c r="S94" s="270"/>
      <c r="T94" s="293" t="s">
        <v>688</v>
      </c>
    </row>
    <row r="95" spans="1:20">
      <c r="A95" s="192"/>
      <c r="B95" s="207" t="s">
        <v>318</v>
      </c>
      <c r="F95" s="212" t="s">
        <v>494</v>
      </c>
      <c r="R95" s="270"/>
      <c r="S95" s="270"/>
      <c r="T95" s="293" t="s">
        <v>689</v>
      </c>
    </row>
    <row r="96" spans="1:20">
      <c r="A96" s="192"/>
      <c r="B96" s="207" t="s">
        <v>319</v>
      </c>
      <c r="F96" s="212" t="s">
        <v>494</v>
      </c>
      <c r="R96" s="270"/>
      <c r="S96" s="270"/>
      <c r="T96" s="293" t="s">
        <v>690</v>
      </c>
    </row>
    <row r="97" spans="1:24">
      <c r="A97" s="192"/>
      <c r="B97" s="207"/>
      <c r="R97" s="192"/>
      <c r="S97" s="192"/>
      <c r="T97" s="266"/>
    </row>
    <row r="98" spans="1:24">
      <c r="A98" s="192"/>
      <c r="B98" s="181" t="s">
        <v>377</v>
      </c>
      <c r="F98" s="212" t="s">
        <v>494</v>
      </c>
      <c r="R98" s="270"/>
      <c r="S98" s="270"/>
      <c r="T98" s="45">
        <v>42236278.706834316</v>
      </c>
    </row>
    <row r="99" spans="1:24">
      <c r="A99" s="192"/>
      <c r="B99" s="181" t="s">
        <v>546</v>
      </c>
      <c r="F99" s="212" t="s">
        <v>494</v>
      </c>
      <c r="R99" s="192"/>
      <c r="S99" s="192"/>
      <c r="U99" s="219"/>
      <c r="V99" s="214">
        <f>T98*(1+H26)</f>
        <v>45682759.049312003</v>
      </c>
      <c r="X99" s="208"/>
    </row>
    <row r="100" spans="1:24">
      <c r="A100" s="192"/>
      <c r="B100" s="207"/>
      <c r="R100" s="192"/>
      <c r="S100" s="192"/>
    </row>
    <row r="101" spans="1:24">
      <c r="A101" s="192"/>
      <c r="B101" s="181" t="s">
        <v>378</v>
      </c>
      <c r="R101" s="192"/>
      <c r="S101" s="192"/>
    </row>
    <row r="102" spans="1:24">
      <c r="A102" s="192"/>
      <c r="B102" s="207" t="s">
        <v>315</v>
      </c>
      <c r="F102" s="212" t="s">
        <v>494</v>
      </c>
      <c r="R102" s="270"/>
      <c r="S102" s="270"/>
      <c r="T102" s="293" t="s">
        <v>691</v>
      </c>
      <c r="X102" s="208"/>
    </row>
    <row r="103" spans="1:24">
      <c r="A103" s="192"/>
      <c r="B103" s="207" t="s">
        <v>316</v>
      </c>
      <c r="F103" s="212" t="s">
        <v>494</v>
      </c>
      <c r="R103" s="270"/>
      <c r="S103" s="270"/>
      <c r="T103" s="293" t="s">
        <v>692</v>
      </c>
    </row>
    <row r="104" spans="1:24">
      <c r="A104" s="192"/>
      <c r="B104" s="207" t="s">
        <v>317</v>
      </c>
      <c r="F104" s="212" t="s">
        <v>494</v>
      </c>
      <c r="R104" s="270"/>
      <c r="S104" s="270"/>
      <c r="T104" s="293" t="s">
        <v>693</v>
      </c>
    </row>
    <row r="105" spans="1:24">
      <c r="A105" s="192"/>
      <c r="B105" s="207" t="s">
        <v>318</v>
      </c>
      <c r="F105" s="212" t="s">
        <v>494</v>
      </c>
      <c r="R105" s="270"/>
      <c r="S105" s="270"/>
      <c r="T105" s="293" t="s">
        <v>694</v>
      </c>
    </row>
    <row r="106" spans="1:24">
      <c r="A106" s="192"/>
      <c r="B106" s="207" t="s">
        <v>319</v>
      </c>
      <c r="F106" s="212" t="s">
        <v>494</v>
      </c>
      <c r="R106" s="270"/>
      <c r="S106" s="270"/>
      <c r="T106" s="293" t="s">
        <v>695</v>
      </c>
    </row>
    <row r="107" spans="1:24">
      <c r="A107" s="192"/>
      <c r="B107" s="207"/>
      <c r="R107" s="192"/>
      <c r="S107" s="192"/>
      <c r="T107" s="266"/>
    </row>
    <row r="108" spans="1:24">
      <c r="A108" s="192"/>
      <c r="B108" s="181" t="s">
        <v>379</v>
      </c>
      <c r="R108" s="192"/>
      <c r="S108" s="192"/>
      <c r="T108" s="266"/>
    </row>
    <row r="109" spans="1:24">
      <c r="A109" s="192"/>
      <c r="B109" s="207" t="s">
        <v>315</v>
      </c>
      <c r="F109" s="212" t="s">
        <v>494</v>
      </c>
      <c r="R109" s="270"/>
      <c r="S109" s="270"/>
      <c r="T109" s="293" t="s">
        <v>696</v>
      </c>
    </row>
    <row r="110" spans="1:24">
      <c r="A110" s="192"/>
      <c r="B110" s="207" t="s">
        <v>316</v>
      </c>
      <c r="F110" s="212" t="s">
        <v>494</v>
      </c>
      <c r="R110" s="270"/>
      <c r="S110" s="270"/>
      <c r="T110" s="293" t="s">
        <v>697</v>
      </c>
    </row>
    <row r="111" spans="1:24">
      <c r="A111" s="192"/>
      <c r="B111" s="207" t="s">
        <v>317</v>
      </c>
      <c r="F111" s="212" t="s">
        <v>494</v>
      </c>
      <c r="R111" s="270"/>
      <c r="S111" s="270"/>
      <c r="T111" s="293" t="s">
        <v>698</v>
      </c>
    </row>
    <row r="112" spans="1:24">
      <c r="A112" s="192"/>
      <c r="B112" s="207" t="s">
        <v>318</v>
      </c>
      <c r="F112" s="212" t="s">
        <v>494</v>
      </c>
      <c r="R112" s="270"/>
      <c r="S112" s="270"/>
      <c r="T112" s="293" t="s">
        <v>699</v>
      </c>
    </row>
    <row r="113" spans="1:24">
      <c r="A113" s="192"/>
      <c r="B113" s="207" t="s">
        <v>319</v>
      </c>
      <c r="F113" s="212" t="s">
        <v>494</v>
      </c>
      <c r="R113" s="270"/>
      <c r="S113" s="270"/>
      <c r="T113" s="293" t="s">
        <v>700</v>
      </c>
    </row>
    <row r="114" spans="1:24">
      <c r="A114" s="192"/>
      <c r="B114" s="207"/>
      <c r="R114" s="192"/>
      <c r="S114" s="192"/>
      <c r="T114" s="266"/>
    </row>
    <row r="115" spans="1:24">
      <c r="A115" s="192"/>
      <c r="B115" s="181" t="s">
        <v>380</v>
      </c>
      <c r="R115" s="192"/>
      <c r="S115" s="192"/>
      <c r="T115" s="266"/>
    </row>
    <row r="116" spans="1:24">
      <c r="A116" s="192"/>
      <c r="B116" s="207" t="s">
        <v>315</v>
      </c>
      <c r="F116" s="212" t="s">
        <v>494</v>
      </c>
      <c r="R116" s="270"/>
      <c r="S116" s="270"/>
      <c r="T116" s="293" t="s">
        <v>701</v>
      </c>
    </row>
    <row r="117" spans="1:24">
      <c r="A117" s="192"/>
      <c r="B117" s="207" t="s">
        <v>316</v>
      </c>
      <c r="F117" s="212" t="s">
        <v>494</v>
      </c>
      <c r="R117" s="270"/>
      <c r="S117" s="270"/>
      <c r="T117" s="293" t="s">
        <v>702</v>
      </c>
    </row>
    <row r="118" spans="1:24">
      <c r="A118" s="192"/>
      <c r="B118" s="207" t="s">
        <v>317</v>
      </c>
      <c r="F118" s="212" t="s">
        <v>494</v>
      </c>
      <c r="R118" s="270"/>
      <c r="S118" s="270"/>
      <c r="T118" s="293" t="s">
        <v>703</v>
      </c>
    </row>
    <row r="119" spans="1:24">
      <c r="A119" s="192"/>
      <c r="B119" s="207" t="s">
        <v>318</v>
      </c>
      <c r="F119" s="212" t="s">
        <v>494</v>
      </c>
      <c r="R119" s="270"/>
      <c r="S119" s="270"/>
      <c r="T119" s="293" t="s">
        <v>704</v>
      </c>
    </row>
    <row r="120" spans="1:24">
      <c r="A120" s="192"/>
      <c r="B120" s="207" t="s">
        <v>319</v>
      </c>
      <c r="F120" s="212" t="s">
        <v>494</v>
      </c>
      <c r="R120" s="270"/>
      <c r="S120" s="270"/>
      <c r="T120" s="293" t="s">
        <v>705</v>
      </c>
    </row>
    <row r="121" spans="1:24">
      <c r="A121" s="192"/>
      <c r="B121" s="207"/>
      <c r="R121" s="192"/>
      <c r="S121" s="192"/>
      <c r="T121" s="266"/>
    </row>
    <row r="122" spans="1:24">
      <c r="A122" s="192"/>
      <c r="B122" s="181" t="s">
        <v>381</v>
      </c>
      <c r="F122" s="212" t="s">
        <v>494</v>
      </c>
      <c r="R122" s="270"/>
      <c r="S122" s="270"/>
      <c r="T122" s="45">
        <v>-5248949.5393190589</v>
      </c>
    </row>
    <row r="123" spans="1:24">
      <c r="A123" s="192"/>
      <c r="B123" s="181" t="s">
        <v>547</v>
      </c>
      <c r="F123" s="212" t="s">
        <v>494</v>
      </c>
      <c r="R123" s="192"/>
      <c r="S123" s="192"/>
      <c r="U123" s="219"/>
      <c r="V123" s="214">
        <f>T122*(1+H26)</f>
        <v>-5677263.8217274947</v>
      </c>
      <c r="X123" s="208"/>
    </row>
    <row r="124" spans="1:24">
      <c r="A124" s="192"/>
      <c r="B124" s="207"/>
      <c r="R124" s="192"/>
      <c r="S124" s="192"/>
    </row>
    <row r="125" spans="1:24">
      <c r="A125" s="192"/>
      <c r="B125" s="181" t="s">
        <v>382</v>
      </c>
      <c r="R125" s="192"/>
      <c r="S125" s="192"/>
      <c r="X125" s="208"/>
    </row>
    <row r="126" spans="1:24">
      <c r="A126" s="192"/>
      <c r="B126" s="207" t="s">
        <v>315</v>
      </c>
      <c r="F126" s="212" t="s">
        <v>494</v>
      </c>
      <c r="R126" s="270"/>
      <c r="S126" s="270"/>
      <c r="T126" s="293" t="s">
        <v>706</v>
      </c>
    </row>
    <row r="127" spans="1:24">
      <c r="A127" s="192"/>
      <c r="B127" s="207" t="s">
        <v>316</v>
      </c>
      <c r="F127" s="212" t="s">
        <v>494</v>
      </c>
      <c r="R127" s="270"/>
      <c r="S127" s="270"/>
      <c r="T127" s="293" t="s">
        <v>707</v>
      </c>
    </row>
    <row r="128" spans="1:24">
      <c r="A128" s="192"/>
      <c r="B128" s="207" t="s">
        <v>317</v>
      </c>
      <c r="F128" s="212" t="s">
        <v>494</v>
      </c>
      <c r="R128" s="270"/>
      <c r="S128" s="270"/>
      <c r="T128" s="293" t="s">
        <v>708</v>
      </c>
    </row>
    <row r="129" spans="1:20">
      <c r="A129" s="192"/>
      <c r="B129" s="207" t="s">
        <v>318</v>
      </c>
      <c r="F129" s="212" t="s">
        <v>494</v>
      </c>
      <c r="R129" s="270"/>
      <c r="S129" s="270"/>
      <c r="T129" s="293" t="s">
        <v>709</v>
      </c>
    </row>
    <row r="130" spans="1:20">
      <c r="A130" s="192"/>
      <c r="B130" s="207" t="s">
        <v>319</v>
      </c>
      <c r="F130" s="212" t="s">
        <v>494</v>
      </c>
      <c r="R130" s="270"/>
      <c r="S130" s="270"/>
      <c r="T130" s="293" t="s">
        <v>710</v>
      </c>
    </row>
    <row r="131" spans="1:20">
      <c r="A131" s="192"/>
      <c r="B131" s="207"/>
      <c r="R131" s="192"/>
      <c r="S131" s="192"/>
      <c r="T131" s="266"/>
    </row>
    <row r="132" spans="1:20">
      <c r="A132" s="192"/>
      <c r="B132" s="181" t="s">
        <v>383</v>
      </c>
      <c r="R132" s="192"/>
      <c r="S132" s="192"/>
      <c r="T132" s="266"/>
    </row>
    <row r="133" spans="1:20">
      <c r="A133" s="192"/>
      <c r="B133" s="207" t="s">
        <v>315</v>
      </c>
      <c r="F133" s="212" t="s">
        <v>494</v>
      </c>
      <c r="R133" s="270"/>
      <c r="S133" s="270"/>
      <c r="T133" s="293" t="s">
        <v>711</v>
      </c>
    </row>
    <row r="134" spans="1:20">
      <c r="A134" s="192"/>
      <c r="B134" s="207" t="s">
        <v>316</v>
      </c>
      <c r="F134" s="212" t="s">
        <v>494</v>
      </c>
      <c r="R134" s="270"/>
      <c r="S134" s="270"/>
      <c r="T134" s="293" t="s">
        <v>712</v>
      </c>
    </row>
    <row r="135" spans="1:20">
      <c r="A135" s="192"/>
      <c r="B135" s="207" t="s">
        <v>317</v>
      </c>
      <c r="F135" s="212" t="s">
        <v>494</v>
      </c>
      <c r="R135" s="270"/>
      <c r="S135" s="270"/>
      <c r="T135" s="293" t="s">
        <v>713</v>
      </c>
    </row>
    <row r="136" spans="1:20">
      <c r="A136" s="192"/>
      <c r="B136" s="207" t="s">
        <v>318</v>
      </c>
      <c r="F136" s="212" t="s">
        <v>494</v>
      </c>
      <c r="R136" s="270"/>
      <c r="S136" s="270"/>
      <c r="T136" s="293" t="s">
        <v>714</v>
      </c>
    </row>
    <row r="137" spans="1:20">
      <c r="A137" s="192"/>
      <c r="B137" s="207" t="s">
        <v>319</v>
      </c>
      <c r="F137" s="212" t="s">
        <v>494</v>
      </c>
      <c r="R137" s="270"/>
      <c r="S137" s="270"/>
      <c r="T137" s="293" t="s">
        <v>715</v>
      </c>
    </row>
    <row r="138" spans="1:20">
      <c r="A138" s="192"/>
      <c r="B138" s="207"/>
      <c r="R138" s="192"/>
      <c r="S138" s="192"/>
      <c r="T138" s="266"/>
    </row>
    <row r="139" spans="1:20">
      <c r="A139" s="192"/>
      <c r="B139" s="181" t="s">
        <v>384</v>
      </c>
      <c r="R139" s="192"/>
      <c r="S139" s="192"/>
      <c r="T139" s="266"/>
    </row>
    <row r="140" spans="1:20">
      <c r="A140" s="192"/>
      <c r="B140" s="207" t="s">
        <v>315</v>
      </c>
      <c r="F140" s="212" t="s">
        <v>494</v>
      </c>
      <c r="R140" s="270"/>
      <c r="S140" s="270"/>
      <c r="T140" s="293" t="s">
        <v>716</v>
      </c>
    </row>
    <row r="141" spans="1:20">
      <c r="A141" s="192"/>
      <c r="B141" s="207" t="s">
        <v>316</v>
      </c>
      <c r="F141" s="212" t="s">
        <v>494</v>
      </c>
      <c r="R141" s="270"/>
      <c r="S141" s="270"/>
      <c r="T141" s="293" t="s">
        <v>717</v>
      </c>
    </row>
    <row r="142" spans="1:20">
      <c r="A142" s="192"/>
      <c r="B142" s="207" t="s">
        <v>317</v>
      </c>
      <c r="F142" s="212" t="s">
        <v>494</v>
      </c>
      <c r="R142" s="270"/>
      <c r="S142" s="270"/>
      <c r="T142" s="293" t="s">
        <v>718</v>
      </c>
    </row>
    <row r="143" spans="1:20">
      <c r="A143" s="192"/>
      <c r="B143" s="207" t="s">
        <v>318</v>
      </c>
      <c r="F143" s="212" t="s">
        <v>494</v>
      </c>
      <c r="R143" s="270"/>
      <c r="S143" s="270"/>
      <c r="T143" s="293" t="s">
        <v>719</v>
      </c>
    </row>
    <row r="144" spans="1:20">
      <c r="A144" s="192"/>
      <c r="B144" s="207" t="s">
        <v>319</v>
      </c>
      <c r="F144" s="212" t="s">
        <v>494</v>
      </c>
      <c r="R144" s="270"/>
      <c r="S144" s="270"/>
      <c r="T144" s="293" t="s">
        <v>720</v>
      </c>
    </row>
    <row r="145" spans="1:24">
      <c r="A145" s="192"/>
      <c r="B145" s="207"/>
      <c r="R145" s="192"/>
      <c r="S145" s="192"/>
      <c r="T145" s="266"/>
    </row>
    <row r="146" spans="1:24">
      <c r="A146" s="192"/>
      <c r="B146" s="181" t="s">
        <v>385</v>
      </c>
      <c r="R146" s="192"/>
      <c r="S146" s="192"/>
      <c r="T146" s="266"/>
    </row>
    <row r="147" spans="1:24">
      <c r="A147" s="192"/>
      <c r="B147" s="207" t="s">
        <v>315</v>
      </c>
      <c r="F147" s="212" t="s">
        <v>494</v>
      </c>
      <c r="R147" s="270"/>
      <c r="S147" s="270"/>
      <c r="T147" s="293" t="s">
        <v>721</v>
      </c>
    </row>
    <row r="148" spans="1:24">
      <c r="A148" s="192"/>
      <c r="B148" s="207" t="s">
        <v>316</v>
      </c>
      <c r="F148" s="212" t="s">
        <v>494</v>
      </c>
      <c r="R148" s="270"/>
      <c r="S148" s="270"/>
      <c r="T148" s="293" t="s">
        <v>722</v>
      </c>
    </row>
    <row r="149" spans="1:24">
      <c r="A149" s="192"/>
      <c r="B149" s="207" t="s">
        <v>317</v>
      </c>
      <c r="F149" s="212" t="s">
        <v>494</v>
      </c>
      <c r="R149" s="270"/>
      <c r="S149" s="270"/>
      <c r="T149" s="293" t="s">
        <v>723</v>
      </c>
    </row>
    <row r="150" spans="1:24">
      <c r="A150" s="192"/>
      <c r="B150" s="207" t="s">
        <v>318</v>
      </c>
      <c r="F150" s="212" t="s">
        <v>494</v>
      </c>
      <c r="R150" s="270"/>
      <c r="S150" s="270"/>
      <c r="T150" s="293" t="s">
        <v>724</v>
      </c>
    </row>
    <row r="151" spans="1:24">
      <c r="A151" s="192"/>
      <c r="B151" s="207" t="s">
        <v>319</v>
      </c>
      <c r="F151" s="212" t="s">
        <v>494</v>
      </c>
      <c r="R151" s="270"/>
      <c r="S151" s="270"/>
      <c r="T151" s="293" t="s">
        <v>725</v>
      </c>
    </row>
    <row r="152" spans="1:24">
      <c r="A152" s="192"/>
      <c r="B152" s="207"/>
      <c r="R152" s="192"/>
      <c r="S152" s="192"/>
      <c r="T152" s="266"/>
    </row>
    <row r="153" spans="1:24">
      <c r="A153" s="192"/>
      <c r="B153" s="181" t="s">
        <v>386</v>
      </c>
      <c r="F153" s="212" t="s">
        <v>494</v>
      </c>
      <c r="R153" s="270"/>
      <c r="S153" s="270"/>
      <c r="T153" s="45">
        <v>47653897.849967703</v>
      </c>
    </row>
    <row r="154" spans="1:24">
      <c r="A154" s="192"/>
      <c r="B154" s="181" t="s">
        <v>545</v>
      </c>
      <c r="F154" s="212" t="s">
        <v>494</v>
      </c>
      <c r="R154" s="192"/>
      <c r="S154" s="192"/>
      <c r="U154" s="219"/>
      <c r="V154" s="214">
        <f>T153*(1+H26)</f>
        <v>51542455.914525077</v>
      </c>
      <c r="X154" s="208"/>
    </row>
    <row r="155" spans="1:24">
      <c r="A155" s="192"/>
    </row>
  </sheetData>
  <mergeCells count="1">
    <mergeCell ref="B5:L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tabColor rgb="FFCCC8D9"/>
    <pageSetUpPr autoPageBreaks="0"/>
  </sheetPr>
  <dimension ref="A2:Z90"/>
  <sheetViews>
    <sheetView showGridLines="0" zoomScale="85" zoomScaleNormal="85" workbookViewId="0">
      <pane ySplit="3" topLeftCell="A4" activePane="bottomLeft" state="frozen"/>
      <selection pane="bottomLeft"/>
    </sheetView>
  </sheetViews>
  <sheetFormatPr defaultColWidth="9.140625" defaultRowHeight="12.75"/>
  <cols>
    <col min="1" max="1" width="2.85546875" style="2" customWidth="1"/>
    <col min="2" max="2" width="20.7109375" style="2" customWidth="1"/>
    <col min="3" max="3" width="6.5703125" style="2" customWidth="1"/>
    <col min="4" max="4" width="24.7109375" style="2" customWidth="1"/>
    <col min="5" max="7" width="6.7109375" style="2" customWidth="1"/>
    <col min="8" max="8" width="24.7109375" style="2" customWidth="1"/>
    <col min="9" max="9" width="6.7109375" style="2" customWidth="1"/>
    <col min="10" max="10" width="6.7109375" style="81" customWidth="1"/>
    <col min="11" max="12" width="6.7109375" style="2" customWidth="1"/>
    <col min="13" max="13" width="24.7109375" style="2" customWidth="1"/>
    <col min="14" max="16" width="9.140625" style="2"/>
    <col min="17" max="17" width="24.7109375" style="2" customWidth="1"/>
    <col min="18" max="16384" width="9.140625" style="2"/>
  </cols>
  <sheetData>
    <row r="2" spans="2:21" s="12" customFormat="1" ht="18">
      <c r="B2" s="11" t="s">
        <v>226</v>
      </c>
    </row>
    <row r="4" spans="2:21" s="7" customFormat="1">
      <c r="B4" s="7" t="s">
        <v>15</v>
      </c>
      <c r="J4" s="85"/>
    </row>
    <row r="6" spans="2:21">
      <c r="B6" s="23" t="s">
        <v>292</v>
      </c>
    </row>
    <row r="7" spans="2:21">
      <c r="B7" s="2" t="s">
        <v>293</v>
      </c>
    </row>
    <row r="8" spans="2:21" s="81" customFormat="1"/>
    <row r="9" spans="2:21" s="81" customFormat="1"/>
    <row r="10" spans="2:21" s="7" customFormat="1">
      <c r="B10" s="7" t="s">
        <v>57</v>
      </c>
      <c r="J10" s="85"/>
    </row>
    <row r="12" spans="2:21" s="106" customFormat="1">
      <c r="B12" s="107"/>
      <c r="C12" s="108"/>
      <c r="D12" s="108" t="s">
        <v>221</v>
      </c>
      <c r="E12" s="108"/>
      <c r="F12" s="108"/>
      <c r="G12" s="108"/>
      <c r="H12" s="108" t="s">
        <v>224</v>
      </c>
      <c r="I12" s="108"/>
      <c r="J12" s="108"/>
      <c r="K12" s="108"/>
      <c r="L12" s="108"/>
      <c r="M12" s="108" t="s">
        <v>222</v>
      </c>
      <c r="N12" s="108"/>
      <c r="O12" s="108"/>
      <c r="P12" s="108"/>
      <c r="Q12" s="108" t="s">
        <v>223</v>
      </c>
      <c r="R12" s="108"/>
      <c r="S12" s="131"/>
    </row>
    <row r="13" spans="2:21" s="106" customFormat="1" ht="14.25" customHeight="1">
      <c r="B13" s="109"/>
      <c r="C13" s="110"/>
      <c r="D13" s="110"/>
      <c r="E13" s="110"/>
      <c r="F13" s="110"/>
      <c r="G13" s="110"/>
      <c r="H13" s="110"/>
      <c r="I13" s="110"/>
      <c r="J13" s="110"/>
      <c r="K13" s="110"/>
      <c r="L13" s="110"/>
      <c r="M13" s="110"/>
      <c r="N13" s="110"/>
      <c r="O13" s="110"/>
      <c r="P13" s="111"/>
      <c r="Q13" s="110"/>
      <c r="R13" s="126"/>
      <c r="S13" s="112"/>
      <c r="U13" s="124"/>
    </row>
    <row r="14" spans="2:21" s="106" customFormat="1" ht="14.25" customHeight="1">
      <c r="B14" s="113"/>
      <c r="C14" s="114"/>
      <c r="D14" s="115"/>
      <c r="E14" s="116"/>
      <c r="F14" s="117"/>
      <c r="L14" s="114"/>
      <c r="M14" s="115"/>
      <c r="N14" s="116"/>
      <c r="O14" s="117"/>
      <c r="P14" s="111"/>
      <c r="R14" s="126"/>
      <c r="S14" s="112"/>
    </row>
    <row r="15" spans="2:21" s="106" customFormat="1" ht="14.25" customHeight="1">
      <c r="B15" s="113"/>
      <c r="C15" s="118"/>
      <c r="D15" s="119" t="s">
        <v>241</v>
      </c>
      <c r="E15" s="120"/>
      <c r="F15" s="117"/>
      <c r="L15" s="118"/>
      <c r="M15" s="125" t="s">
        <v>239</v>
      </c>
      <c r="N15" s="120"/>
      <c r="O15" s="117"/>
      <c r="P15" s="111"/>
      <c r="R15" s="126"/>
      <c r="S15" s="112"/>
    </row>
    <row r="16" spans="2:21" s="106" customFormat="1" ht="14.25" customHeight="1">
      <c r="B16" s="113"/>
      <c r="C16" s="121"/>
      <c r="D16" s="122"/>
      <c r="E16" s="123"/>
      <c r="F16" s="117"/>
      <c r="L16" s="121"/>
      <c r="M16" s="122"/>
      <c r="N16" s="123"/>
      <c r="O16" s="117"/>
      <c r="P16" s="111"/>
      <c r="R16" s="126"/>
      <c r="S16" s="112"/>
      <c r="U16" s="124"/>
    </row>
    <row r="17" spans="2:26" s="106" customFormat="1" ht="14.25" customHeight="1">
      <c r="B17" s="113"/>
      <c r="F17" s="117"/>
      <c r="P17" s="111"/>
      <c r="R17" s="126"/>
      <c r="S17" s="112"/>
    </row>
    <row r="18" spans="2:26" s="106" customFormat="1" ht="14.25" customHeight="1">
      <c r="B18" s="113"/>
      <c r="F18" s="117"/>
      <c r="G18" s="114"/>
      <c r="H18" s="115"/>
      <c r="I18" s="116"/>
      <c r="L18" s="114"/>
      <c r="M18" s="115"/>
      <c r="N18" s="116"/>
      <c r="P18" s="111"/>
      <c r="R18" s="126"/>
      <c r="S18" s="112"/>
    </row>
    <row r="19" spans="2:26" s="106" customFormat="1" ht="14.25" customHeight="1">
      <c r="B19" s="113"/>
      <c r="F19" s="117"/>
      <c r="G19" s="118"/>
      <c r="H19" s="125" t="s">
        <v>238</v>
      </c>
      <c r="I19" s="120"/>
      <c r="L19" s="118"/>
      <c r="M19" s="125" t="s">
        <v>240</v>
      </c>
      <c r="N19" s="120"/>
      <c r="P19" s="111"/>
      <c r="R19" s="126"/>
      <c r="S19" s="112"/>
      <c r="U19" s="26"/>
    </row>
    <row r="20" spans="2:26" s="106" customFormat="1" ht="14.25" customHeight="1">
      <c r="B20" s="113"/>
      <c r="F20" s="117"/>
      <c r="G20" s="121"/>
      <c r="H20" s="122"/>
      <c r="I20" s="123"/>
      <c r="L20" s="121"/>
      <c r="M20" s="122"/>
      <c r="N20" s="123"/>
      <c r="P20" s="111"/>
      <c r="R20" s="126"/>
      <c r="S20" s="112"/>
    </row>
    <row r="21" spans="2:26" s="106" customFormat="1" ht="14.25" customHeight="1">
      <c r="B21" s="113"/>
      <c r="F21" s="117"/>
      <c r="P21" s="111"/>
      <c r="R21" s="126"/>
      <c r="S21" s="112"/>
    </row>
    <row r="22" spans="2:26" s="106" customFormat="1" ht="14.25" customHeight="1">
      <c r="B22" s="113"/>
      <c r="C22" s="114"/>
      <c r="D22" s="115"/>
      <c r="E22" s="116"/>
      <c r="F22" s="117"/>
      <c r="L22" s="114"/>
      <c r="M22" s="115"/>
      <c r="N22" s="116"/>
      <c r="P22" s="111"/>
      <c r="R22" s="126"/>
      <c r="S22" s="112"/>
    </row>
    <row r="23" spans="2:26" s="106" customFormat="1" ht="14.25" customHeight="1">
      <c r="B23" s="113"/>
      <c r="C23" s="118"/>
      <c r="D23" s="119" t="s">
        <v>242</v>
      </c>
      <c r="E23" s="120"/>
      <c r="L23" s="118"/>
      <c r="M23" s="125" t="s">
        <v>388</v>
      </c>
      <c r="N23" s="120"/>
      <c r="P23" s="111"/>
      <c r="R23" s="126"/>
      <c r="S23" s="112"/>
    </row>
    <row r="24" spans="2:26" s="106" customFormat="1" ht="14.25" customHeight="1">
      <c r="B24" s="113"/>
      <c r="C24" s="121"/>
      <c r="D24" s="122"/>
      <c r="E24" s="123"/>
      <c r="L24" s="121"/>
      <c r="M24" s="122"/>
      <c r="N24" s="123"/>
      <c r="P24" s="111"/>
      <c r="R24" s="126"/>
      <c r="S24" s="112"/>
    </row>
    <row r="25" spans="2:26" s="106" customFormat="1" ht="14.25" customHeight="1">
      <c r="B25" s="113"/>
      <c r="P25" s="126"/>
      <c r="R25" s="126"/>
      <c r="S25" s="112"/>
    </row>
    <row r="26" spans="2:26" s="81" customFormat="1" ht="14.25" customHeight="1">
      <c r="B26" s="113"/>
      <c r="F26" s="127"/>
      <c r="G26" s="126"/>
      <c r="H26" s="106"/>
      <c r="I26" s="106"/>
      <c r="J26" s="106"/>
      <c r="K26" s="106"/>
      <c r="L26" s="114"/>
      <c r="M26" s="115"/>
      <c r="N26" s="116"/>
      <c r="O26" s="106"/>
      <c r="S26" s="112"/>
      <c r="T26" s="106"/>
      <c r="U26" s="106"/>
      <c r="V26" s="106"/>
      <c r="W26" s="106"/>
      <c r="X26" s="106"/>
      <c r="Y26" s="106"/>
      <c r="Z26" s="106"/>
    </row>
    <row r="27" spans="2:26" s="106" customFormat="1" ht="14.25" customHeight="1">
      <c r="B27" s="113"/>
      <c r="F27" s="117"/>
      <c r="G27" s="126"/>
      <c r="L27" s="118"/>
      <c r="M27" s="125" t="s">
        <v>389</v>
      </c>
      <c r="N27" s="120"/>
      <c r="S27" s="112"/>
    </row>
    <row r="28" spans="2:26" s="106" customFormat="1" ht="14.25" customHeight="1">
      <c r="B28" s="113"/>
      <c r="F28" s="117"/>
      <c r="L28" s="121"/>
      <c r="M28" s="122"/>
      <c r="N28" s="123"/>
      <c r="S28" s="112"/>
    </row>
    <row r="29" spans="2:26" s="106" customFormat="1" ht="14.25" customHeight="1">
      <c r="B29" s="113"/>
      <c r="F29" s="117"/>
      <c r="P29" s="111"/>
      <c r="R29" s="126"/>
      <c r="S29" s="112"/>
    </row>
    <row r="30" spans="2:26" s="106" customFormat="1" ht="14.25" customHeight="1">
      <c r="B30" s="113"/>
      <c r="F30" s="117"/>
      <c r="L30" s="114"/>
      <c r="M30" s="115"/>
      <c r="N30" s="116"/>
      <c r="P30" s="111"/>
      <c r="R30" s="126"/>
      <c r="S30" s="112"/>
    </row>
    <row r="31" spans="2:26" s="106" customFormat="1" ht="14.25" customHeight="1">
      <c r="B31" s="113"/>
      <c r="C31" s="117"/>
      <c r="D31" s="117"/>
      <c r="E31" s="117"/>
      <c r="F31" s="117"/>
      <c r="L31" s="118"/>
      <c r="M31" s="125" t="s">
        <v>390</v>
      </c>
      <c r="N31" s="120"/>
      <c r="P31" s="111"/>
      <c r="R31" s="126"/>
      <c r="S31" s="112"/>
    </row>
    <row r="32" spans="2:26" s="106" customFormat="1" ht="14.25" customHeight="1">
      <c r="B32" s="113"/>
      <c r="C32" s="114"/>
      <c r="D32" s="115"/>
      <c r="E32" s="116"/>
      <c r="L32" s="121"/>
      <c r="M32" s="122"/>
      <c r="N32" s="123"/>
      <c r="P32" s="126"/>
      <c r="R32" s="126"/>
      <c r="S32" s="112"/>
    </row>
    <row r="33" spans="1:26" s="106" customFormat="1" ht="14.25" customHeight="1">
      <c r="B33" s="113"/>
      <c r="C33" s="118"/>
      <c r="D33" s="119" t="s">
        <v>243</v>
      </c>
      <c r="E33" s="120"/>
      <c r="P33" s="126"/>
      <c r="R33" s="126"/>
      <c r="S33" s="112"/>
    </row>
    <row r="34" spans="1:26" s="106" customFormat="1" ht="14.25" customHeight="1">
      <c r="B34" s="113"/>
      <c r="C34" s="121"/>
      <c r="D34" s="122"/>
      <c r="E34" s="123"/>
      <c r="L34" s="114"/>
      <c r="M34" s="115"/>
      <c r="N34" s="116"/>
      <c r="S34" s="112"/>
    </row>
    <row r="35" spans="1:26" s="81" customFormat="1" ht="14.25" customHeight="1">
      <c r="B35" s="113"/>
      <c r="C35" s="117"/>
      <c r="D35" s="117"/>
      <c r="E35" s="117"/>
      <c r="F35" s="127"/>
      <c r="J35" s="106"/>
      <c r="K35" s="106"/>
      <c r="L35" s="118"/>
      <c r="M35" s="125" t="s">
        <v>391</v>
      </c>
      <c r="N35" s="120"/>
      <c r="O35" s="106"/>
      <c r="S35" s="112"/>
      <c r="T35" s="106"/>
      <c r="U35" s="106"/>
      <c r="V35" s="106"/>
      <c r="W35" s="106"/>
      <c r="X35" s="106"/>
      <c r="Y35" s="106"/>
      <c r="Z35" s="106"/>
    </row>
    <row r="36" spans="1:26" s="106" customFormat="1" ht="14.25" customHeight="1">
      <c r="B36" s="113"/>
      <c r="F36" s="117"/>
      <c r="L36" s="121"/>
      <c r="M36" s="122"/>
      <c r="N36" s="123"/>
      <c r="S36" s="112"/>
    </row>
    <row r="37" spans="1:26" s="106" customFormat="1" ht="14.25" customHeight="1">
      <c r="B37" s="113"/>
      <c r="F37" s="117"/>
      <c r="P37" s="126"/>
      <c r="R37" s="126"/>
      <c r="S37" s="112"/>
    </row>
    <row r="38" spans="1:26" s="106" customFormat="1" ht="14.25" customHeight="1">
      <c r="B38" s="113"/>
      <c r="F38" s="117"/>
      <c r="L38" s="114"/>
      <c r="M38" s="115"/>
      <c r="N38" s="116"/>
      <c r="P38" s="126"/>
      <c r="R38" s="126"/>
      <c r="S38" s="112"/>
    </row>
    <row r="39" spans="1:26" s="106" customFormat="1" ht="14.25" customHeight="1">
      <c r="B39" s="113"/>
      <c r="F39" s="117"/>
      <c r="L39" s="118"/>
      <c r="M39" s="125" t="s">
        <v>392</v>
      </c>
      <c r="N39" s="120"/>
      <c r="P39" s="126"/>
      <c r="R39" s="126"/>
      <c r="S39" s="112"/>
    </row>
    <row r="40" spans="1:26" s="106" customFormat="1" ht="14.25" customHeight="1">
      <c r="B40" s="113"/>
      <c r="F40" s="117"/>
      <c r="L40" s="121"/>
      <c r="M40" s="122"/>
      <c r="N40" s="123"/>
      <c r="P40" s="126"/>
      <c r="R40" s="126"/>
      <c r="S40" s="112"/>
    </row>
    <row r="41" spans="1:26" s="106" customFormat="1" ht="14.25" customHeight="1">
      <c r="B41" s="113"/>
      <c r="F41" s="117"/>
      <c r="P41" s="126"/>
      <c r="R41" s="126"/>
      <c r="S41" s="112"/>
    </row>
    <row r="42" spans="1:26" s="106" customFormat="1" ht="14.25" customHeight="1">
      <c r="B42" s="113"/>
      <c r="C42" s="114"/>
      <c r="D42" s="115"/>
      <c r="E42" s="116"/>
      <c r="F42" s="117"/>
      <c r="L42" s="114"/>
      <c r="M42" s="115"/>
      <c r="N42" s="116"/>
      <c r="P42" s="111"/>
      <c r="R42" s="126"/>
      <c r="S42" s="112"/>
    </row>
    <row r="43" spans="1:26" s="106" customFormat="1" ht="14.25" customHeight="1">
      <c r="B43" s="113"/>
      <c r="C43" s="118"/>
      <c r="D43" s="237" t="s">
        <v>235</v>
      </c>
      <c r="E43" s="120"/>
      <c r="F43" s="117"/>
      <c r="L43" s="118"/>
      <c r="M43" s="125" t="s">
        <v>393</v>
      </c>
      <c r="N43" s="120"/>
      <c r="P43" s="111"/>
      <c r="R43" s="126"/>
      <c r="S43" s="112"/>
    </row>
    <row r="44" spans="1:26" s="106" customFormat="1" ht="14.25" customHeight="1">
      <c r="B44" s="113"/>
      <c r="C44" s="121"/>
      <c r="D44" s="122"/>
      <c r="E44" s="123"/>
      <c r="F44" s="127"/>
      <c r="L44" s="121"/>
      <c r="M44" s="122"/>
      <c r="N44" s="123"/>
      <c r="S44" s="112"/>
    </row>
    <row r="45" spans="1:26" s="106" customFormat="1" ht="14.25" customHeight="1">
      <c r="B45" s="113"/>
      <c r="C45" s="2"/>
      <c r="D45" s="2"/>
      <c r="E45" s="2"/>
      <c r="F45" s="127"/>
      <c r="S45" s="112"/>
    </row>
    <row r="46" spans="1:26" s="106" customFormat="1" ht="14.25" customHeight="1">
      <c r="A46" s="112"/>
      <c r="B46" s="113"/>
      <c r="C46" s="114"/>
      <c r="D46" s="115"/>
      <c r="E46" s="116"/>
      <c r="P46" s="114"/>
      <c r="Q46" s="115"/>
      <c r="R46" s="116"/>
      <c r="S46" s="112"/>
    </row>
    <row r="47" spans="1:26" ht="14.25" customHeight="1">
      <c r="A47" s="112"/>
      <c r="C47" s="118"/>
      <c r="D47" s="237" t="s">
        <v>236</v>
      </c>
      <c r="E47" s="120"/>
      <c r="P47" s="118"/>
      <c r="Q47" s="128" t="s">
        <v>294</v>
      </c>
      <c r="R47" s="120"/>
      <c r="S47" s="132"/>
    </row>
    <row r="48" spans="1:26" s="81" customFormat="1" ht="14.25" customHeight="1">
      <c r="A48" s="112"/>
      <c r="C48" s="121"/>
      <c r="D48" s="122"/>
      <c r="E48" s="123"/>
      <c r="P48" s="121"/>
      <c r="Q48" s="122"/>
      <c r="R48" s="123"/>
      <c r="S48" s="132"/>
    </row>
    <row r="49" spans="1:20" s="81" customFormat="1" ht="14.25" customHeight="1">
      <c r="A49" s="112"/>
      <c r="S49" s="132"/>
    </row>
    <row r="50" spans="1:20" s="81" customFormat="1" ht="14.25" customHeight="1">
      <c r="A50" s="112"/>
      <c r="C50" s="114"/>
      <c r="D50" s="115"/>
      <c r="E50" s="116"/>
      <c r="L50" s="114"/>
      <c r="M50" s="115"/>
      <c r="N50" s="116"/>
      <c r="S50" s="132"/>
    </row>
    <row r="51" spans="1:20" s="81" customFormat="1" ht="14.25" customHeight="1">
      <c r="A51" s="112"/>
      <c r="C51" s="118"/>
      <c r="D51" s="237" t="s">
        <v>237</v>
      </c>
      <c r="E51" s="120"/>
      <c r="L51" s="118"/>
      <c r="M51" s="125" t="s">
        <v>394</v>
      </c>
      <c r="N51" s="120"/>
      <c r="S51" s="132"/>
    </row>
    <row r="52" spans="1:20" s="81" customFormat="1" ht="14.25" customHeight="1">
      <c r="A52" s="112"/>
      <c r="C52" s="121"/>
      <c r="D52" s="122"/>
      <c r="E52" s="123"/>
      <c r="L52" s="121"/>
      <c r="M52" s="122"/>
      <c r="N52" s="123"/>
      <c r="S52" s="132"/>
    </row>
    <row r="53" spans="1:20" s="81" customFormat="1" ht="14.25" customHeight="1">
      <c r="A53" s="112"/>
      <c r="C53" s="2"/>
      <c r="D53" s="2"/>
      <c r="E53" s="2"/>
      <c r="L53" s="106"/>
      <c r="M53" s="106"/>
      <c r="N53" s="106"/>
      <c r="S53" s="132"/>
    </row>
    <row r="54" spans="1:20" s="81" customFormat="1" ht="14.25" customHeight="1">
      <c r="A54" s="112"/>
      <c r="L54" s="114"/>
      <c r="M54" s="115"/>
      <c r="N54" s="116"/>
      <c r="S54" s="132"/>
    </row>
    <row r="55" spans="1:20" s="81" customFormat="1" ht="14.25" customHeight="1">
      <c r="A55" s="112"/>
      <c r="L55" s="118"/>
      <c r="M55" s="125" t="s">
        <v>395</v>
      </c>
      <c r="N55" s="120"/>
      <c r="P55" s="114"/>
      <c r="Q55" s="115"/>
      <c r="R55" s="116"/>
      <c r="S55" s="132"/>
    </row>
    <row r="56" spans="1:20" s="81" customFormat="1" ht="14.25" customHeight="1">
      <c r="A56" s="112"/>
      <c r="L56" s="121"/>
      <c r="M56" s="122"/>
      <c r="N56" s="123"/>
      <c r="P56" s="118"/>
      <c r="Q56" s="128" t="s">
        <v>295</v>
      </c>
      <c r="R56" s="120"/>
      <c r="S56" s="132"/>
    </row>
    <row r="57" spans="1:20" s="81" customFormat="1" ht="14.25" customHeight="1">
      <c r="A57" s="112"/>
      <c r="P57" s="121"/>
      <c r="Q57" s="122"/>
      <c r="R57" s="123"/>
      <c r="S57" s="132"/>
    </row>
    <row r="58" spans="1:20" s="81" customFormat="1" ht="14.25" customHeight="1">
      <c r="A58" s="112"/>
      <c r="B58" s="129"/>
      <c r="C58" s="130"/>
      <c r="D58" s="130"/>
      <c r="E58" s="130"/>
      <c r="F58" s="130"/>
      <c r="G58" s="130"/>
      <c r="H58" s="130"/>
      <c r="I58" s="130"/>
      <c r="J58" s="130"/>
      <c r="K58" s="130"/>
      <c r="L58" s="130"/>
      <c r="M58" s="130"/>
      <c r="N58" s="130"/>
      <c r="O58" s="130"/>
      <c r="P58" s="130"/>
      <c r="Q58" s="130"/>
      <c r="R58" s="130"/>
      <c r="S58" s="133"/>
      <c r="T58" s="134"/>
    </row>
    <row r="59" spans="1:20" s="81" customFormat="1" ht="14.25" customHeight="1"/>
    <row r="60" spans="1:20" s="7" customFormat="1">
      <c r="B60" s="7" t="s">
        <v>16</v>
      </c>
      <c r="J60" s="85"/>
    </row>
    <row r="61" spans="1:20">
      <c r="C61" s="8"/>
    </row>
    <row r="62" spans="1:20">
      <c r="B62" s="213" t="s">
        <v>38</v>
      </c>
      <c r="C62" s="192"/>
      <c r="D62" s="213" t="s">
        <v>17</v>
      </c>
      <c r="F62" s="13"/>
    </row>
    <row r="63" spans="1:20">
      <c r="B63" s="226"/>
      <c r="C63" s="192"/>
      <c r="D63" s="226"/>
    </row>
    <row r="64" spans="1:20">
      <c r="B64" s="40">
        <v>123</v>
      </c>
      <c r="C64" s="192"/>
      <c r="D64" s="207" t="s">
        <v>358</v>
      </c>
    </row>
    <row r="65" spans="2:7">
      <c r="B65" s="95">
        <f>B64</f>
        <v>123</v>
      </c>
      <c r="C65" s="192"/>
      <c r="D65" s="226" t="s">
        <v>18</v>
      </c>
    </row>
    <row r="66" spans="2:7">
      <c r="B66" s="96">
        <f>B65+B64</f>
        <v>246</v>
      </c>
      <c r="C66" s="192"/>
      <c r="D66" s="226" t="s">
        <v>19</v>
      </c>
    </row>
    <row r="67" spans="2:7">
      <c r="B67" s="227">
        <f>B65+B66</f>
        <v>369</v>
      </c>
      <c r="C67" s="192"/>
      <c r="D67" s="207" t="s">
        <v>359</v>
      </c>
      <c r="E67" s="13"/>
      <c r="F67" s="5"/>
    </row>
    <row r="68" spans="2:7">
      <c r="B68" s="14"/>
      <c r="C68" s="192"/>
      <c r="D68" s="207" t="s">
        <v>20</v>
      </c>
      <c r="E68" s="13"/>
    </row>
    <row r="69" spans="2:7">
      <c r="B69" s="192"/>
      <c r="C69" s="192"/>
      <c r="D69" s="226"/>
    </row>
    <row r="70" spans="2:7">
      <c r="B70" s="228" t="s">
        <v>21</v>
      </c>
      <c r="C70" s="192"/>
      <c r="D70" s="226"/>
    </row>
    <row r="71" spans="2:7">
      <c r="B71" s="140">
        <f>B67+16</f>
        <v>385</v>
      </c>
      <c r="C71" s="192"/>
      <c r="D71" s="226" t="s">
        <v>360</v>
      </c>
    </row>
    <row r="72" spans="2:7">
      <c r="B72" s="229">
        <f>B65*PI()</f>
        <v>386.41589639154455</v>
      </c>
      <c r="C72" s="16"/>
      <c r="D72" s="226" t="s">
        <v>22</v>
      </c>
    </row>
    <row r="73" spans="2:7">
      <c r="B73" s="16"/>
      <c r="C73" s="16"/>
      <c r="D73" s="226"/>
    </row>
    <row r="74" spans="2:7">
      <c r="B74" s="228" t="s">
        <v>23</v>
      </c>
      <c r="C74" s="17"/>
      <c r="D74" s="226"/>
    </row>
    <row r="75" spans="2:7">
      <c r="B75" s="230">
        <v>123</v>
      </c>
      <c r="C75" s="17"/>
      <c r="D75" s="207" t="s">
        <v>361</v>
      </c>
      <c r="G75" s="13"/>
    </row>
    <row r="76" spans="2:7">
      <c r="B76" s="231">
        <v>124</v>
      </c>
      <c r="C76" s="17"/>
      <c r="D76" s="207" t="s">
        <v>362</v>
      </c>
    </row>
    <row r="77" spans="2:7">
      <c r="B77" s="232">
        <f>B75-B76</f>
        <v>-1</v>
      </c>
      <c r="C77" s="18"/>
      <c r="D77" s="226" t="s">
        <v>363</v>
      </c>
    </row>
    <row r="78" spans="2:7">
      <c r="B78" s="226"/>
      <c r="C78" s="226"/>
      <c r="D78" s="226"/>
    </row>
    <row r="79" spans="2:7">
      <c r="B79" s="226"/>
      <c r="C79" s="226"/>
      <c r="D79" s="226"/>
    </row>
    <row r="80" spans="2:7">
      <c r="B80" s="213" t="s">
        <v>33</v>
      </c>
      <c r="C80" s="226"/>
      <c r="D80" s="226"/>
    </row>
    <row r="81" spans="2:4">
      <c r="B81" s="181"/>
      <c r="C81" s="226"/>
      <c r="D81" s="226"/>
    </row>
    <row r="82" spans="2:4">
      <c r="B82" s="228" t="s">
        <v>39</v>
      </c>
      <c r="C82" s="226"/>
      <c r="D82" s="226"/>
    </row>
    <row r="83" spans="2:4">
      <c r="B83" s="233" t="s">
        <v>32</v>
      </c>
      <c r="C83" s="192"/>
      <c r="D83" s="207" t="s">
        <v>42</v>
      </c>
    </row>
    <row r="84" spans="2:4">
      <c r="B84" s="40" t="s">
        <v>30</v>
      </c>
      <c r="C84" s="192"/>
      <c r="D84" s="207" t="s">
        <v>34</v>
      </c>
    </row>
    <row r="85" spans="2:4">
      <c r="B85" s="234" t="s">
        <v>31</v>
      </c>
      <c r="C85" s="192"/>
      <c r="D85" s="207" t="s">
        <v>35</v>
      </c>
    </row>
    <row r="86" spans="2:4">
      <c r="B86" s="15" t="s">
        <v>31</v>
      </c>
      <c r="C86" s="192"/>
      <c r="D86" s="207" t="s">
        <v>37</v>
      </c>
    </row>
    <row r="87" spans="2:4">
      <c r="B87" s="226"/>
      <c r="C87" s="192"/>
      <c r="D87" s="207"/>
    </row>
    <row r="88" spans="2:4">
      <c r="B88" s="228" t="s">
        <v>41</v>
      </c>
      <c r="C88" s="192"/>
      <c r="D88" s="207"/>
    </row>
    <row r="89" spans="2:4">
      <c r="B89" s="22" t="s">
        <v>36</v>
      </c>
      <c r="C89" s="192"/>
      <c r="D89" s="207" t="s">
        <v>43</v>
      </c>
    </row>
    <row r="90" spans="2:4">
      <c r="B90" s="235" t="s">
        <v>40</v>
      </c>
      <c r="C90" s="226"/>
      <c r="D90" s="207" t="s">
        <v>364</v>
      </c>
    </row>
  </sheetData>
  <pageMargins left="0.75" right="0.75" top="1" bottom="1" header="0.5" footer="0.5"/>
  <pageSetup paperSize="9"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tabColor rgb="FFFFFFCC"/>
    <pageSetUpPr autoPageBreaks="0"/>
  </sheetPr>
  <dimension ref="A2:P35"/>
  <sheetViews>
    <sheetView showGridLines="0" zoomScale="85" zoomScaleNormal="85" workbookViewId="0">
      <pane xSplit="6" ySplit="12" topLeftCell="G13" activePane="bottomRight" state="frozen"/>
      <selection pane="topRight"/>
      <selection pane="bottomLeft"/>
      <selection pane="bottomRight"/>
    </sheetView>
  </sheetViews>
  <sheetFormatPr defaultColWidth="9.140625" defaultRowHeight="12.75"/>
  <cols>
    <col min="1" max="1" width="4" style="81" customWidth="1"/>
    <col min="2" max="2" width="60.42578125" style="81" customWidth="1"/>
    <col min="3" max="5" width="4.5703125" style="81" customWidth="1"/>
    <col min="6" max="6" width="13.7109375" style="81" customWidth="1"/>
    <col min="7" max="7" width="2.7109375" style="81" customWidth="1"/>
    <col min="8" max="8" width="13.7109375" style="81" customWidth="1"/>
    <col min="9" max="9" width="2.7109375" style="81" customWidth="1"/>
    <col min="10" max="10" width="12.5703125" style="81" customWidth="1"/>
    <col min="11" max="11" width="2.7109375" style="81" customWidth="1"/>
    <col min="12" max="13" width="12.5703125" style="81" customWidth="1"/>
    <col min="14" max="14" width="2.7109375" style="81" customWidth="1"/>
    <col min="15" max="29" width="13.7109375" style="81" customWidth="1"/>
    <col min="30" max="16384" width="9.140625" style="81"/>
  </cols>
  <sheetData>
    <row r="2" spans="1:16" s="20" customFormat="1" ht="18">
      <c r="B2" s="71" t="s">
        <v>367</v>
      </c>
    </row>
    <row r="4" spans="1:16">
      <c r="B4" s="300" t="s">
        <v>554</v>
      </c>
      <c r="C4" s="301"/>
      <c r="D4" s="301"/>
      <c r="E4" s="301"/>
    </row>
    <row r="5" spans="1:16">
      <c r="B5" s="301"/>
      <c r="C5" s="301"/>
      <c r="D5" s="301"/>
      <c r="E5" s="301"/>
    </row>
    <row r="6" spans="1:16">
      <c r="B6" s="301"/>
      <c r="C6" s="301"/>
      <c r="D6" s="301"/>
      <c r="E6" s="301"/>
    </row>
    <row r="7" spans="1:16">
      <c r="B7" s="301"/>
      <c r="C7" s="301"/>
      <c r="D7" s="301"/>
      <c r="E7" s="301"/>
    </row>
    <row r="8" spans="1:16">
      <c r="B8" s="301"/>
      <c r="C8" s="301"/>
      <c r="D8" s="301"/>
      <c r="E8" s="301"/>
    </row>
    <row r="9" spans="1:16">
      <c r="B9" s="301"/>
      <c r="C9" s="301"/>
      <c r="D9" s="301"/>
      <c r="E9" s="301"/>
    </row>
    <row r="11" spans="1:16" s="85" customFormat="1">
      <c r="B11" s="85" t="s">
        <v>44</v>
      </c>
      <c r="F11" s="85" t="s">
        <v>26</v>
      </c>
      <c r="H11" s="85" t="s">
        <v>27</v>
      </c>
      <c r="J11" s="85" t="s">
        <v>48</v>
      </c>
      <c r="L11" s="85" t="s">
        <v>80</v>
      </c>
      <c r="M11" s="85" t="s">
        <v>82</v>
      </c>
      <c r="O11" s="85" t="s">
        <v>46</v>
      </c>
      <c r="P11" s="35"/>
    </row>
    <row r="14" spans="1:16" s="85" customFormat="1">
      <c r="B14" s="85" t="s">
        <v>47</v>
      </c>
    </row>
    <row r="15" spans="1:16">
      <c r="A15" s="192"/>
    </row>
    <row r="16" spans="1:16">
      <c r="A16" s="192"/>
      <c r="B16" s="80" t="s">
        <v>59</v>
      </c>
    </row>
    <row r="17" spans="1:15">
      <c r="A17" s="192"/>
      <c r="B17" s="81" t="s">
        <v>549</v>
      </c>
      <c r="F17" s="81" t="s">
        <v>60</v>
      </c>
      <c r="H17" s="91">
        <f>'Tab 12_Berekening parameters'!V37</f>
        <v>0.1239035018270298</v>
      </c>
      <c r="O17" s="5"/>
    </row>
    <row r="18" spans="1:15">
      <c r="A18" s="192"/>
      <c r="B18" s="81" t="s">
        <v>550</v>
      </c>
      <c r="F18" s="81" t="s">
        <v>60</v>
      </c>
      <c r="H18" s="91">
        <f>'Tab 12_Berekening parameters'!V38</f>
        <v>9.3291344189717629E-2</v>
      </c>
      <c r="O18" s="5"/>
    </row>
    <row r="19" spans="1:15">
      <c r="A19" s="192"/>
      <c r="B19" s="81" t="s">
        <v>551</v>
      </c>
      <c r="F19" s="81" t="s">
        <v>60</v>
      </c>
      <c r="H19" s="91">
        <f>'Tab 12_Berekening parameters'!V39</f>
        <v>8.2466677415561795E-2</v>
      </c>
      <c r="O19" s="5"/>
    </row>
    <row r="20" spans="1:15">
      <c r="A20" s="192"/>
    </row>
    <row r="21" spans="1:15">
      <c r="A21" s="192"/>
      <c r="B21" s="80" t="s">
        <v>180</v>
      </c>
    </row>
    <row r="22" spans="1:15">
      <c r="A22" s="192"/>
      <c r="B22" s="81" t="s">
        <v>174</v>
      </c>
      <c r="F22" s="81" t="s">
        <v>177</v>
      </c>
      <c r="M22" s="36">
        <f>'Tab 10_Brondata'!N82</f>
        <v>12414582.98</v>
      </c>
    </row>
    <row r="23" spans="1:15">
      <c r="A23" s="192"/>
      <c r="B23" s="81" t="s">
        <v>175</v>
      </c>
      <c r="F23" s="202" t="s">
        <v>178</v>
      </c>
      <c r="M23" s="36">
        <f>'Tab 10_Brondata'!O82</f>
        <v>14319292.699999999</v>
      </c>
    </row>
    <row r="24" spans="1:15">
      <c r="A24" s="192"/>
      <c r="B24" s="81" t="s">
        <v>176</v>
      </c>
      <c r="F24" s="202" t="s">
        <v>179</v>
      </c>
      <c r="M24" s="36">
        <f>'Tab 10_Brondata'!P82</f>
        <v>16907979.559999999</v>
      </c>
    </row>
    <row r="25" spans="1:15">
      <c r="A25" s="192"/>
    </row>
    <row r="26" spans="1:15">
      <c r="A26" s="192"/>
      <c r="B26" s="80" t="s">
        <v>421</v>
      </c>
    </row>
    <row r="27" spans="1:15">
      <c r="A27" s="192"/>
      <c r="B27" s="81" t="s">
        <v>422</v>
      </c>
      <c r="F27" s="81" t="s">
        <v>177</v>
      </c>
      <c r="L27" s="36">
        <f>'Tab 10_Brondata'!N86</f>
        <v>1383422.63</v>
      </c>
    </row>
    <row r="28" spans="1:15">
      <c r="A28" s="192"/>
      <c r="B28" s="81" t="s">
        <v>423</v>
      </c>
      <c r="F28" s="202" t="s">
        <v>178</v>
      </c>
      <c r="L28" s="36">
        <f>'Tab 10_Brondata'!O86</f>
        <v>-1211200</v>
      </c>
    </row>
    <row r="29" spans="1:15">
      <c r="A29" s="192"/>
      <c r="B29" s="81" t="s">
        <v>424</v>
      </c>
      <c r="F29" s="202" t="s">
        <v>179</v>
      </c>
      <c r="L29" s="36">
        <f>'Tab 10_Brondata'!P86</f>
        <v>-14164357.859999999</v>
      </c>
    </row>
    <row r="31" spans="1:15" s="85" customFormat="1">
      <c r="B31" s="85" t="s">
        <v>172</v>
      </c>
    </row>
    <row r="32" spans="1:15">
      <c r="A32" s="192"/>
    </row>
    <row r="33" spans="1:15">
      <c r="A33" s="192"/>
      <c r="B33" s="81" t="s">
        <v>552</v>
      </c>
      <c r="F33" s="81" t="s">
        <v>199</v>
      </c>
      <c r="J33" s="243"/>
      <c r="L33" s="89"/>
      <c r="M33" s="73">
        <f>(1/3)*(M22*(1+H17)+M23*(1+H18)+M24*(1+H19))</f>
        <v>15970092.168298895</v>
      </c>
      <c r="O33" s="83"/>
    </row>
    <row r="34" spans="1:15">
      <c r="A34" s="192"/>
      <c r="J34" s="192"/>
    </row>
    <row r="35" spans="1:15">
      <c r="A35" s="192"/>
      <c r="B35" s="81" t="s">
        <v>553</v>
      </c>
      <c r="F35" s="81" t="s">
        <v>199</v>
      </c>
      <c r="J35" s="243"/>
      <c r="L35" s="73">
        <f>(1/3)*(L27*(1+H17)+L28*(1+H18)+L29*(1+H19))</f>
        <v>-5033935.4427193413</v>
      </c>
      <c r="M35" s="14"/>
      <c r="O35" s="83"/>
    </row>
  </sheetData>
  <mergeCells count="1">
    <mergeCell ref="B4:E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tabColor rgb="FFFFFFCC"/>
    <pageSetUpPr autoPageBreaks="0"/>
  </sheetPr>
  <dimension ref="A1:P42"/>
  <sheetViews>
    <sheetView showGridLines="0" zoomScale="85" zoomScaleNormal="85" workbookViewId="0">
      <pane xSplit="6" ySplit="12" topLeftCell="G22" activePane="bottomRight" state="frozen"/>
      <selection pane="topRight"/>
      <selection pane="bottomLeft"/>
      <selection pane="bottomRight"/>
    </sheetView>
  </sheetViews>
  <sheetFormatPr defaultColWidth="9.140625" defaultRowHeight="12.75"/>
  <cols>
    <col min="1" max="1" width="4" style="2" customWidth="1"/>
    <col min="2" max="2" width="67.1406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2.5703125" style="2" customWidth="1"/>
    <col min="11" max="11" width="2.7109375" style="2" customWidth="1"/>
    <col min="12" max="13" width="12.5703125" style="2" customWidth="1"/>
    <col min="14" max="14" width="2.7109375" style="2" customWidth="1"/>
    <col min="15" max="29" width="13.7109375" style="2" customWidth="1"/>
    <col min="30" max="16384" width="9.140625" style="2"/>
  </cols>
  <sheetData>
    <row r="1" spans="1:16">
      <c r="A1" s="8"/>
    </row>
    <row r="2" spans="1:16" s="20" customFormat="1" ht="18">
      <c r="B2" s="20" t="s">
        <v>368</v>
      </c>
    </row>
    <row r="4" spans="1:16" s="81" customFormat="1" ht="12.75" customHeight="1">
      <c r="B4" s="306" t="s">
        <v>555</v>
      </c>
      <c r="C4" s="306"/>
      <c r="D4" s="306"/>
      <c r="E4" s="306"/>
      <c r="F4" s="265"/>
      <c r="G4" s="265"/>
      <c r="H4" s="265"/>
      <c r="I4" s="265"/>
      <c r="J4" s="265"/>
    </row>
    <row r="5" spans="1:16" s="81" customFormat="1">
      <c r="B5" s="306"/>
      <c r="C5" s="306"/>
      <c r="D5" s="306"/>
      <c r="E5" s="306"/>
      <c r="F5" s="265"/>
      <c r="G5" s="265"/>
      <c r="H5" s="265"/>
      <c r="I5" s="265"/>
      <c r="J5" s="265"/>
    </row>
    <row r="6" spans="1:16" s="81" customFormat="1">
      <c r="B6" s="306"/>
      <c r="C6" s="306"/>
      <c r="D6" s="306"/>
      <c r="E6" s="306"/>
      <c r="F6" s="265"/>
      <c r="G6" s="265"/>
      <c r="H6" s="265"/>
      <c r="I6" s="265"/>
      <c r="J6" s="265"/>
    </row>
    <row r="7" spans="1:16" s="81" customFormat="1">
      <c r="B7" s="306"/>
      <c r="C7" s="306"/>
      <c r="D7" s="306"/>
      <c r="E7" s="306"/>
      <c r="F7" s="265"/>
      <c r="G7" s="265"/>
      <c r="H7" s="265"/>
      <c r="I7" s="265"/>
      <c r="J7" s="265"/>
    </row>
    <row r="8" spans="1:16" s="81" customFormat="1">
      <c r="B8" s="306"/>
      <c r="C8" s="306"/>
      <c r="D8" s="306"/>
      <c r="E8" s="306"/>
      <c r="F8" s="265"/>
      <c r="G8" s="265"/>
      <c r="H8" s="265"/>
      <c r="I8" s="265"/>
      <c r="J8" s="265"/>
    </row>
    <row r="9" spans="1:16" s="81" customFormat="1">
      <c r="B9" s="306"/>
      <c r="C9" s="306"/>
      <c r="D9" s="306"/>
      <c r="E9" s="306"/>
      <c r="F9" s="265"/>
      <c r="G9" s="265"/>
      <c r="H9" s="265"/>
      <c r="I9" s="265"/>
      <c r="J9" s="265"/>
    </row>
    <row r="10" spans="1:16" s="81" customFormat="1">
      <c r="B10" s="272"/>
      <c r="C10" s="272"/>
      <c r="D10" s="272"/>
      <c r="E10" s="272"/>
    </row>
    <row r="11" spans="1:16" s="7" customFormat="1">
      <c r="B11" s="7" t="s">
        <v>44</v>
      </c>
      <c r="F11" s="7" t="s">
        <v>26</v>
      </c>
      <c r="H11" s="7" t="s">
        <v>27</v>
      </c>
      <c r="J11" s="7" t="s">
        <v>48</v>
      </c>
      <c r="L11" s="7" t="s">
        <v>80</v>
      </c>
      <c r="M11" s="7" t="s">
        <v>82</v>
      </c>
      <c r="O11" s="7" t="s">
        <v>46</v>
      </c>
      <c r="P11" s="35"/>
    </row>
    <row r="14" spans="1:16" s="7" customFormat="1">
      <c r="B14" s="7" t="s">
        <v>47</v>
      </c>
    </row>
    <row r="15" spans="1:16">
      <c r="A15" s="192"/>
    </row>
    <row r="16" spans="1:16">
      <c r="A16" s="192"/>
      <c r="B16" s="2" t="s">
        <v>544</v>
      </c>
      <c r="F16" s="2" t="s">
        <v>60</v>
      </c>
      <c r="H16" s="102">
        <f>'Tab 12_Berekening parameters'!V61</f>
        <v>8.1600000000000117E-2</v>
      </c>
      <c r="O16" s="5"/>
    </row>
    <row r="17" spans="1:15">
      <c r="A17" s="192"/>
    </row>
    <row r="18" spans="1:15">
      <c r="A18" s="192"/>
      <c r="B18" s="1" t="s">
        <v>149</v>
      </c>
    </row>
    <row r="19" spans="1:15">
      <c r="A19" s="192"/>
      <c r="B19" s="2" t="s">
        <v>556</v>
      </c>
      <c r="F19" s="2" t="s">
        <v>558</v>
      </c>
      <c r="L19" s="36">
        <f>'Tab 6_Correcties en prognoses'!T15</f>
        <v>-1057119</v>
      </c>
      <c r="M19" s="36">
        <f>'Tab 6_Correcties en prognoses'!T21</f>
        <v>3281416</v>
      </c>
    </row>
    <row r="20" spans="1:15">
      <c r="A20" s="192"/>
    </row>
    <row r="21" spans="1:15">
      <c r="A21" s="192"/>
      <c r="B21" s="1" t="s">
        <v>152</v>
      </c>
    </row>
    <row r="22" spans="1:15">
      <c r="A22" s="192"/>
      <c r="B22" s="2" t="s">
        <v>520</v>
      </c>
      <c r="F22" s="202" t="s">
        <v>558</v>
      </c>
      <c r="M22" s="36">
        <f>'Tab 10_Brondata'!T81</f>
        <v>15427119.278183935</v>
      </c>
      <c r="O22" s="26"/>
    </row>
    <row r="23" spans="1:15">
      <c r="A23" s="192"/>
      <c r="B23" s="2" t="s">
        <v>557</v>
      </c>
      <c r="F23" s="202" t="s">
        <v>558</v>
      </c>
      <c r="M23" s="36">
        <f>'Tab 10_Brondata'!T82</f>
        <v>20364643.440000001</v>
      </c>
    </row>
    <row r="24" spans="1:15">
      <c r="A24" s="192"/>
    </row>
    <row r="25" spans="1:15">
      <c r="A25" s="192"/>
      <c r="B25" s="1" t="s">
        <v>560</v>
      </c>
    </row>
    <row r="26" spans="1:15">
      <c r="A26" s="192"/>
      <c r="B26" s="2" t="s">
        <v>521</v>
      </c>
      <c r="F26" s="202" t="s">
        <v>558</v>
      </c>
      <c r="L26" s="36">
        <f>'Tab 10_Brondata'!T85</f>
        <v>-4862784.8665560354</v>
      </c>
      <c r="O26" s="26"/>
    </row>
    <row r="27" spans="1:15">
      <c r="A27" s="192"/>
      <c r="B27" s="2" t="s">
        <v>559</v>
      </c>
      <c r="F27" s="202" t="s">
        <v>558</v>
      </c>
      <c r="L27" s="36">
        <f>'Tab 10_Brondata'!T86</f>
        <v>-8352546.3211448845</v>
      </c>
    </row>
    <row r="28" spans="1:15">
      <c r="A28" s="192"/>
    </row>
    <row r="29" spans="1:15" s="7" customFormat="1">
      <c r="B29" s="7" t="s">
        <v>151</v>
      </c>
    </row>
    <row r="31" spans="1:15">
      <c r="A31" s="192"/>
      <c r="B31" s="1" t="s">
        <v>125</v>
      </c>
    </row>
    <row r="32" spans="1:15">
      <c r="A32" s="192"/>
      <c r="B32" s="2" t="s">
        <v>599</v>
      </c>
      <c r="F32" s="2" t="s">
        <v>561</v>
      </c>
      <c r="J32" s="100"/>
      <c r="L32" s="38">
        <f>L19*(1+$H$16)</f>
        <v>-1143379.9104000002</v>
      </c>
      <c r="M32" s="38">
        <f>M19*(1+$H$16)</f>
        <v>3549179.5456000003</v>
      </c>
      <c r="O32" s="165"/>
    </row>
    <row r="33" spans="1:16">
      <c r="A33" s="192"/>
      <c r="J33" s="243"/>
    </row>
    <row r="34" spans="1:16">
      <c r="A34" s="192"/>
      <c r="B34" s="1" t="s">
        <v>153</v>
      </c>
      <c r="J34" s="243"/>
    </row>
    <row r="35" spans="1:16">
      <c r="A35" s="192"/>
      <c r="B35" s="2" t="s">
        <v>635</v>
      </c>
      <c r="F35" s="2" t="s">
        <v>558</v>
      </c>
      <c r="J35" s="100"/>
      <c r="L35" s="14"/>
      <c r="M35" s="37">
        <f>M23-M22</f>
        <v>4937524.1618160661</v>
      </c>
    </row>
    <row r="36" spans="1:16">
      <c r="A36" s="192"/>
      <c r="B36" s="2" t="s">
        <v>606</v>
      </c>
      <c r="F36" s="2" t="s">
        <v>561</v>
      </c>
      <c r="J36" s="100"/>
      <c r="L36" s="14"/>
      <c r="M36" s="38">
        <f>M35*(1+H16)</f>
        <v>5340426.1334202578</v>
      </c>
    </row>
    <row r="37" spans="1:16">
      <c r="A37" s="192"/>
      <c r="J37" s="243"/>
    </row>
    <row r="38" spans="1:16">
      <c r="A38" s="192"/>
      <c r="B38" s="1" t="s">
        <v>420</v>
      </c>
      <c r="J38" s="243"/>
      <c r="O38" s="82"/>
    </row>
    <row r="39" spans="1:16">
      <c r="A39" s="192"/>
      <c r="B39" s="2" t="s">
        <v>635</v>
      </c>
      <c r="F39" s="2" t="s">
        <v>558</v>
      </c>
      <c r="J39" s="100"/>
      <c r="L39" s="37">
        <f>L27-L26</f>
        <v>-3489761.4545888491</v>
      </c>
      <c r="M39" s="14"/>
      <c r="O39" s="82"/>
    </row>
    <row r="40" spans="1:16">
      <c r="A40" s="192"/>
      <c r="B40" s="23" t="s">
        <v>607</v>
      </c>
      <c r="F40" s="2" t="s">
        <v>561</v>
      </c>
      <c r="J40" s="100"/>
      <c r="L40" s="38">
        <f>L39*(1+H16)</f>
        <v>-3774525.9892832995</v>
      </c>
      <c r="M40" s="14"/>
      <c r="O40" s="157"/>
      <c r="P40" s="5"/>
    </row>
    <row r="41" spans="1:16">
      <c r="A41" s="192"/>
      <c r="O41" s="82"/>
    </row>
    <row r="42" spans="1:16">
      <c r="A42" s="192"/>
      <c r="O42" s="82"/>
    </row>
  </sheetData>
  <mergeCells count="1">
    <mergeCell ref="B4:E9"/>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tabColor rgb="FFFFFFCC"/>
    <pageSetUpPr autoPageBreaks="0"/>
  </sheetPr>
  <dimension ref="A1:Y58"/>
  <sheetViews>
    <sheetView showGridLines="0" zoomScale="85" zoomScaleNormal="85" workbookViewId="0">
      <pane xSplit="6" ySplit="11" topLeftCell="G12" activePane="bottomRight" state="frozen"/>
      <selection pane="topRight"/>
      <selection pane="bottomLeft"/>
      <selection pane="bottomRight"/>
    </sheetView>
  </sheetViews>
  <sheetFormatPr defaultColWidth="9.140625" defaultRowHeight="12.75"/>
  <cols>
    <col min="1" max="1" width="4" style="2" customWidth="1"/>
    <col min="2" max="2" width="75.5703125" style="2" customWidth="1"/>
    <col min="3" max="5" width="4.5703125" style="2" customWidth="1"/>
    <col min="6" max="6" width="16.7109375" style="2" customWidth="1"/>
    <col min="7" max="7" width="2.7109375" style="2" customWidth="1"/>
    <col min="8" max="8" width="13.7109375" style="2" customWidth="1"/>
    <col min="9" max="9" width="2.7109375" style="2" customWidth="1"/>
    <col min="10" max="10" width="12.5703125" style="2" customWidth="1"/>
    <col min="11" max="11" width="2.7109375" style="2" customWidth="1"/>
    <col min="12" max="18" width="12.5703125" style="2" customWidth="1"/>
    <col min="19" max="19" width="12.5703125" style="155" customWidth="1"/>
    <col min="20" max="20" width="12.5703125" style="202" customWidth="1"/>
    <col min="21" max="21" width="12.5703125" style="217" customWidth="1"/>
    <col min="22" max="22" width="12.5703125" style="266" customWidth="1"/>
    <col min="23" max="23" width="2.7109375" style="2" customWidth="1"/>
    <col min="24" max="38" width="13.7109375" style="2" customWidth="1"/>
    <col min="39" max="16384" width="9.140625" style="2"/>
  </cols>
  <sheetData>
    <row r="1" spans="1:25">
      <c r="A1" s="8"/>
    </row>
    <row r="2" spans="1:25" s="20" customFormat="1" ht="18">
      <c r="B2" s="20" t="s">
        <v>369</v>
      </c>
    </row>
    <row r="4" spans="1:25">
      <c r="B4" s="1" t="s">
        <v>56</v>
      </c>
      <c r="C4" s="1"/>
      <c r="D4" s="1"/>
    </row>
    <row r="5" spans="1:25" ht="12.75" customHeight="1">
      <c r="B5" s="303" t="s">
        <v>349</v>
      </c>
      <c r="C5" s="307"/>
      <c r="D5" s="307"/>
      <c r="E5" s="307"/>
      <c r="H5" s="21"/>
    </row>
    <row r="6" spans="1:25">
      <c r="B6" s="307"/>
      <c r="C6" s="307"/>
      <c r="D6" s="307"/>
      <c r="E6" s="307"/>
      <c r="F6" s="5"/>
      <c r="H6" s="21"/>
    </row>
    <row r="7" spans="1:25">
      <c r="B7" s="307"/>
      <c r="C7" s="307"/>
      <c r="D7" s="307"/>
      <c r="E7" s="307"/>
      <c r="H7" s="21"/>
    </row>
    <row r="8" spans="1:25">
      <c r="B8" s="307"/>
      <c r="C8" s="307"/>
      <c r="D8" s="307"/>
      <c r="E8" s="307"/>
    </row>
    <row r="9" spans="1:25" s="81" customFormat="1">
      <c r="B9" s="307"/>
      <c r="C9" s="307"/>
      <c r="D9" s="307"/>
      <c r="E9" s="307"/>
      <c r="S9" s="155"/>
      <c r="T9" s="202"/>
      <c r="U9" s="217"/>
      <c r="V9" s="266"/>
    </row>
    <row r="10" spans="1:25" s="7" customFormat="1">
      <c r="B10" s="7" t="s">
        <v>44</v>
      </c>
      <c r="F10" s="7" t="s">
        <v>26</v>
      </c>
      <c r="H10" s="7" t="s">
        <v>27</v>
      </c>
      <c r="J10" s="7" t="s">
        <v>48</v>
      </c>
      <c r="L10" s="72">
        <v>2011</v>
      </c>
      <c r="M10" s="72">
        <v>2012</v>
      </c>
      <c r="N10" s="72">
        <v>2013</v>
      </c>
      <c r="O10" s="72">
        <v>2014</v>
      </c>
      <c r="P10" s="72">
        <v>2015</v>
      </c>
      <c r="Q10" s="72">
        <v>2016</v>
      </c>
      <c r="R10" s="72">
        <v>2017</v>
      </c>
      <c r="S10" s="72">
        <v>2018</v>
      </c>
      <c r="T10" s="72">
        <v>2019</v>
      </c>
      <c r="U10" s="72">
        <v>2020</v>
      </c>
      <c r="V10" s="72">
        <v>2021</v>
      </c>
      <c r="X10" s="7" t="s">
        <v>46</v>
      </c>
      <c r="Y10" s="35"/>
    </row>
    <row r="13" spans="1:25" s="7" customFormat="1">
      <c r="B13" s="7" t="s">
        <v>47</v>
      </c>
      <c r="S13" s="85"/>
      <c r="T13" s="184"/>
      <c r="U13" s="184"/>
      <c r="V13" s="184"/>
    </row>
    <row r="15" spans="1:25">
      <c r="A15" s="192"/>
      <c r="B15" s="1" t="s">
        <v>67</v>
      </c>
    </row>
    <row r="16" spans="1:25">
      <c r="A16" s="192"/>
      <c r="B16" s="2" t="s">
        <v>562</v>
      </c>
      <c r="F16" s="2" t="s">
        <v>60</v>
      </c>
      <c r="H16" s="102">
        <f>'Tab 12_Berekening parameters'!V53</f>
        <v>0.43320984435984089</v>
      </c>
      <c r="X16" s="5"/>
    </row>
    <row r="17" spans="1:24">
      <c r="A17" s="192"/>
      <c r="B17" s="81" t="s">
        <v>563</v>
      </c>
      <c r="F17" s="2" t="s">
        <v>60</v>
      </c>
      <c r="H17" s="102">
        <f>'Tab 12_Berekening parameters'!V54</f>
        <v>0.39519540194730718</v>
      </c>
      <c r="X17" s="5"/>
    </row>
    <row r="18" spans="1:24">
      <c r="A18" s="192"/>
      <c r="B18" s="81" t="s">
        <v>564</v>
      </c>
      <c r="F18" s="2" t="s">
        <v>60</v>
      </c>
      <c r="H18" s="102">
        <f>'Tab 12_Berekening parameters'!V55</f>
        <v>0.35868765191103602</v>
      </c>
      <c r="X18" s="5"/>
    </row>
    <row r="19" spans="1:24">
      <c r="A19" s="192"/>
      <c r="B19" s="81" t="s">
        <v>565</v>
      </c>
      <c r="F19" s="2" t="s">
        <v>60</v>
      </c>
      <c r="H19" s="102">
        <f>'Tab 12_Berekening parameters'!V56</f>
        <v>0.31593177923584048</v>
      </c>
      <c r="X19" s="5"/>
    </row>
    <row r="20" spans="1:24">
      <c r="A20" s="192"/>
      <c r="B20" s="81" t="s">
        <v>566</v>
      </c>
      <c r="F20" s="2" t="s">
        <v>60</v>
      </c>
      <c r="H20" s="102">
        <f>'Tab 12_Berekening parameters'!V57</f>
        <v>0.26531901849600037</v>
      </c>
      <c r="X20" s="5"/>
    </row>
    <row r="21" spans="1:24">
      <c r="A21" s="192"/>
      <c r="B21" s="81" t="s">
        <v>567</v>
      </c>
      <c r="F21" s="2" t="s">
        <v>60</v>
      </c>
      <c r="H21" s="102">
        <f>'Tab 12_Berekening parameters'!V58</f>
        <v>0.21665290240000035</v>
      </c>
      <c r="X21" s="5"/>
    </row>
    <row r="22" spans="1:24">
      <c r="A22" s="192"/>
      <c r="B22" s="81" t="s">
        <v>568</v>
      </c>
      <c r="F22" s="2" t="s">
        <v>60</v>
      </c>
      <c r="H22" s="102">
        <f>'Tab 12_Berekening parameters'!V59</f>
        <v>0.16985856000000021</v>
      </c>
      <c r="X22" s="5"/>
    </row>
    <row r="23" spans="1:24" s="155" customFormat="1">
      <c r="A23" s="192"/>
      <c r="B23" s="155" t="s">
        <v>543</v>
      </c>
      <c r="F23" s="155" t="s">
        <v>60</v>
      </c>
      <c r="H23" s="102">
        <f>'Tab 12_Berekening parameters'!V60</f>
        <v>0.12486400000000009</v>
      </c>
      <c r="T23" s="202"/>
      <c r="U23" s="217"/>
      <c r="V23" s="266"/>
      <c r="X23" s="5"/>
    </row>
    <row r="24" spans="1:24" s="202" customFormat="1">
      <c r="A24" s="192"/>
      <c r="B24" s="202" t="s">
        <v>544</v>
      </c>
      <c r="F24" s="202" t="s">
        <v>60</v>
      </c>
      <c r="H24" s="102">
        <f>'Tab 12_Berekening parameters'!V61</f>
        <v>8.1600000000000117E-2</v>
      </c>
      <c r="L24" s="5"/>
      <c r="U24" s="217"/>
      <c r="V24" s="266"/>
      <c r="X24" s="5"/>
    </row>
    <row r="25" spans="1:24" s="266" customFormat="1">
      <c r="A25" s="192"/>
      <c r="B25" s="266" t="s">
        <v>569</v>
      </c>
      <c r="F25" s="266" t="s">
        <v>60</v>
      </c>
      <c r="H25" s="102">
        <f>'Tab 12_Berekening parameters'!V62</f>
        <v>4.0000000000000036E-2</v>
      </c>
    </row>
    <row r="26" spans="1:24" s="266" customFormat="1">
      <c r="A26" s="192"/>
    </row>
    <row r="27" spans="1:24" s="81" customFormat="1">
      <c r="A27" s="192"/>
      <c r="B27" s="80" t="s">
        <v>347</v>
      </c>
      <c r="S27" s="155"/>
      <c r="T27" s="202"/>
      <c r="U27" s="217"/>
      <c r="V27" s="266"/>
    </row>
    <row r="28" spans="1:24">
      <c r="A28" s="192"/>
      <c r="B28" s="2" t="s">
        <v>147</v>
      </c>
      <c r="F28" s="2" t="s">
        <v>494</v>
      </c>
      <c r="L28" s="36">
        <f>'Tab 6_Correcties en prognoses'!L18</f>
        <v>0</v>
      </c>
      <c r="M28" s="36">
        <f>'Tab 6_Correcties en prognoses'!M18</f>
        <v>0</v>
      </c>
      <c r="N28" s="36">
        <f>'Tab 6_Correcties en prognoses'!N18</f>
        <v>0</v>
      </c>
      <c r="O28" s="36">
        <f>'Tab 6_Correcties en prognoses'!O18</f>
        <v>0</v>
      </c>
      <c r="P28" s="36">
        <f>'Tab 6_Correcties en prognoses'!P18</f>
        <v>0</v>
      </c>
      <c r="Q28" s="36">
        <f>'Tab 6_Correcties en prognoses'!Q18</f>
        <v>0</v>
      </c>
      <c r="R28" s="36">
        <f>'Tab 6_Correcties en prognoses'!R18</f>
        <v>0</v>
      </c>
      <c r="S28" s="188">
        <f>'Tab 6_Correcties en prognoses'!S18</f>
        <v>0</v>
      </c>
      <c r="T28" s="188">
        <f>'Tab 6_Correcties en prognoses'!T18</f>
        <v>0</v>
      </c>
      <c r="X28" s="21"/>
    </row>
    <row r="29" spans="1:24" s="81" customFormat="1">
      <c r="A29" s="192"/>
      <c r="B29" s="8"/>
      <c r="L29" s="44"/>
      <c r="M29" s="44"/>
      <c r="N29" s="44"/>
      <c r="O29" s="44"/>
      <c r="P29" s="44"/>
      <c r="Q29" s="44"/>
      <c r="R29" s="44"/>
      <c r="S29" s="44"/>
      <c r="T29" s="202"/>
      <c r="U29" s="217"/>
      <c r="V29" s="266"/>
    </row>
    <row r="30" spans="1:24" s="217" customFormat="1">
      <c r="A30" s="192"/>
      <c r="B30" s="181" t="s">
        <v>348</v>
      </c>
      <c r="L30" s="44"/>
      <c r="M30" s="44"/>
      <c r="N30" s="44"/>
      <c r="O30" s="44"/>
      <c r="P30" s="44"/>
      <c r="Q30" s="44"/>
      <c r="R30" s="44"/>
      <c r="S30" s="44"/>
      <c r="V30" s="266"/>
    </row>
    <row r="31" spans="1:24">
      <c r="A31" s="192"/>
      <c r="B31" s="8" t="s">
        <v>148</v>
      </c>
      <c r="F31" s="2" t="s">
        <v>494</v>
      </c>
      <c r="L31" s="36">
        <f>'Tab 6_Correcties en prognoses'!L24</f>
        <v>0</v>
      </c>
      <c r="M31" s="36">
        <f>'Tab 6_Correcties en prognoses'!M24</f>
        <v>0</v>
      </c>
      <c r="N31" s="36">
        <f>'Tab 6_Correcties en prognoses'!N24</f>
        <v>0</v>
      </c>
      <c r="O31" s="36">
        <f>'Tab 6_Correcties en prognoses'!O24</f>
        <v>-2760</v>
      </c>
      <c r="P31" s="36">
        <f>'Tab 6_Correcties en prognoses'!P24</f>
        <v>-2760</v>
      </c>
      <c r="Q31" s="36">
        <f>'Tab 6_Correcties en prognoses'!Q24</f>
        <v>-2760</v>
      </c>
      <c r="R31" s="36">
        <f>'Tab 6_Correcties en prognoses'!R24</f>
        <v>-2760</v>
      </c>
      <c r="S31" s="188">
        <f>'Tab 6_Correcties en prognoses'!S24</f>
        <v>0</v>
      </c>
      <c r="T31" s="188">
        <f>'Tab 6_Correcties en prognoses'!T24</f>
        <v>0</v>
      </c>
    </row>
    <row r="32" spans="1:24" s="8" customFormat="1">
      <c r="A32" s="192"/>
      <c r="L32" s="44"/>
      <c r="M32" s="44"/>
      <c r="N32" s="44"/>
      <c r="O32" s="44"/>
      <c r="P32" s="44"/>
      <c r="Q32" s="44"/>
      <c r="R32" s="44"/>
      <c r="S32" s="44"/>
      <c r="T32" s="44"/>
      <c r="U32" s="217"/>
      <c r="V32" s="266"/>
    </row>
    <row r="33" spans="1:22" s="192" customFormat="1">
      <c r="B33" s="192" t="s">
        <v>627</v>
      </c>
      <c r="F33" s="192" t="s">
        <v>494</v>
      </c>
      <c r="L33" s="44"/>
      <c r="M33" s="44"/>
      <c r="N33" s="44"/>
      <c r="O33" s="44"/>
      <c r="P33" s="44"/>
      <c r="Q33" s="44"/>
      <c r="R33" s="44"/>
      <c r="S33" s="44"/>
      <c r="T33" s="188">
        <f>'Tab 6_Correcties en prognoses'!T26</f>
        <v>152298</v>
      </c>
      <c r="U33" s="266"/>
      <c r="V33" s="266"/>
    </row>
    <row r="34" spans="1:22" s="192" customFormat="1">
      <c r="L34" s="44"/>
      <c r="M34" s="44"/>
      <c r="N34" s="44"/>
      <c r="O34" s="44"/>
      <c r="P34" s="44"/>
      <c r="Q34" s="44"/>
      <c r="R34" s="44"/>
      <c r="S34" s="44"/>
      <c r="T34" s="266"/>
      <c r="U34" s="266"/>
      <c r="V34" s="266"/>
    </row>
    <row r="35" spans="1:22" s="8" customFormat="1">
      <c r="A35" s="192"/>
      <c r="B35" s="94" t="s">
        <v>203</v>
      </c>
      <c r="L35" s="44"/>
      <c r="M35" s="44"/>
      <c r="N35" s="44"/>
      <c r="O35" s="44"/>
      <c r="P35" s="44"/>
      <c r="Q35" s="44"/>
      <c r="R35" s="44"/>
      <c r="S35" s="44"/>
      <c r="T35" s="44"/>
      <c r="U35" s="44"/>
      <c r="V35" s="44"/>
    </row>
    <row r="36" spans="1:22">
      <c r="A36" s="192"/>
      <c r="B36" s="2" t="s">
        <v>206</v>
      </c>
      <c r="F36" s="81" t="s">
        <v>494</v>
      </c>
      <c r="L36" s="36">
        <f>'Tab 6_Correcties en prognoses'!L32</f>
        <v>0</v>
      </c>
      <c r="M36" s="36">
        <f>'Tab 6_Correcties en prognoses'!M32</f>
        <v>0</v>
      </c>
      <c r="N36" s="36">
        <f>'Tab 6_Correcties en prognoses'!N32</f>
        <v>0</v>
      </c>
      <c r="O36" s="36">
        <f>'Tab 6_Correcties en prognoses'!O32</f>
        <v>0</v>
      </c>
      <c r="P36" s="44"/>
      <c r="Q36" s="44"/>
      <c r="R36" s="44"/>
      <c r="S36" s="44"/>
      <c r="T36" s="44"/>
      <c r="U36" s="44"/>
      <c r="V36" s="44"/>
    </row>
    <row r="37" spans="1:22">
      <c r="A37" s="192"/>
      <c r="B37" s="81" t="s">
        <v>204</v>
      </c>
      <c r="F37" s="81" t="s">
        <v>494</v>
      </c>
      <c r="L37" s="44"/>
      <c r="M37" s="44"/>
      <c r="N37" s="44"/>
      <c r="O37" s="44"/>
      <c r="P37" s="44"/>
      <c r="Q37" s="44"/>
      <c r="S37" s="44"/>
      <c r="T37" s="36">
        <f>'Tab 6_Correcties en prognoses'!T33</f>
        <v>0</v>
      </c>
      <c r="U37" s="188">
        <f>'Tab 6_Correcties en prognoses'!U33</f>
        <v>0</v>
      </c>
    </row>
    <row r="38" spans="1:22">
      <c r="A38" s="192"/>
      <c r="B38" s="81" t="s">
        <v>205</v>
      </c>
      <c r="F38" s="81" t="s">
        <v>494</v>
      </c>
      <c r="L38" s="44"/>
      <c r="M38" s="44"/>
      <c r="N38" s="44"/>
      <c r="O38" s="44"/>
      <c r="P38" s="44"/>
      <c r="Q38" s="44"/>
      <c r="S38" s="44"/>
      <c r="T38" s="36">
        <f>'Tab 6_Correcties en prognoses'!T34</f>
        <v>0</v>
      </c>
      <c r="U38" s="188">
        <f>'Tab 6_Correcties en prognoses'!U34</f>
        <v>0</v>
      </c>
    </row>
    <row r="39" spans="1:22" s="81" customFormat="1">
      <c r="A39" s="192"/>
      <c r="B39" s="8"/>
      <c r="S39" s="155"/>
      <c r="T39" s="202"/>
      <c r="U39" s="217"/>
      <c r="V39" s="266"/>
    </row>
    <row r="40" spans="1:22" s="226" customFormat="1">
      <c r="B40" s="192" t="s">
        <v>436</v>
      </c>
      <c r="F40" s="226" t="s">
        <v>494</v>
      </c>
      <c r="U40" s="188">
        <f>'Tab 10_Brondata'!U98</f>
        <v>50199789.351023674</v>
      </c>
      <c r="V40" s="266"/>
    </row>
    <row r="41" spans="1:22" s="266" customFormat="1">
      <c r="B41" s="192"/>
    </row>
    <row r="42" spans="1:22" s="7" customFormat="1">
      <c r="B42" s="7" t="s">
        <v>151</v>
      </c>
      <c r="S42" s="85"/>
      <c r="T42" s="184"/>
      <c r="U42" s="184"/>
      <c r="V42" s="184"/>
    </row>
    <row r="44" spans="1:22" s="81" customFormat="1">
      <c r="A44" s="192"/>
      <c r="B44" s="80" t="s">
        <v>347</v>
      </c>
      <c r="S44" s="155"/>
      <c r="T44" s="202"/>
      <c r="U44" s="217"/>
      <c r="V44" s="266"/>
    </row>
    <row r="45" spans="1:22">
      <c r="A45" s="192"/>
      <c r="B45" s="8" t="s">
        <v>570</v>
      </c>
      <c r="F45" s="2" t="s">
        <v>494</v>
      </c>
      <c r="J45" s="217"/>
      <c r="L45" s="217"/>
      <c r="M45" s="217"/>
      <c r="N45" s="217"/>
      <c r="O45" s="217"/>
      <c r="P45" s="217"/>
      <c r="Q45" s="217"/>
      <c r="R45" s="217"/>
      <c r="S45" s="217"/>
      <c r="T45" s="217"/>
      <c r="U45" s="2"/>
      <c r="V45" s="38">
        <f>L28*(1+$H$16)+M28*(1+$H$17)+N28*(1+$H$18)+O28*(1+$H$19)+P28*(1+$H$20)+Q28*(1+$H$21)+R28*(1+$H$22)+S28*(1+$H$23)+T28*(1+$H$24)+U28*(1+$H$25)</f>
        <v>0</v>
      </c>
    </row>
    <row r="46" spans="1:22">
      <c r="A46" s="192"/>
      <c r="B46" s="8"/>
      <c r="J46" s="217"/>
      <c r="L46" s="217"/>
      <c r="M46" s="217"/>
      <c r="N46" s="217"/>
      <c r="O46" s="217"/>
      <c r="P46" s="217"/>
      <c r="Q46" s="217"/>
      <c r="R46" s="217"/>
      <c r="S46" s="217"/>
      <c r="T46" s="217"/>
      <c r="U46" s="2"/>
      <c r="V46" s="244"/>
    </row>
    <row r="47" spans="1:22" s="81" customFormat="1">
      <c r="A47" s="192"/>
      <c r="B47" s="94" t="s">
        <v>348</v>
      </c>
      <c r="J47" s="217"/>
      <c r="L47" s="217"/>
      <c r="M47" s="217"/>
      <c r="N47" s="217"/>
      <c r="O47" s="217"/>
      <c r="P47" s="217"/>
      <c r="Q47" s="217"/>
      <c r="R47" s="217"/>
      <c r="S47" s="217"/>
      <c r="T47" s="217"/>
      <c r="V47" s="244"/>
    </row>
    <row r="48" spans="1:22">
      <c r="A48" s="192"/>
      <c r="B48" s="8" t="s">
        <v>571</v>
      </c>
      <c r="F48" s="202" t="s">
        <v>494</v>
      </c>
      <c r="J48" s="217"/>
      <c r="L48" s="217"/>
      <c r="M48" s="217"/>
      <c r="N48" s="217"/>
      <c r="O48" s="217"/>
      <c r="P48" s="217"/>
      <c r="Q48" s="217"/>
      <c r="R48" s="217"/>
      <c r="S48" s="217"/>
      <c r="T48" s="217"/>
      <c r="U48" s="2"/>
      <c r="V48" s="38">
        <f t="shared" ref="V48:V57" si="0">L31*(1+$H$16)+M31*(1+$H$17)+N31*(1+$H$18)+O31*(1+$H$19)+P31*(1+$H$20)+Q31*(1+$H$21)+R31*(1+$H$22)+S31*(1+$H$23)+T31*(1+$H$24)+U31*(1+$H$25)</f>
        <v>-13711.023837963881</v>
      </c>
    </row>
    <row r="49" spans="1:22">
      <c r="A49" s="192"/>
      <c r="J49" s="46"/>
      <c r="U49" s="2"/>
      <c r="V49" s="244"/>
    </row>
    <row r="50" spans="1:22" s="266" customFormat="1">
      <c r="A50" s="192"/>
      <c r="B50" s="266" t="s">
        <v>628</v>
      </c>
      <c r="F50" s="266" t="s">
        <v>494</v>
      </c>
      <c r="J50" s="46"/>
      <c r="V50" s="38">
        <f t="shared" si="0"/>
        <v>164725.51680000001</v>
      </c>
    </row>
    <row r="51" spans="1:22" s="266" customFormat="1">
      <c r="A51" s="192"/>
      <c r="J51" s="46"/>
      <c r="V51" s="244"/>
    </row>
    <row r="52" spans="1:22">
      <c r="A52" s="192"/>
      <c r="B52" s="94" t="s">
        <v>203</v>
      </c>
      <c r="U52" s="2"/>
      <c r="V52" s="244"/>
    </row>
    <row r="53" spans="1:22">
      <c r="A53" s="192"/>
      <c r="B53" s="8" t="s">
        <v>572</v>
      </c>
      <c r="F53" s="202" t="s">
        <v>494</v>
      </c>
      <c r="J53" s="217"/>
      <c r="K53" s="217"/>
      <c r="L53" s="217"/>
      <c r="M53" s="217"/>
      <c r="N53" s="217"/>
      <c r="O53" s="217"/>
      <c r="P53" s="217"/>
      <c r="Q53" s="217"/>
      <c r="R53" s="217"/>
      <c r="S53" s="217"/>
      <c r="T53" s="217"/>
      <c r="U53" s="2"/>
      <c r="V53" s="38">
        <f t="shared" si="0"/>
        <v>0</v>
      </c>
    </row>
    <row r="54" spans="1:22" s="81" customFormat="1">
      <c r="A54" s="192"/>
      <c r="B54" s="81" t="s">
        <v>573</v>
      </c>
      <c r="F54" s="217" t="s">
        <v>494</v>
      </c>
      <c r="J54" s="217"/>
      <c r="K54" s="217"/>
      <c r="L54" s="217"/>
      <c r="M54" s="217"/>
      <c r="N54" s="217"/>
      <c r="O54" s="217"/>
      <c r="P54" s="217"/>
      <c r="Q54" s="217"/>
      <c r="R54" s="217"/>
      <c r="S54" s="217"/>
      <c r="T54" s="217"/>
      <c r="V54" s="38">
        <f t="shared" si="0"/>
        <v>0</v>
      </c>
    </row>
    <row r="55" spans="1:22" s="81" customFormat="1">
      <c r="A55" s="192"/>
      <c r="B55" s="81" t="s">
        <v>574</v>
      </c>
      <c r="F55" s="217" t="s">
        <v>494</v>
      </c>
      <c r="J55" s="217"/>
      <c r="K55" s="217"/>
      <c r="L55" s="217"/>
      <c r="M55" s="217"/>
      <c r="N55" s="217"/>
      <c r="O55" s="217"/>
      <c r="P55" s="217"/>
      <c r="Q55" s="217"/>
      <c r="R55" s="217"/>
      <c r="S55" s="217"/>
      <c r="T55" s="217"/>
      <c r="V55" s="38">
        <f t="shared" si="0"/>
        <v>0</v>
      </c>
    </row>
    <row r="56" spans="1:22">
      <c r="A56" s="192"/>
      <c r="U56" s="226"/>
      <c r="V56" s="244"/>
    </row>
    <row r="57" spans="1:22">
      <c r="B57" s="2" t="s">
        <v>604</v>
      </c>
      <c r="F57" s="2" t="s">
        <v>494</v>
      </c>
      <c r="U57" s="226"/>
      <c r="V57" s="38">
        <f t="shared" si="0"/>
        <v>52207780.925064623</v>
      </c>
    </row>
    <row r="58" spans="1:22">
      <c r="V58" s="244"/>
    </row>
  </sheetData>
  <mergeCells count="1">
    <mergeCell ref="B5:E9"/>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tabColor rgb="FFFFFFCC"/>
    <pageSetUpPr autoPageBreaks="0"/>
  </sheetPr>
  <dimension ref="A1:R51"/>
  <sheetViews>
    <sheetView showGridLines="0" zoomScale="85" zoomScaleNormal="85" workbookViewId="0">
      <pane xSplit="6" ySplit="13" topLeftCell="G14" activePane="bottomRight" state="frozen"/>
      <selection pane="topRight"/>
      <selection pane="bottomLeft"/>
      <selection pane="bottomRight"/>
    </sheetView>
  </sheetViews>
  <sheetFormatPr defaultColWidth="9.140625" defaultRowHeight="12.75"/>
  <cols>
    <col min="1" max="1" width="4" style="2" customWidth="1"/>
    <col min="2" max="2" width="55" style="2" customWidth="1"/>
    <col min="3" max="5" width="4.5703125" style="2" customWidth="1"/>
    <col min="6" max="6" width="13.7109375" style="2" customWidth="1"/>
    <col min="7" max="7" width="2.7109375" style="2" customWidth="1"/>
    <col min="8" max="8" width="15.28515625" style="2" customWidth="1"/>
    <col min="9" max="9" width="2.7109375" style="2" customWidth="1"/>
    <col min="10" max="10" width="15.28515625" style="2" customWidth="1"/>
    <col min="11" max="11" width="2.7109375" style="2" customWidth="1"/>
    <col min="12" max="16" width="15.28515625" style="2" customWidth="1"/>
    <col min="17" max="17" width="2.7109375" style="2" customWidth="1"/>
    <col min="18" max="32" width="13.7109375" style="2" customWidth="1"/>
    <col min="33" max="16384" width="9.140625" style="2"/>
  </cols>
  <sheetData>
    <row r="1" spans="1:18">
      <c r="A1" s="8"/>
    </row>
    <row r="2" spans="1:18" s="20" customFormat="1" ht="18">
      <c r="B2" s="20" t="s">
        <v>370</v>
      </c>
    </row>
    <row r="4" spans="1:18" s="144" customFormat="1">
      <c r="B4" s="300" t="s">
        <v>575</v>
      </c>
      <c r="C4" s="300"/>
      <c r="D4" s="300"/>
      <c r="E4" s="300"/>
      <c r="H4" s="82"/>
    </row>
    <row r="5" spans="1:18" s="144" customFormat="1">
      <c r="B5" s="300"/>
      <c r="C5" s="300"/>
      <c r="D5" s="300"/>
      <c r="E5" s="300"/>
      <c r="H5" s="82"/>
    </row>
    <row r="6" spans="1:18" s="144" customFormat="1">
      <c r="B6" s="300"/>
      <c r="C6" s="300"/>
      <c r="D6" s="300"/>
      <c r="E6" s="300"/>
    </row>
    <row r="7" spans="1:18" s="144" customFormat="1">
      <c r="B7" s="300"/>
      <c r="C7" s="300"/>
      <c r="D7" s="300"/>
      <c r="E7" s="300"/>
    </row>
    <row r="8" spans="1:18" s="144" customFormat="1">
      <c r="B8" s="300"/>
      <c r="C8" s="300"/>
      <c r="D8" s="300"/>
      <c r="E8" s="300"/>
    </row>
    <row r="9" spans="1:18" s="144" customFormat="1">
      <c r="B9" s="300"/>
      <c r="C9" s="300"/>
      <c r="D9" s="300"/>
      <c r="E9" s="300"/>
    </row>
    <row r="10" spans="1:18" s="144" customFormat="1">
      <c r="B10" s="300"/>
      <c r="C10" s="300"/>
      <c r="D10" s="300"/>
      <c r="E10" s="300"/>
    </row>
    <row r="11" spans="1:18">
      <c r="B11" s="300"/>
      <c r="C11" s="300"/>
      <c r="D11" s="300"/>
      <c r="E11" s="300"/>
    </row>
    <row r="12" spans="1:18" s="7" customFormat="1" ht="51">
      <c r="B12" s="7" t="s">
        <v>44</v>
      </c>
      <c r="F12" s="7" t="s">
        <v>26</v>
      </c>
      <c r="H12" s="7" t="s">
        <v>27</v>
      </c>
      <c r="J12" s="7" t="s">
        <v>48</v>
      </c>
      <c r="L12" s="41" t="s">
        <v>76</v>
      </c>
      <c r="M12" s="31" t="s">
        <v>77</v>
      </c>
      <c r="N12" s="31" t="s">
        <v>78</v>
      </c>
      <c r="O12" s="31" t="s">
        <v>79</v>
      </c>
      <c r="P12" s="31" t="s">
        <v>169</v>
      </c>
      <c r="R12" s="7" t="s">
        <v>46</v>
      </c>
    </row>
    <row r="15" spans="1:18" s="7" customFormat="1">
      <c r="B15" s="7" t="s">
        <v>47</v>
      </c>
    </row>
    <row r="16" spans="1:18">
      <c r="A16" s="192"/>
    </row>
    <row r="17" spans="1:18">
      <c r="A17" s="192"/>
      <c r="B17" s="207" t="s">
        <v>479</v>
      </c>
      <c r="F17" s="2" t="s">
        <v>60</v>
      </c>
      <c r="H17" s="102">
        <f>'Tab 12_Berekening parameters'!H64</f>
        <v>6.0596058827298904E-2</v>
      </c>
      <c r="J17" s="208"/>
    </row>
    <row r="18" spans="1:18">
      <c r="A18" s="192"/>
    </row>
    <row r="19" spans="1:18">
      <c r="A19" s="192"/>
      <c r="B19" s="1" t="s">
        <v>80</v>
      </c>
    </row>
    <row r="20" spans="1:18">
      <c r="A20" s="192"/>
      <c r="B20" s="23" t="s">
        <v>464</v>
      </c>
      <c r="F20" s="2" t="s">
        <v>124</v>
      </c>
      <c r="L20" s="95">
        <f>'Tab 11_Tarieven, RV en omzet'!L15</f>
        <v>12478.96</v>
      </c>
      <c r="M20" s="95">
        <f>'Tab 11_Tarieven, RV en omzet'!M15</f>
        <v>8.61</v>
      </c>
      <c r="N20" s="95">
        <f>'Tab 11_Tarieven, RV en omzet'!N15</f>
        <v>0.87</v>
      </c>
      <c r="O20" s="95">
        <f>'Tab 11_Tarieven, RV en omzet'!O15</f>
        <v>4.3</v>
      </c>
      <c r="P20" s="95">
        <f>'Tab 11_Tarieven, RV en omzet'!P15</f>
        <v>0.3</v>
      </c>
    </row>
    <row r="21" spans="1:18">
      <c r="A21" s="192"/>
      <c r="B21" s="23" t="s">
        <v>457</v>
      </c>
      <c r="F21" s="2" t="s">
        <v>81</v>
      </c>
      <c r="L21" s="95">
        <f>'Tab 8_Voorstel tarieven en RV'!L23</f>
        <v>23.082999999999998</v>
      </c>
      <c r="M21" s="36">
        <f>'Tab 8_Voorstel tarieven en RV'!M23</f>
        <v>1504881</v>
      </c>
      <c r="N21" s="36">
        <f>'Tab 8_Voorstel tarieven en RV'!N23</f>
        <v>13396240</v>
      </c>
      <c r="O21" s="36">
        <f>'Tab 8_Voorstel tarieven en RV'!O23</f>
        <v>125088</v>
      </c>
      <c r="P21" s="36">
        <f>'Tab 8_Voorstel tarieven en RV'!P23</f>
        <v>2189240</v>
      </c>
      <c r="R21" s="21"/>
    </row>
    <row r="22" spans="1:18">
      <c r="A22" s="192"/>
      <c r="B22" s="1"/>
    </row>
    <row r="23" spans="1:18" s="81" customFormat="1">
      <c r="A23" s="192"/>
      <c r="B23" s="92" t="s">
        <v>470</v>
      </c>
      <c r="C23" s="92"/>
      <c r="F23" s="206" t="s">
        <v>124</v>
      </c>
      <c r="H23" s="36">
        <f>'Tab 11_Tarieven, RV en omzet'!H18</f>
        <v>281400.54800000001</v>
      </c>
    </row>
    <row r="24" spans="1:18" s="81" customFormat="1">
      <c r="A24" s="192"/>
      <c r="B24" s="92" t="s">
        <v>471</v>
      </c>
      <c r="C24" s="92"/>
      <c r="F24" s="206" t="s">
        <v>124</v>
      </c>
      <c r="H24" s="36">
        <f>'Tab 11_Tarieven, RV en omzet'!H19</f>
        <v>22896580.956353925</v>
      </c>
    </row>
    <row r="25" spans="1:18">
      <c r="A25" s="192"/>
      <c r="B25" s="47"/>
      <c r="C25" s="47"/>
    </row>
    <row r="26" spans="1:18">
      <c r="A26" s="192"/>
      <c r="B26" s="48" t="s">
        <v>82</v>
      </c>
      <c r="C26" s="47"/>
    </row>
    <row r="27" spans="1:18">
      <c r="A27" s="192"/>
      <c r="B27" s="23" t="s">
        <v>464</v>
      </c>
      <c r="F27" s="206" t="s">
        <v>124</v>
      </c>
      <c r="L27" s="95">
        <f>'Tab 11_Tarieven, RV en omzet'!L22</f>
        <v>2760</v>
      </c>
      <c r="M27" s="95">
        <f>'Tab 11_Tarieven, RV en omzet'!M22</f>
        <v>17.100000000000001</v>
      </c>
      <c r="N27" s="95">
        <f>'Tab 11_Tarieven, RV en omzet'!N22</f>
        <v>1.66</v>
      </c>
      <c r="O27" s="95">
        <f>'Tab 11_Tarieven, RV en omzet'!O22</f>
        <v>8.5500000000000007</v>
      </c>
      <c r="P27" s="95">
        <f>'Tab 11_Tarieven, RV en omzet'!P22</f>
        <v>0.57999999999999996</v>
      </c>
    </row>
    <row r="28" spans="1:18">
      <c r="A28" s="192"/>
      <c r="B28" s="23" t="s">
        <v>457</v>
      </c>
      <c r="F28" s="2" t="s">
        <v>81</v>
      </c>
      <c r="L28" s="95">
        <f>'Tab 8_Voorstel tarieven en RV'!L26</f>
        <v>93.75</v>
      </c>
      <c r="M28" s="36">
        <f>'Tab 8_Voorstel tarieven en RV'!M26</f>
        <v>14733464</v>
      </c>
      <c r="N28" s="36">
        <f>'Tab 8_Voorstel tarieven en RV'!N26</f>
        <v>151228388</v>
      </c>
      <c r="O28" s="36">
        <f>'Tab 8_Voorstel tarieven en RV'!O26</f>
        <v>323512</v>
      </c>
      <c r="P28" s="36">
        <f>'Tab 8_Voorstel tarieven en RV'!P26</f>
        <v>3219973</v>
      </c>
    </row>
    <row r="29" spans="1:18">
      <c r="A29" s="192"/>
      <c r="B29" s="1"/>
    </row>
    <row r="30" spans="1:18" s="81" customFormat="1">
      <c r="A30" s="192"/>
      <c r="B30" s="92" t="s">
        <v>473</v>
      </c>
      <c r="C30" s="92"/>
      <c r="F30" s="206" t="s">
        <v>124</v>
      </c>
      <c r="H30" s="36">
        <f>'Tab 11_Tarieven, RV en omzet'!H25</f>
        <v>252705.6</v>
      </c>
    </row>
    <row r="31" spans="1:18" s="81" customFormat="1">
      <c r="A31" s="192"/>
      <c r="B31" s="92" t="s">
        <v>476</v>
      </c>
      <c r="C31" s="92"/>
      <c r="F31" s="206" t="s">
        <v>124</v>
      </c>
      <c r="H31" s="36">
        <f>'Tab 11_Tarieven, RV en omzet'!H26</f>
        <v>514486298.98400927</v>
      </c>
    </row>
    <row r="32" spans="1:18">
      <c r="B32" s="47"/>
      <c r="C32" s="47"/>
    </row>
    <row r="33" spans="1:16" s="7" customFormat="1">
      <c r="B33" s="7" t="s">
        <v>154</v>
      </c>
    </row>
    <row r="35" spans="1:16" s="81" customFormat="1">
      <c r="A35" s="192"/>
      <c r="B35" s="81" t="s">
        <v>576</v>
      </c>
      <c r="F35" s="206" t="s">
        <v>124</v>
      </c>
      <c r="H35" s="37">
        <f>H23+H24</f>
        <v>23177981.504353926</v>
      </c>
    </row>
    <row r="36" spans="1:16" s="81" customFormat="1">
      <c r="A36" s="192"/>
      <c r="B36" s="81" t="s">
        <v>577</v>
      </c>
      <c r="F36" s="206" t="s">
        <v>124</v>
      </c>
      <c r="H36" s="37">
        <f>H30+H31</f>
        <v>514739004.58400929</v>
      </c>
    </row>
    <row r="37" spans="1:16" s="81" customFormat="1">
      <c r="A37" s="192"/>
    </row>
    <row r="38" spans="1:16">
      <c r="A38" s="192"/>
      <c r="B38" s="1" t="s">
        <v>194</v>
      </c>
    </row>
    <row r="39" spans="1:16">
      <c r="A39" s="192"/>
      <c r="B39" s="2" t="s">
        <v>578</v>
      </c>
      <c r="F39" s="206" t="s">
        <v>124</v>
      </c>
      <c r="J39" s="37">
        <f>SUM(L39:P39)</f>
        <v>26094456.443679996</v>
      </c>
      <c r="L39" s="37">
        <f t="shared" ref="L39:P39" si="0">L20*L21</f>
        <v>288051.83367999998</v>
      </c>
      <c r="M39" s="37">
        <f t="shared" si="0"/>
        <v>12957025.409999998</v>
      </c>
      <c r="N39" s="37">
        <f t="shared" si="0"/>
        <v>11654728.800000001</v>
      </c>
      <c r="O39" s="37">
        <f t="shared" si="0"/>
        <v>537878.4</v>
      </c>
      <c r="P39" s="37">
        <f t="shared" si="0"/>
        <v>656772</v>
      </c>
    </row>
    <row r="40" spans="1:16">
      <c r="A40" s="192"/>
      <c r="B40" s="49" t="s">
        <v>182</v>
      </c>
      <c r="F40" s="206" t="s">
        <v>124</v>
      </c>
      <c r="H40" s="37">
        <f>H35-J39</f>
        <v>-2916474.9393260702</v>
      </c>
    </row>
    <row r="41" spans="1:16">
      <c r="A41" s="192"/>
      <c r="B41" s="49" t="s">
        <v>579</v>
      </c>
      <c r="F41" s="2" t="s">
        <v>199</v>
      </c>
      <c r="H41" s="38">
        <f>H40*(1+H17)</f>
        <v>-3093201.8263178156</v>
      </c>
    </row>
    <row r="42" spans="1:16">
      <c r="A42" s="192"/>
    </row>
    <row r="43" spans="1:16">
      <c r="A43" s="192"/>
      <c r="B43" s="1" t="s">
        <v>195</v>
      </c>
    </row>
    <row r="44" spans="1:16">
      <c r="A44" s="192"/>
      <c r="B44" s="2" t="s">
        <v>580</v>
      </c>
      <c r="F44" s="206" t="s">
        <v>124</v>
      </c>
      <c r="J44" s="37">
        <f>SUM(L44:P44)</f>
        <v>507873720.42000002</v>
      </c>
      <c r="L44" s="37">
        <f>L27*L28</f>
        <v>258750</v>
      </c>
      <c r="M44" s="37">
        <f>M27*M28</f>
        <v>251942234.40000004</v>
      </c>
      <c r="N44" s="37">
        <f>N27*N28</f>
        <v>251039124.07999998</v>
      </c>
      <c r="O44" s="37">
        <f>O27*O28</f>
        <v>2766027.6</v>
      </c>
      <c r="P44" s="37">
        <f>P27*P28</f>
        <v>1867584.3399999999</v>
      </c>
    </row>
    <row r="45" spans="1:16">
      <c r="A45" s="192"/>
      <c r="B45" s="87" t="s">
        <v>182</v>
      </c>
      <c r="F45" s="206" t="s">
        <v>124</v>
      </c>
      <c r="H45" s="37">
        <f>H36-J44</f>
        <v>6865284.1640092731</v>
      </c>
    </row>
    <row r="46" spans="1:16">
      <c r="A46" s="192"/>
      <c r="B46" s="49" t="s">
        <v>581</v>
      </c>
      <c r="F46" s="2" t="s">
        <v>199</v>
      </c>
      <c r="H46" s="38">
        <f>H45*(1+H17)</f>
        <v>7281293.3270777026</v>
      </c>
    </row>
    <row r="49" spans="2:8">
      <c r="H49" s="34"/>
    </row>
    <row r="50" spans="2:8">
      <c r="B50" s="49"/>
      <c r="H50" s="28"/>
    </row>
    <row r="51" spans="2:8">
      <c r="H51" s="34"/>
    </row>
  </sheetData>
  <mergeCells count="1">
    <mergeCell ref="B4:E1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tabColor rgb="FFFFFFCC"/>
    <pageSetUpPr autoPageBreaks="0"/>
  </sheetPr>
  <dimension ref="A2:X36"/>
  <sheetViews>
    <sheetView showGridLines="0" zoomScale="85" zoomScaleNormal="85" workbookViewId="0">
      <pane xSplit="6" ySplit="14" topLeftCell="G15" activePane="bottomRight" state="frozen"/>
      <selection pane="topRight"/>
      <selection pane="bottomLeft"/>
      <selection pane="bottomRight"/>
    </sheetView>
  </sheetViews>
  <sheetFormatPr defaultColWidth="9.140625" defaultRowHeight="12.75" outlineLevelCol="1"/>
  <cols>
    <col min="1" max="1" width="4" style="2" customWidth="1"/>
    <col min="2" max="2" width="41.42578125" style="2" customWidth="1"/>
    <col min="3" max="5" width="4.5703125" style="2" customWidth="1"/>
    <col min="6" max="6" width="16.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3" width="12.5703125" style="81" hidden="1" customWidth="1" outlineLevel="1"/>
    <col min="14" max="14" width="14.7109375" style="2" bestFit="1" customWidth="1" collapsed="1"/>
    <col min="15" max="16" width="14.7109375" style="2" bestFit="1" customWidth="1"/>
    <col min="17" max="22" width="12.5703125" style="2" customWidth="1"/>
    <col min="23" max="23" width="2.7109375" style="2" customWidth="1"/>
    <col min="24" max="35" width="13.7109375" style="2" customWidth="1"/>
    <col min="36" max="16384" width="9.140625" style="2"/>
  </cols>
  <sheetData>
    <row r="2" spans="2:24" s="20" customFormat="1" ht="18">
      <c r="B2" s="20" t="s">
        <v>371</v>
      </c>
    </row>
    <row r="4" spans="2:24" ht="12.75" customHeight="1">
      <c r="B4" s="308" t="s">
        <v>651</v>
      </c>
      <c r="C4" s="308"/>
      <c r="D4" s="308"/>
      <c r="E4" s="308"/>
      <c r="F4" s="308"/>
      <c r="G4" s="308"/>
      <c r="H4" s="308"/>
    </row>
    <row r="5" spans="2:24" ht="12.75" customHeight="1">
      <c r="B5" s="308"/>
      <c r="C5" s="308"/>
      <c r="D5" s="308"/>
      <c r="E5" s="308"/>
      <c r="F5" s="308"/>
      <c r="G5" s="308"/>
      <c r="H5" s="308"/>
    </row>
    <row r="6" spans="2:24">
      <c r="B6" s="308"/>
      <c r="C6" s="308"/>
      <c r="D6" s="308"/>
      <c r="E6" s="308"/>
      <c r="F6" s="308"/>
      <c r="G6" s="308"/>
      <c r="H6" s="308"/>
    </row>
    <row r="7" spans="2:24" s="155" customFormat="1">
      <c r="B7" s="308"/>
      <c r="C7" s="308"/>
      <c r="D7" s="308"/>
      <c r="E7" s="308"/>
      <c r="F7" s="308"/>
      <c r="G7" s="308"/>
      <c r="H7" s="308"/>
    </row>
    <row r="8" spans="2:24" s="155" customFormat="1">
      <c r="B8" s="308"/>
      <c r="C8" s="308"/>
      <c r="D8" s="308"/>
      <c r="E8" s="308"/>
      <c r="F8" s="308"/>
      <c r="G8" s="308"/>
      <c r="H8" s="308"/>
    </row>
    <row r="9" spans="2:24" s="155" customFormat="1">
      <c r="B9" s="308"/>
      <c r="C9" s="308"/>
      <c r="D9" s="308"/>
      <c r="E9" s="308"/>
      <c r="F9" s="308"/>
      <c r="G9" s="308"/>
      <c r="H9" s="308"/>
    </row>
    <row r="10" spans="2:24" s="155" customFormat="1">
      <c r="B10" s="308"/>
      <c r="C10" s="308"/>
      <c r="D10" s="308"/>
      <c r="E10" s="308"/>
      <c r="F10" s="308"/>
      <c r="G10" s="308"/>
      <c r="H10" s="308"/>
    </row>
    <row r="11" spans="2:24" s="155" customFormat="1">
      <c r="B11" s="308"/>
      <c r="C11" s="308"/>
      <c r="D11" s="308"/>
      <c r="E11" s="308"/>
      <c r="F11" s="308"/>
      <c r="G11" s="308"/>
      <c r="H11" s="308"/>
    </row>
    <row r="12" spans="2:24" s="161" customFormat="1">
      <c r="B12" s="273"/>
      <c r="C12" s="273"/>
      <c r="D12" s="273"/>
      <c r="E12" s="273"/>
      <c r="H12" s="156"/>
    </row>
    <row r="13" spans="2:24" s="7" customFormat="1">
      <c r="B13" s="7" t="s">
        <v>44</v>
      </c>
      <c r="F13" s="7" t="s">
        <v>26</v>
      </c>
      <c r="H13" s="7" t="s">
        <v>27</v>
      </c>
      <c r="J13" s="7" t="s">
        <v>48</v>
      </c>
      <c r="L13" s="27">
        <v>2011</v>
      </c>
      <c r="M13" s="27">
        <v>2012</v>
      </c>
      <c r="N13" s="27">
        <v>2013</v>
      </c>
      <c r="O13" s="27">
        <v>2014</v>
      </c>
      <c r="P13" s="27">
        <v>2015</v>
      </c>
      <c r="Q13" s="27">
        <v>2016</v>
      </c>
      <c r="R13" s="27">
        <v>2017</v>
      </c>
      <c r="S13" s="27">
        <v>2018</v>
      </c>
      <c r="T13" s="27">
        <v>2019</v>
      </c>
      <c r="U13" s="27">
        <v>2020</v>
      </c>
      <c r="V13" s="27">
        <v>2021</v>
      </c>
      <c r="X13" s="7" t="s">
        <v>46</v>
      </c>
    </row>
    <row r="16" spans="2:24" s="7" customFormat="1">
      <c r="B16" s="7" t="s">
        <v>47</v>
      </c>
      <c r="L16" s="85"/>
      <c r="M16" s="85"/>
    </row>
    <row r="18" spans="2:22">
      <c r="B18" s="2" t="s">
        <v>274</v>
      </c>
      <c r="F18" s="2" t="s">
        <v>494</v>
      </c>
      <c r="R18" s="36">
        <f>'Tab 10_Brondata'!R90</f>
        <v>26550703</v>
      </c>
      <c r="S18" s="36">
        <f>'Tab 10_Brondata'!S90</f>
        <v>26550703</v>
      </c>
      <c r="T18" s="36">
        <f>'Tab 10_Brondata'!T90</f>
        <v>26550703</v>
      </c>
      <c r="U18" s="36">
        <f>'Tab 10_Brondata'!U90</f>
        <v>26550703</v>
      </c>
    </row>
    <row r="19" spans="2:22">
      <c r="H19" s="8"/>
      <c r="J19" s="8"/>
    </row>
    <row r="20" spans="2:22">
      <c r="B20" s="2" t="s">
        <v>442</v>
      </c>
      <c r="F20" s="2" t="s">
        <v>494</v>
      </c>
      <c r="U20" s="188">
        <f>'Tab 10_Brondata'!U92</f>
        <v>100000000</v>
      </c>
      <c r="V20" s="36">
        <f>'Tab 10_Brondata'!V92</f>
        <v>75000000</v>
      </c>
    </row>
    <row r="21" spans="2:22">
      <c r="J21" s="8"/>
      <c r="K21" s="8"/>
      <c r="L21" s="8"/>
      <c r="M21" s="8"/>
      <c r="N21" s="8"/>
      <c r="O21" s="8"/>
      <c r="P21" s="8"/>
      <c r="Q21" s="8"/>
      <c r="R21" s="8"/>
      <c r="S21" s="8"/>
      <c r="T21" s="8"/>
      <c r="U21" s="8"/>
      <c r="V21" s="8"/>
    </row>
    <row r="22" spans="2:22">
      <c r="B22" s="2" t="s">
        <v>130</v>
      </c>
      <c r="F22" s="2" t="s">
        <v>494</v>
      </c>
      <c r="H22" s="28"/>
      <c r="J22" s="28"/>
      <c r="K22" s="8"/>
      <c r="L22" s="8"/>
      <c r="M22" s="8"/>
      <c r="N22" s="36">
        <f>'Tab 10_Brondata'!N94</f>
        <v>153199000</v>
      </c>
      <c r="O22" s="36">
        <f>'Tab 10_Brondata'!O94</f>
        <v>133814454.8</v>
      </c>
      <c r="P22" s="36">
        <f>'Tab 10_Brondata'!P94</f>
        <v>154182000</v>
      </c>
      <c r="Q22" s="36">
        <f>'Tab 10_Brondata'!Q94</f>
        <v>67581000</v>
      </c>
      <c r="R22" s="36">
        <f>'Tab 10_Brondata'!R94</f>
        <v>51165706.090000004</v>
      </c>
      <c r="S22" s="188">
        <f>'Tab 10_Brondata'!S94</f>
        <v>54737415.890000001</v>
      </c>
      <c r="T22" s="188">
        <f>'Tab 10_Brondata'!T94</f>
        <v>31996981.02</v>
      </c>
      <c r="U22" s="28"/>
      <c r="V22" s="28"/>
    </row>
    <row r="24" spans="2:22" s="81" customFormat="1">
      <c r="B24" s="81" t="s">
        <v>272</v>
      </c>
      <c r="F24" s="81" t="s">
        <v>81</v>
      </c>
      <c r="H24" s="139">
        <f>'Tab 9_Parameters'!H63</f>
        <v>3</v>
      </c>
    </row>
    <row r="25" spans="2:22" s="81" customFormat="1"/>
    <row r="26" spans="2:22" s="7" customFormat="1">
      <c r="B26" s="7" t="s">
        <v>58</v>
      </c>
      <c r="L26" s="85"/>
      <c r="M26" s="85"/>
    </row>
    <row r="28" spans="2:22">
      <c r="B28" s="2" t="s">
        <v>164</v>
      </c>
      <c r="F28" s="2" t="s">
        <v>122</v>
      </c>
      <c r="J28" s="37">
        <f>SUM(N28:V28)</f>
        <v>173615854.59999999</v>
      </c>
      <c r="N28" s="37">
        <f>N22/$H24</f>
        <v>51066333.333333336</v>
      </c>
      <c r="O28" s="37">
        <f>O22/$H24</f>
        <v>44604818.266666666</v>
      </c>
      <c r="P28" s="37">
        <f>P22/$H24</f>
        <v>51394000</v>
      </c>
      <c r="Q28" s="14"/>
      <c r="R28" s="36">
        <f>R18</f>
        <v>26550703</v>
      </c>
      <c r="S28" s="14"/>
      <c r="T28" s="14"/>
      <c r="U28" s="14"/>
      <c r="V28" s="14"/>
    </row>
    <row r="29" spans="2:22" s="8" customFormat="1">
      <c r="B29" s="29"/>
      <c r="J29" s="28"/>
      <c r="N29" s="28"/>
      <c r="O29" s="28"/>
      <c r="P29" s="28"/>
      <c r="R29" s="28"/>
    </row>
    <row r="30" spans="2:22">
      <c r="B30" s="2" t="s">
        <v>165</v>
      </c>
      <c r="F30" s="2" t="s">
        <v>123</v>
      </c>
      <c r="J30" s="37">
        <f>SUM(N30:V30)</f>
        <v>145076521.26666665</v>
      </c>
      <c r="N30" s="30"/>
      <c r="O30" s="37">
        <f>O22/$H24</f>
        <v>44604818.266666666</v>
      </c>
      <c r="P30" s="37">
        <f t="shared" ref="P30:Q30" si="0">P22/$H24</f>
        <v>51394000</v>
      </c>
      <c r="Q30" s="37">
        <f t="shared" si="0"/>
        <v>22527000</v>
      </c>
      <c r="R30" s="14"/>
      <c r="S30" s="36">
        <f>S18</f>
        <v>26550703</v>
      </c>
      <c r="T30" s="30"/>
      <c r="U30" s="30"/>
      <c r="V30" s="30"/>
    </row>
    <row r="31" spans="2:22" s="8" customFormat="1">
      <c r="J31" s="28"/>
      <c r="N31" s="28"/>
      <c r="O31" s="28"/>
      <c r="P31" s="28"/>
      <c r="Q31" s="28"/>
      <c r="S31" s="28"/>
      <c r="T31" s="28"/>
      <c r="U31" s="28"/>
      <c r="V31" s="28"/>
    </row>
    <row r="32" spans="2:22">
      <c r="B32" s="2" t="s">
        <v>166</v>
      </c>
      <c r="F32" s="2" t="s">
        <v>124</v>
      </c>
      <c r="J32" s="37">
        <f>SUM(N32:V32)</f>
        <v>117526938.36333333</v>
      </c>
      <c r="N32" s="14"/>
      <c r="O32" s="14"/>
      <c r="P32" s="37">
        <f>P22/$H24</f>
        <v>51394000</v>
      </c>
      <c r="Q32" s="37">
        <f>Q22/$H24</f>
        <v>22527000</v>
      </c>
      <c r="R32" s="37">
        <f>R22/$H24</f>
        <v>17055235.363333333</v>
      </c>
      <c r="S32" s="14"/>
      <c r="T32" s="36">
        <f>T18</f>
        <v>26550703</v>
      </c>
      <c r="U32" s="14"/>
      <c r="V32" s="14"/>
    </row>
    <row r="33" spans="1:22">
      <c r="A33" s="192"/>
      <c r="J33" s="28"/>
    </row>
    <row r="34" spans="1:22">
      <c r="A34" s="192"/>
      <c r="B34" s="2" t="s">
        <v>167</v>
      </c>
      <c r="F34" s="2" t="s">
        <v>198</v>
      </c>
      <c r="J34" s="37">
        <f>SUM(N34:V34)</f>
        <v>184378743.66</v>
      </c>
      <c r="N34" s="14"/>
      <c r="O34" s="14"/>
      <c r="P34" s="14"/>
      <c r="Q34" s="37">
        <f>Q22/$H24</f>
        <v>22527000</v>
      </c>
      <c r="R34" s="37">
        <f t="shared" ref="R34:S34" si="1">R22/$H24</f>
        <v>17055235.363333333</v>
      </c>
      <c r="S34" s="37">
        <f t="shared" si="1"/>
        <v>18245805.296666667</v>
      </c>
      <c r="T34" s="14"/>
      <c r="U34" s="36">
        <f>U18+U20</f>
        <v>126550703</v>
      </c>
      <c r="V34" s="14"/>
    </row>
    <row r="35" spans="1:22">
      <c r="A35" s="192"/>
      <c r="J35" s="28"/>
    </row>
    <row r="36" spans="1:22">
      <c r="B36" s="2" t="s">
        <v>168</v>
      </c>
      <c r="F36" s="2" t="s">
        <v>199</v>
      </c>
      <c r="J36" s="38">
        <f>SUM(N36:V36)</f>
        <v>120966701</v>
      </c>
      <c r="N36" s="14"/>
      <c r="O36" s="14"/>
      <c r="P36" s="14"/>
      <c r="Q36" s="14"/>
      <c r="R36" s="37">
        <f>R22/$H24</f>
        <v>17055235.363333333</v>
      </c>
      <c r="S36" s="37">
        <f t="shared" ref="S36:T36" si="2">S22/$H24</f>
        <v>18245805.296666667</v>
      </c>
      <c r="T36" s="37">
        <f t="shared" si="2"/>
        <v>10665660.34</v>
      </c>
      <c r="U36" s="14"/>
      <c r="V36" s="36">
        <f>V20</f>
        <v>75000000</v>
      </c>
    </row>
  </sheetData>
  <mergeCells count="1">
    <mergeCell ref="B4:H1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tabColor rgb="FFFFFFCC"/>
    <pageSetUpPr autoPageBreaks="0" fitToPage="1"/>
  </sheetPr>
  <dimension ref="A1:S52"/>
  <sheetViews>
    <sheetView showGridLines="0" zoomScale="85" zoomScaleNormal="85" workbookViewId="0">
      <pane xSplit="6" ySplit="11" topLeftCell="G12" activePane="bottomRight" state="frozen"/>
      <selection pane="topRight"/>
      <selection pane="bottomLeft"/>
      <selection pane="bottomRight"/>
    </sheetView>
  </sheetViews>
  <sheetFormatPr defaultColWidth="9.140625" defaultRowHeight="12.75"/>
  <cols>
    <col min="1" max="1" width="4" style="200" customWidth="1"/>
    <col min="2" max="2" width="59.5703125" style="200" customWidth="1"/>
    <col min="3" max="5" width="4.5703125" style="200" customWidth="1"/>
    <col min="6" max="6" width="17.7109375" style="200" customWidth="1"/>
    <col min="7" max="7" width="2.7109375" style="200" customWidth="1"/>
    <col min="8" max="8" width="15.7109375" style="200" customWidth="1"/>
    <col min="9" max="9" width="2.7109375" style="200" customWidth="1"/>
    <col min="10" max="10" width="13.7109375" style="200" customWidth="1"/>
    <col min="11" max="11" width="2.7109375" style="200" customWidth="1"/>
    <col min="12" max="16" width="18.7109375" style="200" customWidth="1"/>
    <col min="17" max="17" width="2.7109375" style="200" customWidth="1"/>
    <col min="18" max="32" width="13.7109375" style="200" customWidth="1"/>
    <col min="33" max="16384" width="9.140625" style="200"/>
  </cols>
  <sheetData>
    <row r="1" spans="1:19">
      <c r="A1" s="191"/>
      <c r="B1" s="191"/>
      <c r="C1" s="191"/>
      <c r="D1" s="191"/>
      <c r="E1" s="191"/>
      <c r="F1" s="191"/>
      <c r="G1" s="191"/>
      <c r="H1" s="191"/>
      <c r="I1" s="191"/>
      <c r="J1" s="191"/>
      <c r="K1" s="191"/>
      <c r="L1" s="191"/>
      <c r="M1" s="191"/>
      <c r="N1" s="191"/>
      <c r="O1" s="191"/>
      <c r="P1" s="191"/>
      <c r="Q1" s="191"/>
      <c r="R1" s="191"/>
      <c r="S1" s="191"/>
    </row>
    <row r="2" spans="1:19" s="20" customFormat="1" ht="18">
      <c r="A2" s="78"/>
      <c r="B2" s="154" t="s">
        <v>372</v>
      </c>
      <c r="C2" s="78"/>
      <c r="D2" s="78"/>
      <c r="E2" s="78"/>
      <c r="F2" s="78"/>
      <c r="G2" s="78"/>
      <c r="H2" s="78"/>
      <c r="I2" s="78"/>
      <c r="J2" s="78"/>
      <c r="K2" s="78"/>
      <c r="L2" s="78"/>
      <c r="M2" s="78"/>
      <c r="N2" s="78"/>
      <c r="O2" s="78"/>
      <c r="P2" s="78"/>
      <c r="Q2" s="78"/>
      <c r="R2" s="78"/>
      <c r="S2" s="78"/>
    </row>
    <row r="3" spans="1:19">
      <c r="A3" s="191"/>
      <c r="B3" s="191"/>
      <c r="C3" s="191"/>
      <c r="D3" s="191"/>
      <c r="E3" s="191"/>
      <c r="F3" s="191"/>
      <c r="G3" s="191"/>
      <c r="H3" s="191"/>
      <c r="I3" s="191"/>
      <c r="J3" s="191"/>
      <c r="K3" s="191"/>
      <c r="L3" s="191"/>
      <c r="M3" s="191"/>
      <c r="N3" s="191"/>
      <c r="O3" s="191"/>
      <c r="P3" s="191"/>
      <c r="Q3" s="191"/>
      <c r="R3" s="191"/>
      <c r="S3" s="191"/>
    </row>
    <row r="4" spans="1:19">
      <c r="A4" s="191"/>
      <c r="B4" s="181" t="s">
        <v>56</v>
      </c>
      <c r="C4" s="181"/>
      <c r="D4" s="181"/>
      <c r="E4" s="191"/>
      <c r="F4" s="191"/>
      <c r="G4" s="191"/>
      <c r="H4" s="191"/>
      <c r="I4" s="191"/>
      <c r="J4" s="191"/>
      <c r="K4" s="191"/>
      <c r="L4" s="191"/>
      <c r="M4" s="191"/>
      <c r="N4" s="191"/>
      <c r="O4" s="191"/>
      <c r="P4" s="191"/>
      <c r="Q4" s="191"/>
      <c r="R4" s="191"/>
      <c r="S4" s="191"/>
    </row>
    <row r="5" spans="1:19" ht="74.25" customHeight="1">
      <c r="A5" s="191"/>
      <c r="B5" s="303" t="s">
        <v>582</v>
      </c>
      <c r="C5" s="303"/>
      <c r="D5" s="303"/>
      <c r="E5" s="303"/>
      <c r="F5" s="303"/>
      <c r="G5" s="303"/>
      <c r="H5" s="169"/>
      <c r="I5" s="191"/>
      <c r="J5" s="191"/>
      <c r="K5" s="191"/>
      <c r="L5" s="156"/>
      <c r="M5" s="191"/>
      <c r="N5" s="191"/>
      <c r="O5" s="191"/>
      <c r="P5" s="191"/>
      <c r="Q5" s="191"/>
      <c r="R5" s="191"/>
      <c r="S5" s="191"/>
    </row>
    <row r="6" spans="1:19">
      <c r="A6" s="191"/>
      <c r="B6" s="84"/>
      <c r="C6" s="191"/>
      <c r="D6" s="191"/>
      <c r="E6" s="191"/>
      <c r="F6" s="191"/>
      <c r="G6" s="191"/>
      <c r="H6" s="191"/>
      <c r="I6" s="191"/>
      <c r="J6" s="191"/>
      <c r="K6" s="191"/>
      <c r="L6" s="191"/>
      <c r="M6" s="191"/>
      <c r="N6" s="191"/>
      <c r="O6" s="191"/>
      <c r="P6" s="191"/>
      <c r="Q6" s="191"/>
      <c r="R6" s="191"/>
      <c r="S6" s="191"/>
    </row>
    <row r="7" spans="1:19">
      <c r="A7" s="191"/>
      <c r="B7" s="84" t="s">
        <v>29</v>
      </c>
      <c r="C7" s="191"/>
      <c r="D7" s="191"/>
      <c r="E7" s="191"/>
      <c r="F7" s="191"/>
      <c r="G7" s="191"/>
      <c r="H7" s="191"/>
      <c r="I7" s="191"/>
      <c r="J7" s="191"/>
      <c r="K7" s="191"/>
      <c r="L7" s="191"/>
      <c r="M7" s="191"/>
      <c r="N7" s="191"/>
      <c r="O7" s="191"/>
      <c r="P7" s="191"/>
      <c r="Q7" s="191"/>
      <c r="R7" s="191"/>
      <c r="S7" s="191"/>
    </row>
    <row r="8" spans="1:19" ht="49.5" customHeight="1">
      <c r="A8" s="186"/>
      <c r="B8" s="309" t="s">
        <v>387</v>
      </c>
      <c r="C8" s="309"/>
      <c r="D8" s="309"/>
      <c r="E8" s="309"/>
      <c r="F8" s="309"/>
      <c r="G8" s="309"/>
      <c r="H8" s="191"/>
      <c r="I8" s="191"/>
      <c r="J8" s="191"/>
      <c r="K8" s="191"/>
      <c r="L8" s="191"/>
      <c r="M8" s="191"/>
      <c r="N8" s="191"/>
      <c r="O8" s="191"/>
      <c r="P8" s="191"/>
      <c r="Q8" s="191"/>
      <c r="R8" s="191"/>
      <c r="S8" s="191"/>
    </row>
    <row r="9" spans="1:19">
      <c r="A9" s="191"/>
      <c r="B9" s="191"/>
      <c r="C9" s="191"/>
      <c r="D9" s="191"/>
      <c r="E9" s="191"/>
      <c r="F9" s="191"/>
      <c r="G9" s="191"/>
      <c r="H9" s="191"/>
      <c r="I9" s="191"/>
      <c r="J9" s="191"/>
      <c r="K9" s="191"/>
      <c r="L9" s="191"/>
      <c r="M9" s="191"/>
      <c r="N9" s="191"/>
      <c r="O9" s="191"/>
      <c r="P9" s="191"/>
      <c r="Q9" s="191"/>
      <c r="R9" s="191"/>
      <c r="S9" s="191"/>
    </row>
    <row r="10" spans="1:19" s="184" customFormat="1" ht="38.25">
      <c r="A10" s="194"/>
      <c r="B10" s="194" t="s">
        <v>44</v>
      </c>
      <c r="C10" s="194"/>
      <c r="D10" s="194"/>
      <c r="E10" s="194"/>
      <c r="F10" s="194" t="s">
        <v>26</v>
      </c>
      <c r="G10" s="194"/>
      <c r="H10" s="194" t="s">
        <v>27</v>
      </c>
      <c r="I10" s="194"/>
      <c r="J10" s="194" t="s">
        <v>48</v>
      </c>
      <c r="K10" s="194"/>
      <c r="L10" s="86" t="s">
        <v>76</v>
      </c>
      <c r="M10" s="86" t="s">
        <v>251</v>
      </c>
      <c r="N10" s="86" t="s">
        <v>78</v>
      </c>
      <c r="O10" s="86" t="s">
        <v>250</v>
      </c>
      <c r="P10" s="86" t="s">
        <v>169</v>
      </c>
      <c r="Q10" s="194"/>
      <c r="R10" s="194" t="s">
        <v>46</v>
      </c>
      <c r="S10" s="194"/>
    </row>
    <row r="11" spans="1:19">
      <c r="A11" s="191"/>
      <c r="B11" s="191"/>
      <c r="C11" s="191"/>
      <c r="D11" s="191"/>
      <c r="E11" s="191"/>
      <c r="F11" s="191"/>
      <c r="G11" s="191"/>
      <c r="H11" s="191"/>
      <c r="I11" s="191"/>
      <c r="J11" s="191"/>
      <c r="K11" s="191"/>
      <c r="L11" s="191"/>
      <c r="M11" s="191"/>
      <c r="N11" s="191"/>
      <c r="O11" s="191"/>
      <c r="P11" s="191"/>
      <c r="Q11" s="191"/>
      <c r="R11" s="191"/>
      <c r="S11" s="191"/>
    </row>
    <row r="12" spans="1:19">
      <c r="A12" s="191"/>
      <c r="B12" s="191"/>
      <c r="C12" s="191"/>
      <c r="D12" s="191"/>
      <c r="E12" s="191"/>
      <c r="F12" s="191"/>
      <c r="G12" s="191"/>
      <c r="H12" s="191"/>
      <c r="I12" s="191"/>
      <c r="J12" s="191"/>
      <c r="K12" s="191"/>
      <c r="L12" s="191"/>
      <c r="M12" s="191"/>
      <c r="N12" s="191"/>
      <c r="O12" s="191"/>
      <c r="P12" s="191"/>
      <c r="Q12" s="191"/>
      <c r="R12" s="191"/>
      <c r="S12" s="191"/>
    </row>
    <row r="13" spans="1:19" s="184" customFormat="1">
      <c r="A13" s="194"/>
      <c r="B13" s="194" t="s">
        <v>47</v>
      </c>
      <c r="C13" s="194"/>
      <c r="D13" s="194"/>
      <c r="E13" s="194"/>
      <c r="F13" s="194"/>
      <c r="G13" s="194"/>
      <c r="H13" s="194"/>
      <c r="I13" s="194"/>
      <c r="J13" s="194"/>
      <c r="K13" s="194"/>
      <c r="L13" s="194"/>
      <c r="M13" s="194"/>
      <c r="N13" s="194"/>
      <c r="O13" s="194"/>
      <c r="P13" s="194"/>
      <c r="Q13" s="194"/>
      <c r="R13" s="194"/>
      <c r="S13" s="194"/>
    </row>
    <row r="14" spans="1:19">
      <c r="A14" s="191"/>
      <c r="B14" s="191"/>
      <c r="C14" s="191"/>
      <c r="D14" s="191"/>
      <c r="E14" s="191"/>
      <c r="F14" s="191"/>
      <c r="G14" s="191"/>
      <c r="H14" s="191"/>
      <c r="I14" s="191"/>
      <c r="J14" s="191"/>
      <c r="K14" s="191"/>
      <c r="L14" s="191"/>
      <c r="M14" s="191"/>
      <c r="N14" s="191"/>
      <c r="O14" s="191"/>
      <c r="P14" s="191"/>
      <c r="Q14" s="191"/>
      <c r="R14" s="191"/>
      <c r="S14" s="191"/>
    </row>
    <row r="15" spans="1:19">
      <c r="A15" s="186"/>
      <c r="B15" s="181" t="s">
        <v>80</v>
      </c>
      <c r="C15" s="191"/>
      <c r="D15" s="191"/>
      <c r="E15" s="191"/>
      <c r="F15" s="191"/>
      <c r="G15" s="191"/>
      <c r="H15" s="191"/>
      <c r="I15" s="191"/>
      <c r="J15" s="191"/>
      <c r="K15" s="191"/>
      <c r="L15" s="191"/>
      <c r="M15" s="191"/>
      <c r="N15" s="191"/>
      <c r="O15" s="191"/>
      <c r="P15" s="191"/>
      <c r="Q15" s="191"/>
      <c r="R15" s="191"/>
      <c r="S15" s="191"/>
    </row>
    <row r="16" spans="1:19" s="192" customFormat="1">
      <c r="A16" s="186"/>
      <c r="B16" s="186" t="s">
        <v>457</v>
      </c>
      <c r="C16" s="186"/>
      <c r="D16" s="186"/>
      <c r="E16" s="186"/>
      <c r="F16" s="186" t="s">
        <v>81</v>
      </c>
      <c r="G16" s="186"/>
      <c r="H16" s="186"/>
      <c r="I16" s="186"/>
      <c r="J16" s="186"/>
      <c r="K16" s="186"/>
      <c r="L16" s="195">
        <f>'Tab 8_Voorstel tarieven en RV'!L23</f>
        <v>23.082999999999998</v>
      </c>
      <c r="M16" s="170">
        <f>'Tab 8_Voorstel tarieven en RV'!M23</f>
        <v>1504881</v>
      </c>
      <c r="N16" s="170">
        <f>'Tab 8_Voorstel tarieven en RV'!N23</f>
        <v>13396240</v>
      </c>
      <c r="O16" s="170">
        <f>'Tab 8_Voorstel tarieven en RV'!O23</f>
        <v>125088</v>
      </c>
      <c r="P16" s="170">
        <f>'Tab 8_Voorstel tarieven en RV'!P23</f>
        <v>2189240</v>
      </c>
      <c r="Q16" s="186"/>
      <c r="R16" s="186"/>
      <c r="S16" s="186"/>
    </row>
    <row r="17" spans="1:19">
      <c r="A17" s="186"/>
      <c r="B17" s="191" t="s">
        <v>296</v>
      </c>
      <c r="C17" s="191"/>
      <c r="D17" s="191"/>
      <c r="E17" s="191"/>
      <c r="F17" s="191" t="s">
        <v>81</v>
      </c>
      <c r="G17" s="191"/>
      <c r="H17" s="191"/>
      <c r="I17" s="191"/>
      <c r="J17" s="191"/>
      <c r="K17" s="191"/>
      <c r="L17" s="195">
        <f>'Tab 11_Tarieven, RV en omzet'!L16</f>
        <v>22.55</v>
      </c>
      <c r="M17" s="188">
        <f>'Tab 11_Tarieven, RV en omzet'!M16</f>
        <v>1212716</v>
      </c>
      <c r="N17" s="188">
        <f>'Tab 11_Tarieven, RV en omzet'!N16</f>
        <v>12026541</v>
      </c>
      <c r="O17" s="188">
        <f>'Tab 11_Tarieven, RV en omzet'!O16</f>
        <v>235262</v>
      </c>
      <c r="P17" s="188">
        <f>'Tab 11_Tarieven, RV en omzet'!P16</f>
        <v>3215320</v>
      </c>
      <c r="Q17" s="191"/>
      <c r="R17" s="181"/>
      <c r="S17" s="191"/>
    </row>
    <row r="18" spans="1:19">
      <c r="A18" s="186"/>
      <c r="B18" s="191" t="s">
        <v>463</v>
      </c>
      <c r="C18" s="191"/>
      <c r="D18" s="191"/>
      <c r="E18" s="191"/>
      <c r="F18" s="191" t="s">
        <v>81</v>
      </c>
      <c r="G18" s="191"/>
      <c r="H18" s="191"/>
      <c r="I18" s="191"/>
      <c r="J18" s="191"/>
      <c r="K18" s="191"/>
      <c r="L18" s="195">
        <f>'Tab 8_Voorstel tarieven en RV'!L32</f>
        <v>23.082999999999998</v>
      </c>
      <c r="M18" s="188">
        <f>'Tab 8_Voorstel tarieven en RV'!M32</f>
        <v>1504881</v>
      </c>
      <c r="N18" s="188">
        <f>'Tab 8_Voorstel tarieven en RV'!N32</f>
        <v>13396240</v>
      </c>
      <c r="O18" s="188">
        <f>'Tab 8_Voorstel tarieven en RV'!O32</f>
        <v>125088</v>
      </c>
      <c r="P18" s="188">
        <f>'Tab 8_Voorstel tarieven en RV'!P32</f>
        <v>2189240</v>
      </c>
      <c r="Q18" s="191"/>
      <c r="R18" s="181"/>
      <c r="S18" s="191"/>
    </row>
    <row r="19" spans="1:19">
      <c r="A19" s="186"/>
      <c r="B19" s="191" t="s">
        <v>462</v>
      </c>
      <c r="C19" s="191"/>
      <c r="D19" s="191"/>
      <c r="E19" s="191"/>
      <c r="F19" s="191" t="s">
        <v>199</v>
      </c>
      <c r="G19" s="191"/>
      <c r="H19" s="191"/>
      <c r="I19" s="191"/>
      <c r="J19" s="191"/>
      <c r="K19" s="191"/>
      <c r="L19" s="197">
        <f>'Tab 8_Voorstel tarieven en RV'!L31</f>
        <v>12478.96</v>
      </c>
      <c r="M19" s="95">
        <f>'Tab 8_Voorstel tarieven en RV'!M31</f>
        <v>14.8</v>
      </c>
      <c r="N19" s="95">
        <f>'Tab 8_Voorstel tarieven en RV'!N31</f>
        <v>1.5</v>
      </c>
      <c r="O19" s="95">
        <f>'Tab 8_Voorstel tarieven en RV'!O31</f>
        <v>7.38</v>
      </c>
      <c r="P19" s="95">
        <f>'Tab 8_Voorstel tarieven en RV'!P31</f>
        <v>0.52</v>
      </c>
      <c r="Q19" s="191"/>
      <c r="R19" s="191"/>
      <c r="S19" s="191"/>
    </row>
    <row r="20" spans="1:19">
      <c r="A20" s="186"/>
      <c r="B20" s="191"/>
      <c r="C20" s="191"/>
      <c r="D20" s="191"/>
      <c r="E20" s="191"/>
      <c r="F20" s="191"/>
      <c r="G20" s="191"/>
      <c r="H20" s="191"/>
      <c r="I20" s="191"/>
      <c r="J20" s="191"/>
      <c r="K20" s="191"/>
      <c r="L20" s="191"/>
      <c r="M20" s="191"/>
      <c r="N20" s="191"/>
      <c r="O20" s="191"/>
      <c r="P20" s="191"/>
      <c r="Q20" s="191"/>
      <c r="R20" s="191"/>
      <c r="S20" s="191"/>
    </row>
    <row r="21" spans="1:19">
      <c r="A21" s="186"/>
      <c r="B21" s="181" t="s">
        <v>82</v>
      </c>
      <c r="C21" s="191"/>
      <c r="D21" s="191"/>
      <c r="E21" s="191"/>
      <c r="F21" s="191"/>
      <c r="G21" s="191"/>
      <c r="H21" s="191"/>
      <c r="I21" s="191"/>
      <c r="J21" s="191"/>
      <c r="K21" s="191"/>
      <c r="L21" s="191"/>
      <c r="M21" s="191"/>
      <c r="N21" s="191"/>
      <c r="O21" s="191"/>
      <c r="P21" s="191"/>
      <c r="Q21" s="191"/>
      <c r="R21" s="191"/>
      <c r="S21" s="191"/>
    </row>
    <row r="22" spans="1:19" s="192" customFormat="1">
      <c r="A22" s="186"/>
      <c r="B22" s="186" t="s">
        <v>457</v>
      </c>
      <c r="C22" s="186"/>
      <c r="D22" s="186"/>
      <c r="E22" s="186"/>
      <c r="F22" s="186" t="s">
        <v>81</v>
      </c>
      <c r="G22" s="186"/>
      <c r="H22" s="186"/>
      <c r="I22" s="186"/>
      <c r="J22" s="186"/>
      <c r="K22" s="186"/>
      <c r="L22" s="195">
        <f>'Tab 8_Voorstel tarieven en RV'!L26</f>
        <v>93.75</v>
      </c>
      <c r="M22" s="170">
        <f>'Tab 8_Voorstel tarieven en RV'!M26</f>
        <v>14733464</v>
      </c>
      <c r="N22" s="170">
        <f>'Tab 8_Voorstel tarieven en RV'!N26</f>
        <v>151228388</v>
      </c>
      <c r="O22" s="170">
        <f>'Tab 8_Voorstel tarieven en RV'!O26</f>
        <v>323512</v>
      </c>
      <c r="P22" s="170">
        <f>'Tab 8_Voorstel tarieven en RV'!P26</f>
        <v>3219973</v>
      </c>
      <c r="Q22" s="186"/>
      <c r="R22" s="186"/>
      <c r="S22" s="186"/>
    </row>
    <row r="23" spans="1:19">
      <c r="A23" s="186"/>
      <c r="B23" s="191" t="s">
        <v>296</v>
      </c>
      <c r="C23" s="191"/>
      <c r="D23" s="191"/>
      <c r="E23" s="191"/>
      <c r="F23" s="191" t="s">
        <v>81</v>
      </c>
      <c r="G23" s="191"/>
      <c r="H23" s="191"/>
      <c r="I23" s="191"/>
      <c r="J23" s="191"/>
      <c r="K23" s="191"/>
      <c r="L23" s="195">
        <f>'Tab 11_Tarieven, RV en omzet'!L23</f>
        <v>91.56</v>
      </c>
      <c r="M23" s="188">
        <f>'Tab 11_Tarieven, RV en omzet'!M23</f>
        <v>14929120</v>
      </c>
      <c r="N23" s="188">
        <f>'Tab 11_Tarieven, RV en omzet'!N23</f>
        <v>153986790</v>
      </c>
      <c r="O23" s="188">
        <f>'Tab 11_Tarieven, RV en omzet'!O23</f>
        <v>226512</v>
      </c>
      <c r="P23" s="188">
        <f>'Tab 11_Tarieven, RV en omzet'!P23</f>
        <v>1737592</v>
      </c>
      <c r="Q23" s="191"/>
      <c r="R23" s="181"/>
      <c r="S23" s="191"/>
    </row>
    <row r="24" spans="1:19">
      <c r="A24" s="186"/>
      <c r="B24" s="191" t="s">
        <v>463</v>
      </c>
      <c r="C24" s="191"/>
      <c r="D24" s="191"/>
      <c r="E24" s="191"/>
      <c r="F24" s="191" t="s">
        <v>81</v>
      </c>
      <c r="G24" s="191"/>
      <c r="H24" s="191"/>
      <c r="I24" s="191"/>
      <c r="J24" s="191"/>
      <c r="K24" s="191"/>
      <c r="L24" s="195">
        <f>'Tab 8_Voorstel tarieven en RV'!L36</f>
        <v>93.75</v>
      </c>
      <c r="M24" s="188">
        <f>'Tab 8_Voorstel tarieven en RV'!M36</f>
        <v>14733464</v>
      </c>
      <c r="N24" s="188">
        <f>'Tab 8_Voorstel tarieven en RV'!N36</f>
        <v>151228388</v>
      </c>
      <c r="O24" s="188">
        <f>'Tab 8_Voorstel tarieven en RV'!O36</f>
        <v>323512</v>
      </c>
      <c r="P24" s="188">
        <f>'Tab 8_Voorstel tarieven en RV'!P36</f>
        <v>3219973</v>
      </c>
      <c r="Q24" s="191"/>
      <c r="R24" s="181"/>
      <c r="S24" s="191"/>
    </row>
    <row r="25" spans="1:19">
      <c r="A25" s="186"/>
      <c r="B25" s="191" t="s">
        <v>462</v>
      </c>
      <c r="C25" s="191"/>
      <c r="D25" s="191"/>
      <c r="E25" s="191"/>
      <c r="F25" s="191" t="s">
        <v>199</v>
      </c>
      <c r="G25" s="191"/>
      <c r="H25" s="191"/>
      <c r="I25" s="191"/>
      <c r="J25" s="191"/>
      <c r="K25" s="191"/>
      <c r="L25" s="197">
        <f>'Tab 8_Voorstel tarieven en RV'!L35</f>
        <v>2760</v>
      </c>
      <c r="M25" s="95">
        <f>'Tab 8_Voorstel tarieven en RV'!M35</f>
        <v>24.8</v>
      </c>
      <c r="N25" s="95">
        <f>'Tab 8_Voorstel tarieven en RV'!N35</f>
        <v>2.42</v>
      </c>
      <c r="O25" s="95">
        <f>'Tab 8_Voorstel tarieven en RV'!O35</f>
        <v>12.38</v>
      </c>
      <c r="P25" s="95">
        <f>'Tab 8_Voorstel tarieven en RV'!P35</f>
        <v>0.84</v>
      </c>
      <c r="Q25" s="191"/>
      <c r="R25" s="191"/>
      <c r="S25" s="191"/>
    </row>
    <row r="26" spans="1:19">
      <c r="A26" s="191"/>
      <c r="B26" s="191"/>
      <c r="C26" s="191"/>
      <c r="D26" s="191"/>
      <c r="E26" s="191"/>
      <c r="F26" s="191"/>
      <c r="G26" s="191"/>
      <c r="H26" s="191"/>
      <c r="I26" s="191"/>
      <c r="J26" s="191"/>
      <c r="K26" s="191"/>
      <c r="L26" s="191"/>
      <c r="M26" s="191"/>
      <c r="N26" s="191"/>
      <c r="O26" s="191"/>
      <c r="P26" s="191"/>
      <c r="Q26" s="191"/>
      <c r="R26" s="191"/>
      <c r="S26" s="191"/>
    </row>
    <row r="27" spans="1:19" s="184" customFormat="1">
      <c r="A27" s="194"/>
      <c r="B27" s="194" t="s">
        <v>636</v>
      </c>
      <c r="C27" s="194"/>
      <c r="D27" s="194"/>
      <c r="E27" s="194"/>
      <c r="F27" s="194"/>
      <c r="G27" s="194"/>
      <c r="H27" s="194"/>
      <c r="I27" s="194"/>
      <c r="J27" s="194"/>
      <c r="K27" s="194"/>
      <c r="L27" s="194"/>
      <c r="M27" s="194"/>
      <c r="N27" s="194"/>
      <c r="O27" s="194"/>
      <c r="P27" s="194"/>
      <c r="Q27" s="194"/>
      <c r="R27" s="194"/>
      <c r="S27" s="194"/>
    </row>
    <row r="28" spans="1:19">
      <c r="A28" s="191"/>
      <c r="B28" s="191"/>
      <c r="C28" s="191"/>
      <c r="D28" s="191"/>
      <c r="E28" s="191"/>
      <c r="F28" s="191"/>
      <c r="G28" s="191"/>
      <c r="H28" s="191"/>
      <c r="I28" s="191"/>
      <c r="J28" s="191"/>
      <c r="K28" s="191"/>
      <c r="L28" s="191"/>
      <c r="M28" s="191"/>
      <c r="N28" s="191"/>
      <c r="O28" s="191"/>
      <c r="P28" s="191"/>
      <c r="Q28" s="191"/>
      <c r="R28" s="191"/>
      <c r="S28" s="191"/>
    </row>
    <row r="29" spans="1:19">
      <c r="A29" s="186"/>
      <c r="B29" s="181" t="s">
        <v>583</v>
      </c>
      <c r="C29" s="191"/>
      <c r="D29" s="191"/>
      <c r="E29" s="191"/>
      <c r="F29" s="191"/>
      <c r="G29" s="191"/>
      <c r="H29" s="191"/>
      <c r="I29" s="191"/>
      <c r="J29" s="191"/>
      <c r="K29" s="191"/>
      <c r="L29" s="191"/>
      <c r="M29" s="191"/>
      <c r="N29" s="191"/>
      <c r="O29" s="191"/>
      <c r="P29" s="191"/>
      <c r="Q29" s="191"/>
      <c r="R29" s="191"/>
      <c r="S29" s="191"/>
    </row>
    <row r="30" spans="1:19">
      <c r="A30" s="186"/>
      <c r="B30" s="191" t="s">
        <v>637</v>
      </c>
      <c r="C30" s="191"/>
      <c r="D30" s="191"/>
      <c r="E30" s="191"/>
      <c r="F30" s="191" t="s">
        <v>81</v>
      </c>
      <c r="G30" s="191"/>
      <c r="H30" s="191"/>
      <c r="I30" s="191"/>
      <c r="J30" s="191"/>
      <c r="K30" s="191"/>
      <c r="L30" s="196">
        <f>L18-L16</f>
        <v>0</v>
      </c>
      <c r="M30" s="196">
        <f>M18-M16</f>
        <v>0</v>
      </c>
      <c r="N30" s="196">
        <f>N18-N16</f>
        <v>0</v>
      </c>
      <c r="O30" s="196">
        <f>O18-O16</f>
        <v>0</v>
      </c>
      <c r="P30" s="196">
        <f>P18-P16</f>
        <v>0</v>
      </c>
      <c r="Q30" s="191"/>
      <c r="R30" s="191"/>
      <c r="S30" s="191"/>
    </row>
    <row r="31" spans="1:19">
      <c r="A31" s="186"/>
      <c r="B31" s="191" t="s">
        <v>638</v>
      </c>
      <c r="C31" s="191"/>
      <c r="D31" s="191"/>
      <c r="E31" s="191"/>
      <c r="F31" s="191" t="s">
        <v>81</v>
      </c>
      <c r="G31" s="191"/>
      <c r="H31" s="191"/>
      <c r="I31" s="191"/>
      <c r="J31" s="191"/>
      <c r="K31" s="191"/>
      <c r="L31" s="196">
        <f>L24-L22</f>
        <v>0</v>
      </c>
      <c r="M31" s="196">
        <f>M24-M22</f>
        <v>0</v>
      </c>
      <c r="N31" s="196">
        <f>N24-N22</f>
        <v>0</v>
      </c>
      <c r="O31" s="196">
        <f>O24-O22</f>
        <v>0</v>
      </c>
      <c r="P31" s="196">
        <f>P24-P22</f>
        <v>0</v>
      </c>
      <c r="Q31" s="191"/>
      <c r="R31" s="191"/>
      <c r="S31" s="191"/>
    </row>
    <row r="32" spans="1:19">
      <c r="A32" s="186"/>
      <c r="B32" s="191"/>
      <c r="C32" s="191"/>
      <c r="D32" s="191"/>
      <c r="E32" s="191"/>
      <c r="F32" s="191"/>
      <c r="G32" s="191"/>
      <c r="H32" s="191"/>
      <c r="I32" s="191"/>
      <c r="J32" s="191"/>
      <c r="K32" s="191"/>
      <c r="L32" s="191"/>
      <c r="M32" s="191"/>
      <c r="N32" s="191"/>
      <c r="O32" s="191"/>
      <c r="P32" s="191"/>
      <c r="Q32" s="191"/>
      <c r="R32" s="191"/>
      <c r="S32" s="191"/>
    </row>
    <row r="33" spans="1:19">
      <c r="A33" s="186"/>
      <c r="B33" s="191" t="s">
        <v>639</v>
      </c>
      <c r="C33" s="191"/>
      <c r="D33" s="191"/>
      <c r="E33" s="191"/>
      <c r="F33" s="191" t="s">
        <v>249</v>
      </c>
      <c r="G33" s="191"/>
      <c r="H33" s="79" t="str">
        <f>IF(AND(L30=0,M30=0,N30=0,O30=0,P30=0,L31=0,M31=0,N31=0,O31=0,P31=0),"ja","nee")</f>
        <v>ja</v>
      </c>
      <c r="I33" s="191"/>
      <c r="J33" s="191"/>
      <c r="K33" s="191"/>
      <c r="L33" s="191"/>
      <c r="M33" s="191"/>
      <c r="N33" s="191"/>
      <c r="O33" s="191"/>
      <c r="P33" s="191"/>
      <c r="Q33" s="191"/>
      <c r="R33" s="200" t="s">
        <v>593</v>
      </c>
      <c r="S33" s="191"/>
    </row>
    <row r="34" spans="1:19">
      <c r="A34" s="186"/>
      <c r="B34" s="191"/>
      <c r="C34" s="191"/>
      <c r="D34" s="191"/>
      <c r="E34" s="191"/>
      <c r="F34" s="191"/>
      <c r="G34" s="191"/>
      <c r="H34" s="191"/>
      <c r="I34" s="191"/>
      <c r="J34" s="191"/>
      <c r="K34" s="191"/>
      <c r="L34" s="191"/>
      <c r="M34" s="191"/>
      <c r="N34" s="191"/>
      <c r="O34" s="191"/>
      <c r="P34" s="191"/>
      <c r="Q34" s="191"/>
      <c r="R34" s="191"/>
      <c r="S34" s="191"/>
    </row>
    <row r="35" spans="1:19">
      <c r="A35" s="186"/>
      <c r="B35" s="181" t="s">
        <v>255</v>
      </c>
      <c r="C35" s="191"/>
      <c r="D35" s="191"/>
      <c r="E35" s="191"/>
      <c r="F35" s="191"/>
      <c r="G35" s="191"/>
      <c r="H35" s="191"/>
      <c r="I35" s="191"/>
      <c r="J35" s="191"/>
      <c r="K35" s="191"/>
      <c r="L35" s="191"/>
      <c r="M35" s="191"/>
      <c r="N35" s="191"/>
      <c r="O35" s="191"/>
      <c r="P35" s="191"/>
      <c r="Q35" s="191"/>
      <c r="R35" s="191"/>
      <c r="S35" s="191"/>
    </row>
    <row r="36" spans="1:19">
      <c r="A36" s="186"/>
      <c r="B36" s="191" t="s">
        <v>584</v>
      </c>
      <c r="C36" s="191"/>
      <c r="D36" s="191"/>
      <c r="E36" s="191"/>
      <c r="F36" s="191" t="s">
        <v>199</v>
      </c>
      <c r="G36" s="191"/>
      <c r="H36" s="37">
        <f>SUMPRODUCT(L19:P19,L18:P18)</f>
        <v>44716204.873679996</v>
      </c>
      <c r="I36" s="191"/>
      <c r="J36" s="191"/>
      <c r="K36" s="191"/>
      <c r="L36" s="191"/>
      <c r="M36" s="191"/>
      <c r="N36" s="191"/>
      <c r="O36" s="191"/>
      <c r="P36" s="191"/>
      <c r="Q36" s="191"/>
      <c r="R36" s="191"/>
      <c r="S36" s="191"/>
    </row>
    <row r="37" spans="1:19">
      <c r="A37" s="186"/>
      <c r="B37" s="191" t="s">
        <v>585</v>
      </c>
      <c r="C37" s="191"/>
      <c r="D37" s="191"/>
      <c r="E37" s="191"/>
      <c r="F37" s="191" t="s">
        <v>199</v>
      </c>
      <c r="G37" s="191"/>
      <c r="H37" s="37">
        <f>SUMPRODUCT(L25:P25,L24:P24)</f>
        <v>738331212.03999996</v>
      </c>
      <c r="I37" s="191"/>
      <c r="J37" s="191"/>
      <c r="K37" s="191"/>
      <c r="L37" s="186"/>
      <c r="M37" s="191"/>
      <c r="N37" s="191"/>
      <c r="O37" s="191"/>
      <c r="P37" s="191"/>
      <c r="Q37" s="191"/>
      <c r="R37" s="191"/>
      <c r="S37" s="191"/>
    </row>
    <row r="38" spans="1:19">
      <c r="A38" s="186"/>
      <c r="B38" s="191" t="s">
        <v>586</v>
      </c>
      <c r="C38" s="191"/>
      <c r="D38" s="191"/>
      <c r="E38" s="191"/>
      <c r="F38" s="191" t="s">
        <v>199</v>
      </c>
      <c r="G38" s="191"/>
      <c r="H38" s="37">
        <f>H36+H37</f>
        <v>783047416.91367996</v>
      </c>
      <c r="I38" s="191"/>
      <c r="J38" s="191"/>
      <c r="K38" s="191"/>
      <c r="L38" s="191"/>
      <c r="M38" s="191"/>
      <c r="N38" s="191"/>
      <c r="O38" s="191"/>
      <c r="P38" s="191"/>
      <c r="Q38" s="191"/>
      <c r="R38" s="191"/>
      <c r="S38" s="191"/>
    </row>
    <row r="39" spans="1:19">
      <c r="A39" s="186"/>
      <c r="B39" s="191"/>
      <c r="C39" s="191"/>
      <c r="D39" s="191"/>
      <c r="E39" s="191"/>
      <c r="F39" s="191"/>
      <c r="G39" s="191"/>
      <c r="H39" s="77"/>
      <c r="I39" s="191"/>
      <c r="J39" s="191"/>
      <c r="K39" s="191"/>
      <c r="L39" s="191"/>
      <c r="M39" s="191"/>
      <c r="N39" s="191"/>
      <c r="O39" s="191"/>
      <c r="P39" s="191"/>
      <c r="Q39" s="191"/>
      <c r="R39" s="191"/>
      <c r="S39" s="191"/>
    </row>
    <row r="40" spans="1:19">
      <c r="A40" s="186"/>
      <c r="B40" s="191" t="s">
        <v>587</v>
      </c>
      <c r="C40" s="191"/>
      <c r="D40" s="191"/>
      <c r="E40" s="191"/>
      <c r="F40" s="191" t="s">
        <v>199</v>
      </c>
      <c r="G40" s="191"/>
      <c r="H40" s="37">
        <f>SUMPRODUCT(L19:P19,L17:P17)</f>
        <v>39677608.808000006</v>
      </c>
      <c r="I40" s="191"/>
      <c r="J40" s="191"/>
      <c r="K40" s="191"/>
      <c r="L40" s="191"/>
      <c r="M40" s="191"/>
      <c r="N40" s="191"/>
      <c r="O40" s="191"/>
      <c r="P40" s="191"/>
      <c r="Q40" s="191"/>
      <c r="R40" s="191"/>
      <c r="S40" s="191"/>
    </row>
    <row r="41" spans="1:19">
      <c r="A41" s="186"/>
      <c r="B41" s="191" t="s">
        <v>588</v>
      </c>
      <c r="C41" s="191"/>
      <c r="D41" s="191"/>
      <c r="E41" s="191"/>
      <c r="F41" s="191" t="s">
        <v>199</v>
      </c>
      <c r="G41" s="191"/>
      <c r="H41" s="37">
        <f>SUMPRODUCT(L25:P25,L23:P23)</f>
        <v>747406709.24000001</v>
      </c>
      <c r="I41" s="191"/>
      <c r="J41" s="191"/>
      <c r="K41" s="191"/>
      <c r="L41" s="191"/>
      <c r="M41" s="191"/>
      <c r="N41" s="191"/>
      <c r="O41" s="191"/>
      <c r="P41" s="191"/>
      <c r="Q41" s="191"/>
      <c r="R41" s="191"/>
      <c r="S41" s="191"/>
    </row>
    <row r="42" spans="1:19">
      <c r="A42" s="186"/>
      <c r="B42" s="191" t="s">
        <v>589</v>
      </c>
      <c r="C42" s="191"/>
      <c r="D42" s="191"/>
      <c r="E42" s="191"/>
      <c r="F42" s="191" t="s">
        <v>199</v>
      </c>
      <c r="G42" s="191"/>
      <c r="H42" s="37">
        <f>H40+H41</f>
        <v>787084318.04799998</v>
      </c>
      <c r="I42" s="191"/>
      <c r="J42" s="191"/>
      <c r="K42" s="191"/>
      <c r="L42" s="191"/>
      <c r="M42" s="191"/>
      <c r="N42" s="191"/>
      <c r="O42" s="191"/>
      <c r="P42" s="191"/>
      <c r="Q42" s="191"/>
      <c r="R42" s="191"/>
      <c r="S42" s="191"/>
    </row>
    <row r="43" spans="1:19">
      <c r="A43" s="186"/>
      <c r="B43" s="191"/>
      <c r="C43" s="191"/>
      <c r="D43" s="191"/>
      <c r="E43" s="191"/>
      <c r="F43" s="191"/>
      <c r="G43" s="191"/>
      <c r="H43" s="76"/>
      <c r="I43" s="191"/>
      <c r="J43" s="191"/>
      <c r="K43" s="191"/>
      <c r="L43" s="191"/>
      <c r="M43" s="191"/>
      <c r="N43" s="191"/>
      <c r="O43" s="191"/>
      <c r="P43" s="191"/>
      <c r="Q43" s="191"/>
      <c r="R43" s="191"/>
      <c r="S43" s="191"/>
    </row>
    <row r="44" spans="1:19">
      <c r="A44" s="186"/>
      <c r="B44" s="87" t="s">
        <v>590</v>
      </c>
      <c r="C44" s="191"/>
      <c r="D44" s="191"/>
      <c r="E44" s="191"/>
      <c r="F44" s="191" t="s">
        <v>60</v>
      </c>
      <c r="G44" s="191"/>
      <c r="H44" s="88">
        <f>(H38-H42)/H42</f>
        <v>-5.1289309693422604E-3</v>
      </c>
      <c r="I44" s="191"/>
      <c r="J44" s="191"/>
      <c r="K44" s="191"/>
      <c r="L44" s="191"/>
      <c r="M44" s="191"/>
      <c r="N44" s="191"/>
      <c r="O44" s="191"/>
      <c r="P44" s="191"/>
      <c r="Q44" s="191"/>
      <c r="R44" s="26"/>
      <c r="S44" s="191"/>
    </row>
    <row r="45" spans="1:19">
      <c r="A45" s="186"/>
      <c r="B45" s="87" t="s">
        <v>275</v>
      </c>
      <c r="C45" s="191"/>
      <c r="D45" s="191"/>
      <c r="E45" s="191"/>
      <c r="F45" s="191" t="s">
        <v>249</v>
      </c>
      <c r="G45" s="191"/>
      <c r="H45" s="79" t="str">
        <f>IF(ABS(H44)&gt;0.01,"ja","nee")</f>
        <v>nee</v>
      </c>
      <c r="I45" s="191"/>
      <c r="J45" s="191"/>
      <c r="K45" s="191"/>
      <c r="L45" s="191"/>
      <c r="M45" s="191"/>
      <c r="N45" s="191"/>
      <c r="O45" s="191"/>
      <c r="P45" s="191"/>
      <c r="Q45" s="191"/>
      <c r="R45" s="191" t="s">
        <v>594</v>
      </c>
      <c r="S45" s="191"/>
    </row>
    <row r="46" spans="1:19">
      <c r="A46" s="186"/>
      <c r="B46" s="191"/>
      <c r="C46" s="191"/>
      <c r="D46" s="191"/>
      <c r="E46" s="191"/>
      <c r="F46" s="191"/>
      <c r="G46" s="191"/>
      <c r="H46" s="191"/>
      <c r="I46" s="191"/>
      <c r="J46" s="191"/>
      <c r="K46" s="191"/>
      <c r="L46" s="191"/>
      <c r="M46" s="191"/>
      <c r="N46" s="191"/>
      <c r="O46" s="191"/>
      <c r="P46" s="191"/>
      <c r="Q46" s="191"/>
      <c r="R46" s="191"/>
      <c r="S46" s="191"/>
    </row>
    <row r="47" spans="1:19" s="192" customFormat="1">
      <c r="A47" s="186"/>
      <c r="B47" s="94" t="s">
        <v>171</v>
      </c>
      <c r="C47" s="186"/>
      <c r="D47" s="186"/>
      <c r="E47" s="186"/>
      <c r="F47" s="186"/>
      <c r="G47" s="186"/>
      <c r="H47" s="186"/>
      <c r="I47" s="186"/>
      <c r="J47" s="186"/>
      <c r="K47" s="186"/>
      <c r="L47" s="186"/>
      <c r="M47" s="186"/>
      <c r="N47" s="186"/>
      <c r="O47" s="186"/>
      <c r="P47" s="186"/>
      <c r="Q47" s="186"/>
      <c r="R47" s="186"/>
      <c r="S47" s="186"/>
    </row>
    <row r="48" spans="1:19">
      <c r="A48" s="186"/>
      <c r="B48" s="191" t="s">
        <v>288</v>
      </c>
      <c r="C48" s="191"/>
      <c r="D48" s="191"/>
      <c r="E48" s="191"/>
      <c r="F48" s="191"/>
      <c r="G48" s="191"/>
      <c r="H48" s="79" t="str">
        <f>IF(AND(H33="ja",H45="ja"),"ja","nee")</f>
        <v>nee</v>
      </c>
      <c r="I48" s="191"/>
      <c r="J48" s="191"/>
      <c r="K48" s="191"/>
      <c r="L48" s="191"/>
      <c r="M48" s="191"/>
      <c r="N48" s="191"/>
      <c r="O48" s="191"/>
      <c r="P48" s="191"/>
      <c r="Q48" s="191"/>
      <c r="R48" s="26"/>
      <c r="S48" s="191"/>
    </row>
    <row r="49" spans="1:19">
      <c r="A49" s="186"/>
      <c r="B49" s="191"/>
      <c r="C49" s="191"/>
      <c r="D49" s="191"/>
      <c r="E49" s="191"/>
      <c r="F49" s="191"/>
      <c r="G49" s="191"/>
      <c r="H49" s="191"/>
      <c r="I49" s="191"/>
      <c r="J49" s="191"/>
      <c r="K49" s="191"/>
      <c r="L49" s="191"/>
      <c r="M49" s="191"/>
      <c r="N49" s="191"/>
      <c r="O49" s="191"/>
      <c r="P49" s="191"/>
      <c r="Q49" s="191"/>
      <c r="R49" s="191"/>
      <c r="S49" s="191"/>
    </row>
    <row r="50" spans="1:19">
      <c r="A50" s="186"/>
      <c r="B50" s="191" t="s">
        <v>591</v>
      </c>
      <c r="C50" s="191"/>
      <c r="D50" s="191"/>
      <c r="E50" s="191"/>
      <c r="F50" s="191" t="s">
        <v>81</v>
      </c>
      <c r="G50" s="191"/>
      <c r="H50" s="191"/>
      <c r="I50" s="191"/>
      <c r="J50" s="191"/>
      <c r="K50" s="191"/>
      <c r="L50" s="198">
        <f>IF($H$48="ja",L18,L17)</f>
        <v>22.55</v>
      </c>
      <c r="M50" s="38">
        <f>IF($H$48="ja",M18,M17)</f>
        <v>1212716</v>
      </c>
      <c r="N50" s="38">
        <f>IF($H$48="ja",N18,N17)</f>
        <v>12026541</v>
      </c>
      <c r="O50" s="38">
        <f>IF($H$48="ja",O18,O17)</f>
        <v>235262</v>
      </c>
      <c r="P50" s="38">
        <f>IF($H$48="ja",P18,P17)</f>
        <v>3215320</v>
      </c>
      <c r="Q50" s="191"/>
      <c r="R50" s="191"/>
      <c r="S50" s="191"/>
    </row>
    <row r="51" spans="1:19">
      <c r="A51" s="186"/>
      <c r="B51" s="191" t="s">
        <v>592</v>
      </c>
      <c r="C51" s="191"/>
      <c r="D51" s="191"/>
      <c r="E51" s="191"/>
      <c r="F51" s="191" t="s">
        <v>81</v>
      </c>
      <c r="G51" s="191"/>
      <c r="H51" s="191"/>
      <c r="I51" s="191"/>
      <c r="J51" s="191"/>
      <c r="K51" s="191"/>
      <c r="L51" s="198">
        <f>IF($H$48="ja",L24,L23)</f>
        <v>91.56</v>
      </c>
      <c r="M51" s="38">
        <f>IF($H$48="ja",M24,M23)</f>
        <v>14929120</v>
      </c>
      <c r="N51" s="38">
        <f>IF($H$48="ja",N24,N23)</f>
        <v>153986790</v>
      </c>
      <c r="O51" s="38">
        <f>IF($H$48="ja",O24,O23)</f>
        <v>226512</v>
      </c>
      <c r="P51" s="38">
        <f>IF($H$48="ja",P24,P23)</f>
        <v>1737592</v>
      </c>
      <c r="Q51" s="191"/>
      <c r="R51" s="191"/>
      <c r="S51" s="191"/>
    </row>
    <row r="52" spans="1:19">
      <c r="A52" s="186"/>
      <c r="B52" s="191"/>
      <c r="C52" s="191"/>
      <c r="D52" s="191"/>
      <c r="E52" s="191"/>
      <c r="F52" s="191"/>
      <c r="G52" s="191"/>
      <c r="H52" s="191"/>
      <c r="I52" s="191"/>
      <c r="J52" s="191"/>
      <c r="K52" s="191"/>
      <c r="L52" s="191"/>
      <c r="M52" s="191"/>
      <c r="N52" s="191"/>
      <c r="O52" s="191"/>
      <c r="P52" s="191"/>
      <c r="Q52" s="191"/>
      <c r="R52" s="191"/>
      <c r="S52" s="191"/>
    </row>
  </sheetData>
  <mergeCells count="2">
    <mergeCell ref="B5:G5"/>
    <mergeCell ref="B8:G8"/>
  </mergeCells>
  <pageMargins left="0.7" right="0.7" top="0.75" bottom="0.75" header="0.3" footer="0.3"/>
  <pageSetup paperSize="9" scale="7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tabColor rgb="FFFFFFCC"/>
    <pageSetUpPr autoPageBreaks="0"/>
  </sheetPr>
  <dimension ref="A1:U92"/>
  <sheetViews>
    <sheetView showGridLines="0" zoomScale="85" zoomScaleNormal="85" workbookViewId="0">
      <pane xSplit="6" ySplit="8" topLeftCell="G9" activePane="bottomRight" state="frozen"/>
      <selection pane="topRight"/>
      <selection pane="bottomLeft"/>
      <selection pane="bottomRight"/>
    </sheetView>
  </sheetViews>
  <sheetFormatPr defaultColWidth="9.140625" defaultRowHeight="12.75"/>
  <cols>
    <col min="1" max="1" width="4" style="2" customWidth="1"/>
    <col min="2" max="2" width="62.5703125" style="2" customWidth="1"/>
    <col min="3" max="5" width="4.5703125" style="2" customWidth="1"/>
    <col min="6" max="6" width="13.7109375" style="2" customWidth="1"/>
    <col min="7" max="7" width="2.7109375" style="2" customWidth="1"/>
    <col min="8" max="8" width="14.85546875" style="2" bestFit="1" customWidth="1"/>
    <col min="9" max="9" width="2.7109375" style="2" customWidth="1"/>
    <col min="10" max="10" width="13.7109375" style="2" customWidth="1"/>
    <col min="11" max="11" width="2.7109375" style="2" customWidth="1"/>
    <col min="12" max="16" width="18.7109375" style="2" customWidth="1"/>
    <col min="17" max="17" width="2.7109375" style="2" customWidth="1"/>
    <col min="18" max="32" width="13.7109375" style="2" customWidth="1"/>
    <col min="33" max="16384" width="9.140625" style="2"/>
  </cols>
  <sheetData>
    <row r="1" spans="1:18">
      <c r="A1" s="8"/>
    </row>
    <row r="2" spans="1:18" s="20" customFormat="1" ht="18">
      <c r="B2" s="20" t="s">
        <v>373</v>
      </c>
    </row>
    <row r="4" spans="1:18">
      <c r="B4" s="1" t="s">
        <v>56</v>
      </c>
      <c r="C4" s="1"/>
      <c r="D4" s="1"/>
      <c r="H4" s="83"/>
    </row>
    <row r="5" spans="1:18" ht="63" customHeight="1">
      <c r="B5" s="303" t="s">
        <v>595</v>
      </c>
      <c r="C5" s="303"/>
      <c r="D5" s="303"/>
      <c r="E5" s="303"/>
      <c r="H5" s="21"/>
    </row>
    <row r="6" spans="1:18">
      <c r="C6" s="23"/>
      <c r="D6" s="23"/>
      <c r="H6" s="21"/>
    </row>
    <row r="7" spans="1:18" s="7" customFormat="1" ht="38.25">
      <c r="B7" s="7" t="s">
        <v>44</v>
      </c>
      <c r="F7" s="7" t="s">
        <v>26</v>
      </c>
      <c r="H7" s="7" t="s">
        <v>27</v>
      </c>
      <c r="J7" s="7" t="s">
        <v>48</v>
      </c>
      <c r="L7" s="86" t="s">
        <v>76</v>
      </c>
      <c r="M7" s="31" t="s">
        <v>251</v>
      </c>
      <c r="N7" s="31" t="s">
        <v>78</v>
      </c>
      <c r="O7" s="31" t="s">
        <v>250</v>
      </c>
      <c r="P7" s="31" t="s">
        <v>169</v>
      </c>
      <c r="R7" s="7" t="s">
        <v>46</v>
      </c>
    </row>
    <row r="10" spans="1:18" s="7" customFormat="1">
      <c r="B10" s="7" t="s">
        <v>47</v>
      </c>
    </row>
    <row r="12" spans="1:18">
      <c r="B12" s="1" t="s">
        <v>80</v>
      </c>
    </row>
    <row r="13" spans="1:18">
      <c r="B13" s="23" t="s">
        <v>462</v>
      </c>
      <c r="F13" s="2" t="s">
        <v>199</v>
      </c>
      <c r="L13" s="95">
        <f>'Tab 8_Voorstel tarieven en RV'!L31</f>
        <v>12478.96</v>
      </c>
      <c r="M13" s="95">
        <f>'Tab 8_Voorstel tarieven en RV'!M31</f>
        <v>14.8</v>
      </c>
      <c r="N13" s="95">
        <f>'Tab 8_Voorstel tarieven en RV'!N31</f>
        <v>1.5</v>
      </c>
      <c r="O13" s="95">
        <f>'Tab 8_Voorstel tarieven en RV'!O31</f>
        <v>7.38</v>
      </c>
      <c r="P13" s="95">
        <f>'Tab 8_Voorstel tarieven en RV'!P31</f>
        <v>0.52</v>
      </c>
    </row>
    <row r="14" spans="1:18">
      <c r="B14" s="23" t="s">
        <v>493</v>
      </c>
      <c r="F14" s="2" t="s">
        <v>81</v>
      </c>
      <c r="L14" s="197">
        <f>'Tab 21_Controle rekenvolumina'!L50</f>
        <v>22.55</v>
      </c>
      <c r="M14" s="139">
        <f>'Tab 21_Controle rekenvolumina'!M50</f>
        <v>1212716</v>
      </c>
      <c r="N14" s="139">
        <f>'Tab 21_Controle rekenvolumina'!N50</f>
        <v>12026541</v>
      </c>
      <c r="O14" s="139">
        <f>'Tab 21_Controle rekenvolumina'!O50</f>
        <v>235262</v>
      </c>
      <c r="P14" s="139">
        <f>'Tab 21_Controle rekenvolumina'!P50</f>
        <v>3215320</v>
      </c>
      <c r="R14" s="5"/>
    </row>
    <row r="15" spans="1:18">
      <c r="B15" s="23"/>
    </row>
    <row r="16" spans="1:18">
      <c r="B16" s="1" t="s">
        <v>82</v>
      </c>
    </row>
    <row r="17" spans="2:18">
      <c r="B17" s="23" t="s">
        <v>462</v>
      </c>
      <c r="F17" s="2" t="s">
        <v>199</v>
      </c>
      <c r="L17" s="95">
        <f>'Tab 8_Voorstel tarieven en RV'!L35</f>
        <v>2760</v>
      </c>
      <c r="M17" s="95">
        <f>'Tab 8_Voorstel tarieven en RV'!M35</f>
        <v>24.8</v>
      </c>
      <c r="N17" s="95">
        <f>'Tab 8_Voorstel tarieven en RV'!N35</f>
        <v>2.42</v>
      </c>
      <c r="O17" s="95">
        <f>'Tab 8_Voorstel tarieven en RV'!O35</f>
        <v>12.38</v>
      </c>
      <c r="P17" s="95">
        <f>'Tab 8_Voorstel tarieven en RV'!P35</f>
        <v>0.84</v>
      </c>
    </row>
    <row r="18" spans="2:18">
      <c r="B18" s="23" t="s">
        <v>493</v>
      </c>
      <c r="F18" s="2" t="s">
        <v>81</v>
      </c>
      <c r="L18" s="197">
        <f>'Tab 21_Controle rekenvolumina'!L51</f>
        <v>91.56</v>
      </c>
      <c r="M18" s="139">
        <f>'Tab 21_Controle rekenvolumina'!M51</f>
        <v>14929120</v>
      </c>
      <c r="N18" s="139">
        <f>'Tab 21_Controle rekenvolumina'!N51</f>
        <v>153986790</v>
      </c>
      <c r="O18" s="139">
        <f>'Tab 21_Controle rekenvolumina'!O51</f>
        <v>226512</v>
      </c>
      <c r="P18" s="139">
        <f>'Tab 21_Controle rekenvolumina'!P51</f>
        <v>1737592</v>
      </c>
      <c r="R18" s="5"/>
    </row>
    <row r="20" spans="2:18">
      <c r="B20" s="50" t="s">
        <v>596</v>
      </c>
      <c r="F20" s="2" t="s">
        <v>199</v>
      </c>
      <c r="H20" s="36">
        <f>'Tab 4_Totale inkomsten 2021'!J60</f>
        <v>453028075.42759717</v>
      </c>
    </row>
    <row r="21" spans="2:18">
      <c r="B21" s="50" t="s">
        <v>597</v>
      </c>
      <c r="F21" s="2" t="s">
        <v>199</v>
      </c>
      <c r="H21" s="36">
        <f>'Tab 4_Totale inkomsten 2021'!K60</f>
        <v>334142041.94293362</v>
      </c>
    </row>
    <row r="23" spans="2:18">
      <c r="B23" s="51" t="s">
        <v>107</v>
      </c>
      <c r="C23" s="52"/>
    </row>
    <row r="24" spans="2:18">
      <c r="B24" s="53" t="s">
        <v>207</v>
      </c>
      <c r="C24" s="52"/>
      <c r="F24" s="2" t="s">
        <v>60</v>
      </c>
      <c r="H24" s="101">
        <f>'Tab 9_Parameters'!H55</f>
        <v>0.5</v>
      </c>
      <c r="J24" s="21"/>
      <c r="R24" s="54"/>
    </row>
    <row r="25" spans="2:18">
      <c r="B25" s="53" t="s">
        <v>109</v>
      </c>
      <c r="C25" s="52"/>
      <c r="F25" s="2" t="s">
        <v>60</v>
      </c>
      <c r="H25" s="101">
        <f>'Tab 9_Parameters'!H56</f>
        <v>0.5</v>
      </c>
      <c r="J25" s="21"/>
      <c r="R25" s="54"/>
    </row>
    <row r="26" spans="2:18">
      <c r="B26" s="53"/>
      <c r="C26" s="52"/>
      <c r="H26" s="55"/>
      <c r="R26" s="54"/>
    </row>
    <row r="27" spans="2:18">
      <c r="B27" s="51" t="s">
        <v>110</v>
      </c>
      <c r="C27" s="52"/>
      <c r="H27" s="54"/>
      <c r="R27" s="54"/>
    </row>
    <row r="28" spans="2:18">
      <c r="B28" s="52" t="s">
        <v>208</v>
      </c>
      <c r="C28" s="52"/>
      <c r="F28" s="2" t="s">
        <v>60</v>
      </c>
      <c r="H28" s="101">
        <f>'Tab 9_Parameters'!H59</f>
        <v>0.5</v>
      </c>
      <c r="J28" s="21"/>
      <c r="R28" s="54"/>
    </row>
    <row r="29" spans="2:18">
      <c r="B29" s="52" t="s">
        <v>111</v>
      </c>
      <c r="C29" s="52"/>
      <c r="F29" s="2" t="s">
        <v>60</v>
      </c>
      <c r="H29" s="101">
        <f>'Tab 9_Parameters'!H60</f>
        <v>0.34615384615384615</v>
      </c>
      <c r="J29" s="21"/>
      <c r="R29" s="54"/>
    </row>
    <row r="31" spans="2:18" s="7" customFormat="1">
      <c r="B31" s="7" t="s">
        <v>150</v>
      </c>
    </row>
    <row r="33" spans="2:21">
      <c r="B33" s="49"/>
    </row>
    <row r="34" spans="2:21">
      <c r="B34" s="56" t="s">
        <v>112</v>
      </c>
      <c r="C34" s="54"/>
      <c r="E34" s="57"/>
      <c r="F34" s="54" t="s">
        <v>60</v>
      </c>
      <c r="G34" s="58"/>
      <c r="H34" s="59">
        <f>((M18+O18)/((M14+O14)+(M18+O18)))</f>
        <v>0.91279137488775031</v>
      </c>
      <c r="R34" s="58" t="s">
        <v>276</v>
      </c>
      <c r="U34" s="60" t="s">
        <v>113</v>
      </c>
    </row>
    <row r="35" spans="2:21">
      <c r="H35" s="61"/>
    </row>
    <row r="36" spans="2:21">
      <c r="B36" s="51" t="s">
        <v>283</v>
      </c>
      <c r="C36" s="51"/>
      <c r="D36" s="57"/>
      <c r="E36" s="57"/>
      <c r="F36" s="58"/>
      <c r="H36" s="61"/>
    </row>
    <row r="37" spans="2:21">
      <c r="B37" s="62" t="s">
        <v>612</v>
      </c>
      <c r="C37" s="57"/>
      <c r="F37" s="81" t="s">
        <v>199</v>
      </c>
      <c r="H37" s="45">
        <f>SUMPRODUCT(L13:P13,L14:P14)+SUMPRODUCT(L17:P17,L18:P18)</f>
        <v>787084318.04799998</v>
      </c>
      <c r="I37" s="57"/>
      <c r="J37" s="58"/>
    </row>
    <row r="38" spans="2:21">
      <c r="B38" s="50" t="s">
        <v>613</v>
      </c>
      <c r="C38" s="57"/>
      <c r="F38" s="266" t="s">
        <v>199</v>
      </c>
      <c r="H38" s="45">
        <f>H20+H21</f>
        <v>787170117.37053084</v>
      </c>
      <c r="I38" s="57"/>
      <c r="J38" s="58"/>
    </row>
    <row r="39" spans="2:21">
      <c r="B39" s="62" t="s">
        <v>114</v>
      </c>
      <c r="C39" s="57"/>
      <c r="F39" s="266" t="s">
        <v>199</v>
      </c>
      <c r="H39" s="45">
        <f>H37-H38</f>
        <v>-85799.322530865669</v>
      </c>
      <c r="I39" s="57"/>
    </row>
    <row r="40" spans="2:21">
      <c r="B40" s="2" t="s">
        <v>260</v>
      </c>
      <c r="F40" s="2" t="s">
        <v>249</v>
      </c>
      <c r="H40" s="97" t="str">
        <f>IF(H39&gt;0,"nee","ja")</f>
        <v>ja</v>
      </c>
      <c r="J40" s="58"/>
      <c r="O40" s="52"/>
      <c r="P40" s="54"/>
      <c r="R40" s="82" t="s">
        <v>277</v>
      </c>
    </row>
    <row r="41" spans="2:21">
      <c r="O41" s="52"/>
      <c r="P41" s="54"/>
    </row>
    <row r="42" spans="2:21">
      <c r="O42" s="52"/>
      <c r="P42" s="54"/>
    </row>
    <row r="43" spans="2:21">
      <c r="B43" s="51" t="s">
        <v>282</v>
      </c>
      <c r="C43" s="51"/>
      <c r="N43" s="55"/>
      <c r="O43" s="52"/>
      <c r="P43" s="54"/>
    </row>
    <row r="44" spans="2:21">
      <c r="B44" s="52" t="s">
        <v>211</v>
      </c>
      <c r="F44" s="2" t="s">
        <v>199</v>
      </c>
      <c r="H44" s="45">
        <f>L14*L13</f>
        <v>281400.54800000001</v>
      </c>
      <c r="O44" s="52"/>
      <c r="P44" s="54"/>
    </row>
    <row r="45" spans="2:21">
      <c r="B45" s="52" t="s">
        <v>212</v>
      </c>
      <c r="F45" s="266" t="s">
        <v>199</v>
      </c>
      <c r="H45" s="45">
        <f>H20-H44</f>
        <v>452746674.87959719</v>
      </c>
      <c r="O45" s="52"/>
      <c r="P45" s="54"/>
    </row>
    <row r="46" spans="2:21">
      <c r="B46" s="54"/>
      <c r="F46" s="266"/>
      <c r="H46" s="54"/>
      <c r="O46" s="54"/>
      <c r="P46" s="54"/>
    </row>
    <row r="47" spans="2:21">
      <c r="B47" s="52" t="s">
        <v>213</v>
      </c>
      <c r="F47" s="266" t="s">
        <v>199</v>
      </c>
      <c r="H47" s="45">
        <f>(1-H34)*H45</f>
        <v>39483415.040392384</v>
      </c>
      <c r="O47" s="52"/>
      <c r="P47" s="52"/>
    </row>
    <row r="48" spans="2:21">
      <c r="B48" s="63"/>
      <c r="F48" s="266"/>
      <c r="H48" s="64"/>
      <c r="O48" s="52"/>
      <c r="P48" s="52"/>
    </row>
    <row r="49" spans="2:18">
      <c r="B49" s="52" t="s">
        <v>209</v>
      </c>
      <c r="F49" s="266" t="s">
        <v>199</v>
      </c>
      <c r="H49" s="45">
        <f>H47*H24</f>
        <v>19741707.520196192</v>
      </c>
    </row>
    <row r="50" spans="2:18">
      <c r="B50" s="52" t="s">
        <v>210</v>
      </c>
      <c r="F50" s="266" t="s">
        <v>199</v>
      </c>
      <c r="H50" s="45">
        <f>H47*H25</f>
        <v>19741707.520196192</v>
      </c>
    </row>
    <row r="51" spans="2:18">
      <c r="F51" s="266"/>
      <c r="N51" s="57"/>
      <c r="O51" s="57"/>
      <c r="P51" s="58"/>
    </row>
    <row r="52" spans="2:18">
      <c r="B52" s="162" t="s">
        <v>217</v>
      </c>
      <c r="F52" s="266" t="s">
        <v>199</v>
      </c>
      <c r="J52" s="61"/>
      <c r="K52" s="61"/>
      <c r="L52" s="140">
        <f>L13</f>
        <v>12478.96</v>
      </c>
      <c r="M52" s="166">
        <f>H49/(M14+H28*O14)</f>
        <v>14.839517449354336</v>
      </c>
      <c r="N52" s="166">
        <f>H50/(N14+P14*H29)</f>
        <v>1.5024660644275893</v>
      </c>
      <c r="O52" s="166">
        <f>H28*M52</f>
        <v>7.4197587246771679</v>
      </c>
      <c r="P52" s="166">
        <f>H29*N52</f>
        <v>0.52008440691724245</v>
      </c>
      <c r="R52" s="82" t="s">
        <v>278</v>
      </c>
    </row>
    <row r="53" spans="2:18">
      <c r="B53" s="162" t="s">
        <v>115</v>
      </c>
      <c r="F53" s="266" t="s">
        <v>199</v>
      </c>
      <c r="J53" s="45">
        <f>SUM(L53:P53)</f>
        <v>39764815.588392384</v>
      </c>
      <c r="K53" s="61"/>
      <c r="L53" s="45">
        <f>L52*L14</f>
        <v>281400.54800000001</v>
      </c>
      <c r="M53" s="45">
        <f>M52*M14</f>
        <v>17996120.243111193</v>
      </c>
      <c r="N53" s="45">
        <f>N52*N14</f>
        <v>18069469.724947046</v>
      </c>
      <c r="O53" s="45">
        <f>O52*O14</f>
        <v>1745587.277085</v>
      </c>
      <c r="P53" s="45">
        <f>P52*P14</f>
        <v>1672237.795249148</v>
      </c>
    </row>
    <row r="54" spans="2:18">
      <c r="B54" s="163"/>
      <c r="F54" s="266"/>
      <c r="J54" s="61"/>
      <c r="K54" s="61"/>
      <c r="L54" s="61"/>
      <c r="M54" s="61"/>
      <c r="N54" s="63"/>
      <c r="O54" s="63"/>
      <c r="P54" s="55"/>
    </row>
    <row r="55" spans="2:18">
      <c r="B55" s="162" t="s">
        <v>116</v>
      </c>
      <c r="F55" s="266" t="s">
        <v>199</v>
      </c>
      <c r="J55" s="61"/>
      <c r="K55" s="61"/>
      <c r="L55" s="65">
        <f>ROUND(L52,2)</f>
        <v>12478.96</v>
      </c>
      <c r="M55" s="65">
        <f t="shared" ref="M55:P55" si="0">ROUND(M52,2)</f>
        <v>14.84</v>
      </c>
      <c r="N55" s="65">
        <f t="shared" si="0"/>
        <v>1.5</v>
      </c>
      <c r="O55" s="65">
        <f t="shared" si="0"/>
        <v>7.42</v>
      </c>
      <c r="P55" s="65">
        <f t="shared" si="0"/>
        <v>0.52</v>
      </c>
    </row>
    <row r="56" spans="2:18">
      <c r="B56" s="63" t="s">
        <v>115</v>
      </c>
      <c r="F56" s="266" t="s">
        <v>199</v>
      </c>
      <c r="J56" s="66">
        <f>SUM(L56:P56)</f>
        <v>39735527.928000003</v>
      </c>
      <c r="L56" s="66">
        <f>L55*L14</f>
        <v>281400.54800000001</v>
      </c>
      <c r="M56" s="45">
        <f>M55*M14</f>
        <v>17996705.440000001</v>
      </c>
      <c r="N56" s="45">
        <f>N55*N14</f>
        <v>18039811.5</v>
      </c>
      <c r="O56" s="45">
        <f>O55*O14</f>
        <v>1745644.04</v>
      </c>
      <c r="P56" s="45">
        <f>P55*P14</f>
        <v>1671966.4000000001</v>
      </c>
    </row>
    <row r="57" spans="2:18" s="8" customFormat="1">
      <c r="B57" s="8" t="s">
        <v>117</v>
      </c>
      <c r="F57" s="266" t="s">
        <v>199</v>
      </c>
      <c r="H57" s="66">
        <f>J56-J53</f>
        <v>-29287.660392381251</v>
      </c>
      <c r="M57" s="54"/>
      <c r="O57" s="52"/>
      <c r="P57" s="52"/>
      <c r="R57" s="168"/>
    </row>
    <row r="58" spans="2:18">
      <c r="M58" s="54"/>
      <c r="O58" s="63"/>
      <c r="P58" s="63"/>
    </row>
    <row r="59" spans="2:18">
      <c r="M59" s="54"/>
      <c r="O59" s="63"/>
      <c r="P59" s="63"/>
    </row>
    <row r="60" spans="2:18">
      <c r="B60" s="51" t="s">
        <v>279</v>
      </c>
      <c r="M60" s="54"/>
      <c r="O60" s="63"/>
      <c r="P60" s="63"/>
    </row>
    <row r="61" spans="2:18">
      <c r="B61" s="52" t="s">
        <v>214</v>
      </c>
      <c r="F61" s="2" t="s">
        <v>199</v>
      </c>
      <c r="H61" s="45">
        <f>L18*L17</f>
        <v>252705.6</v>
      </c>
      <c r="J61" s="164"/>
      <c r="L61" s="54"/>
      <c r="M61" s="54"/>
      <c r="N61" s="54"/>
      <c r="O61" s="54"/>
      <c r="P61" s="54"/>
    </row>
    <row r="62" spans="2:18">
      <c r="B62" s="52" t="s">
        <v>215</v>
      </c>
      <c r="F62" s="266" t="s">
        <v>199</v>
      </c>
      <c r="H62" s="45">
        <f>H21-H61</f>
        <v>333889336.3429336</v>
      </c>
      <c r="L62" s="54"/>
      <c r="M62" s="54"/>
      <c r="N62" s="54"/>
      <c r="O62" s="54"/>
      <c r="P62" s="54"/>
    </row>
    <row r="63" spans="2:18">
      <c r="B63" s="54"/>
      <c r="F63" s="266"/>
      <c r="H63" s="54"/>
      <c r="M63" s="54"/>
      <c r="N63" s="54"/>
      <c r="O63" s="64"/>
      <c r="P63" s="54"/>
    </row>
    <row r="64" spans="2:18">
      <c r="B64" s="56" t="s">
        <v>112</v>
      </c>
      <c r="F64" s="266" t="s">
        <v>199</v>
      </c>
      <c r="H64" s="45">
        <f>H34*H45</f>
        <v>413263259.83920479</v>
      </c>
      <c r="M64" s="54"/>
      <c r="N64" s="54"/>
      <c r="O64" s="63"/>
      <c r="P64" s="54"/>
    </row>
    <row r="65" spans="2:18">
      <c r="B65" s="52" t="s">
        <v>216</v>
      </c>
      <c r="F65" s="266" t="s">
        <v>199</v>
      </c>
      <c r="H65" s="45">
        <f>H64+H62</f>
        <v>747152596.18213844</v>
      </c>
      <c r="M65" s="54"/>
      <c r="N65" s="54"/>
      <c r="O65" s="63"/>
      <c r="P65" s="54"/>
    </row>
    <row r="66" spans="2:18">
      <c r="B66" s="54"/>
      <c r="F66" s="266"/>
      <c r="H66" s="54"/>
      <c r="M66" s="54"/>
      <c r="N66" s="54"/>
      <c r="O66" s="63"/>
      <c r="P66" s="54"/>
    </row>
    <row r="67" spans="2:18">
      <c r="B67" s="53" t="s">
        <v>209</v>
      </c>
      <c r="F67" s="266" t="s">
        <v>199</v>
      </c>
      <c r="H67" s="45">
        <f>H65*H24</f>
        <v>373576298.09106922</v>
      </c>
      <c r="M67" s="54"/>
      <c r="N67" s="54"/>
      <c r="O67" s="64"/>
      <c r="P67" s="54"/>
    </row>
    <row r="68" spans="2:18">
      <c r="B68" s="53" t="s">
        <v>118</v>
      </c>
      <c r="F68" s="266" t="s">
        <v>199</v>
      </c>
      <c r="H68" s="45">
        <f>H65*H25</f>
        <v>373576298.09106922</v>
      </c>
      <c r="M68" s="54"/>
      <c r="N68" s="54"/>
      <c r="O68" s="63"/>
      <c r="P68" s="67"/>
    </row>
    <row r="69" spans="2:18">
      <c r="F69" s="266"/>
      <c r="M69" s="54"/>
      <c r="N69" s="54"/>
      <c r="O69" s="63"/>
      <c r="P69" s="63"/>
    </row>
    <row r="70" spans="2:18">
      <c r="B70" s="63" t="s">
        <v>218</v>
      </c>
      <c r="F70" s="266" t="s">
        <v>199</v>
      </c>
      <c r="J70" s="61"/>
      <c r="K70" s="61"/>
      <c r="L70" s="167">
        <f>L17</f>
        <v>2760</v>
      </c>
      <c r="M70" s="166">
        <f>H67/(M18+H28*O18)</f>
        <v>24.834926217179337</v>
      </c>
      <c r="N70" s="166">
        <f>H68/(N18+P18*H29)</f>
        <v>2.416588996169116</v>
      </c>
      <c r="O70" s="166">
        <f>H28*M70</f>
        <v>12.417463108589669</v>
      </c>
      <c r="P70" s="166">
        <f>H29*N70</f>
        <v>0.83651157559700173</v>
      </c>
      <c r="R70" s="82" t="s">
        <v>278</v>
      </c>
    </row>
    <row r="71" spans="2:18">
      <c r="B71" s="63" t="s">
        <v>119</v>
      </c>
      <c r="F71" s="266" t="s">
        <v>199</v>
      </c>
      <c r="J71" s="45">
        <f>SUM(L71:P71)</f>
        <v>747405301.78213847</v>
      </c>
      <c r="K71" s="61"/>
      <c r="L71" s="45">
        <f>L70*L18</f>
        <v>252705.6</v>
      </c>
      <c r="M71" s="45">
        <f>M70*M18</f>
        <v>370763593.68741637</v>
      </c>
      <c r="N71" s="45">
        <f>N70*N18</f>
        <v>372122782.26940447</v>
      </c>
      <c r="O71" s="45">
        <f>O70*O18</f>
        <v>2812704.4036528631</v>
      </c>
      <c r="P71" s="45">
        <f>P70*P18</f>
        <v>1453515.8216647455</v>
      </c>
    </row>
    <row r="72" spans="2:18">
      <c r="F72" s="266"/>
      <c r="J72" s="61"/>
      <c r="K72" s="61"/>
      <c r="L72" s="61"/>
      <c r="M72" s="61"/>
      <c r="N72" s="63"/>
      <c r="O72" s="63"/>
      <c r="P72" s="55"/>
    </row>
    <row r="73" spans="2:18">
      <c r="B73" s="63" t="s">
        <v>120</v>
      </c>
      <c r="F73" s="266" t="s">
        <v>199</v>
      </c>
      <c r="J73" s="61"/>
      <c r="K73" s="61"/>
      <c r="L73" s="65">
        <f>ROUND(L70,2)</f>
        <v>2760</v>
      </c>
      <c r="M73" s="65">
        <f>ROUND(M70,2)</f>
        <v>24.83</v>
      </c>
      <c r="N73" s="65">
        <f>ROUND(N70,2)</f>
        <v>2.42</v>
      </c>
      <c r="O73" s="65">
        <f>ROUND(O70,2)</f>
        <v>12.42</v>
      </c>
      <c r="P73" s="65">
        <f>ROUND(P70,2)</f>
        <v>0.84</v>
      </c>
    </row>
    <row r="74" spans="2:18">
      <c r="B74" s="63" t="s">
        <v>119</v>
      </c>
      <c r="F74" s="266" t="s">
        <v>199</v>
      </c>
      <c r="J74" s="45">
        <f>SUM(L74:P74)</f>
        <v>747863643.31999993</v>
      </c>
      <c r="L74" s="45">
        <f>L73*L18</f>
        <v>252705.6</v>
      </c>
      <c r="M74" s="45">
        <f>M73*M18</f>
        <v>370690049.59999996</v>
      </c>
      <c r="N74" s="45">
        <f>N73*N18</f>
        <v>372648031.80000001</v>
      </c>
      <c r="O74" s="45">
        <f>O73*O18</f>
        <v>2813279.04</v>
      </c>
      <c r="P74" s="45">
        <f>P73*P18</f>
        <v>1459577.28</v>
      </c>
    </row>
    <row r="75" spans="2:18" s="8" customFormat="1">
      <c r="B75" s="8" t="s">
        <v>117</v>
      </c>
      <c r="F75" s="266" t="s">
        <v>199</v>
      </c>
      <c r="H75" s="66">
        <f>J74-J71</f>
        <v>458341.53786146641</v>
      </c>
      <c r="M75" s="54"/>
      <c r="O75" s="52"/>
      <c r="P75" s="52"/>
    </row>
    <row r="76" spans="2:18">
      <c r="B76" s="29"/>
    </row>
    <row r="77" spans="2:18">
      <c r="B77" s="94" t="s">
        <v>280</v>
      </c>
      <c r="C77" s="81"/>
      <c r="D77" s="81"/>
      <c r="E77" s="81"/>
      <c r="F77" s="81"/>
      <c r="G77" s="81"/>
      <c r="H77" s="81"/>
    </row>
    <row r="78" spans="2:18" s="159" customFormat="1">
      <c r="B78" s="94" t="s">
        <v>261</v>
      </c>
    </row>
    <row r="79" spans="2:18">
      <c r="B79" s="52" t="s">
        <v>262</v>
      </c>
      <c r="C79" s="68"/>
      <c r="D79" s="81"/>
      <c r="E79" s="81"/>
      <c r="F79" s="81" t="s">
        <v>199</v>
      </c>
      <c r="G79" s="81"/>
      <c r="H79" s="37">
        <f>J53+J71</f>
        <v>787170117.37053084</v>
      </c>
      <c r="M79" s="63"/>
      <c r="N79" s="64"/>
      <c r="O79" s="63"/>
      <c r="P79" s="63"/>
      <c r="R79" s="82"/>
    </row>
    <row r="80" spans="2:18">
      <c r="B80" s="52" t="s">
        <v>263</v>
      </c>
      <c r="C80" s="68"/>
      <c r="D80" s="81"/>
      <c r="E80" s="81"/>
      <c r="F80" s="81" t="s">
        <v>199</v>
      </c>
      <c r="G80" s="81"/>
      <c r="H80" s="37">
        <f>J56+J74</f>
        <v>787599171.24799991</v>
      </c>
    </row>
    <row r="81" spans="2:18">
      <c r="B81" s="54" t="s">
        <v>121</v>
      </c>
      <c r="C81" s="68"/>
      <c r="D81" s="81"/>
      <c r="E81" s="81"/>
      <c r="F81" s="81" t="s">
        <v>199</v>
      </c>
      <c r="G81" s="81"/>
      <c r="H81" s="37">
        <f>H80-H79</f>
        <v>429053.87746906281</v>
      </c>
      <c r="R81" s="168" t="s">
        <v>614</v>
      </c>
    </row>
    <row r="82" spans="2:18" s="81" customFormat="1">
      <c r="B82" s="54"/>
      <c r="C82" s="68"/>
      <c r="H82" s="100"/>
    </row>
    <row r="83" spans="2:18" s="81" customFormat="1">
      <c r="B83" s="94" t="s">
        <v>171</v>
      </c>
      <c r="H83" s="99"/>
    </row>
    <row r="84" spans="2:18">
      <c r="B84" s="29" t="s">
        <v>219</v>
      </c>
      <c r="C84" s="81"/>
      <c r="D84" s="81"/>
      <c r="E84" s="81"/>
      <c r="F84" s="81" t="s">
        <v>249</v>
      </c>
      <c r="G84" s="81"/>
      <c r="H84" s="96" t="str">
        <f>H40</f>
        <v>ja</v>
      </c>
      <c r="R84" s="165"/>
    </row>
    <row r="85" spans="2:18" s="81" customFormat="1">
      <c r="B85" s="29"/>
    </row>
    <row r="86" spans="2:18">
      <c r="B86" s="29" t="s">
        <v>615</v>
      </c>
      <c r="F86" s="2" t="s">
        <v>199</v>
      </c>
      <c r="L86" s="98">
        <f>IF($H$84="ja",L13,L55)</f>
        <v>12478.96</v>
      </c>
      <c r="M86" s="98">
        <f t="shared" ref="M86:P86" si="1">IF($H$84="ja",M13,M55)</f>
        <v>14.8</v>
      </c>
      <c r="N86" s="98">
        <f t="shared" si="1"/>
        <v>1.5</v>
      </c>
      <c r="O86" s="98">
        <f t="shared" si="1"/>
        <v>7.38</v>
      </c>
      <c r="P86" s="98">
        <f t="shared" si="1"/>
        <v>0.52</v>
      </c>
    </row>
    <row r="87" spans="2:18">
      <c r="B87" s="29" t="s">
        <v>616</v>
      </c>
      <c r="F87" s="2" t="s">
        <v>199</v>
      </c>
      <c r="L87" s="98">
        <f>IF($H$84="ja",L17,L73)</f>
        <v>2760</v>
      </c>
      <c r="M87" s="98">
        <f t="shared" ref="M87:P87" si="2">IF($H$84="ja",M17,M73)</f>
        <v>24.8</v>
      </c>
      <c r="N87" s="98">
        <f t="shared" si="2"/>
        <v>2.42</v>
      </c>
      <c r="O87" s="98">
        <f t="shared" si="2"/>
        <v>12.38</v>
      </c>
      <c r="P87" s="98">
        <f t="shared" si="2"/>
        <v>0.84</v>
      </c>
    </row>
    <row r="91" spans="2:18">
      <c r="N91" s="54"/>
      <c r="O91" s="63"/>
      <c r="P91" s="63"/>
    </row>
    <row r="92" spans="2:18">
      <c r="N92" s="54"/>
      <c r="O92" s="63"/>
      <c r="P92" s="63"/>
    </row>
  </sheetData>
  <mergeCells count="1">
    <mergeCell ref="B5: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CCC8D9"/>
    <pageSetUpPr autoPageBreaks="0" fitToPage="1"/>
  </sheetPr>
  <dimension ref="A1:G40"/>
  <sheetViews>
    <sheetView showGridLines="0" zoomScale="85" zoomScaleNormal="85" workbookViewId="0">
      <pane ySplit="3" topLeftCell="A4" activePane="bottomLeft" state="frozen"/>
      <selection pane="bottomLeft"/>
    </sheetView>
  </sheetViews>
  <sheetFormatPr defaultColWidth="9.140625" defaultRowHeight="12.75"/>
  <cols>
    <col min="1" max="1" width="2.85546875" style="2" customWidth="1"/>
    <col min="2" max="2" width="7.5703125" style="2" customWidth="1"/>
    <col min="3" max="3" width="80.5703125" style="2" bestFit="1" customWidth="1"/>
    <col min="4" max="4" width="9.85546875" style="81" bestFit="1" customWidth="1"/>
    <col min="5" max="5" width="64.140625" style="2" bestFit="1" customWidth="1"/>
    <col min="6" max="6" width="4.5703125" style="2" customWidth="1"/>
    <col min="7" max="7" width="22" style="2" customWidth="1"/>
    <col min="8" max="16384" width="9.140625" style="2"/>
  </cols>
  <sheetData>
    <row r="1" spans="1:7">
      <c r="A1" s="8"/>
    </row>
    <row r="2" spans="1:7" s="12" customFormat="1" ht="18">
      <c r="B2" s="11" t="s">
        <v>227</v>
      </c>
    </row>
    <row r="4" spans="1:7" s="7" customFormat="1">
      <c r="B4" s="7" t="s">
        <v>24</v>
      </c>
      <c r="D4" s="85"/>
    </row>
    <row r="5" spans="1:7">
      <c r="C5" s="26"/>
    </row>
    <row r="6" spans="1:7">
      <c r="B6" s="136" t="s">
        <v>52</v>
      </c>
      <c r="C6" s="136" t="s">
        <v>53</v>
      </c>
      <c r="D6" s="136" t="s">
        <v>185</v>
      </c>
      <c r="E6" s="136" t="s">
        <v>55</v>
      </c>
    </row>
    <row r="7" spans="1:7">
      <c r="B7" s="19"/>
      <c r="C7" s="24" t="s">
        <v>54</v>
      </c>
      <c r="D7" s="24"/>
      <c r="E7" s="24" t="s">
        <v>25</v>
      </c>
    </row>
    <row r="8" spans="1:7" s="240" customFormat="1">
      <c r="B8" s="6">
        <v>1</v>
      </c>
      <c r="C8" s="25" t="s">
        <v>184</v>
      </c>
      <c r="D8" s="241" t="s">
        <v>400</v>
      </c>
      <c r="E8" s="6"/>
      <c r="G8" s="26"/>
    </row>
    <row r="9" spans="1:7">
      <c r="B9" s="6">
        <v>2</v>
      </c>
      <c r="C9" s="25" t="s">
        <v>186</v>
      </c>
      <c r="D9" s="241" t="s">
        <v>400</v>
      </c>
      <c r="E9" s="6"/>
      <c r="G9" s="26"/>
    </row>
    <row r="10" spans="1:7">
      <c r="B10" s="6">
        <v>3</v>
      </c>
      <c r="C10" s="25" t="s">
        <v>415</v>
      </c>
      <c r="D10" s="241" t="s">
        <v>400</v>
      </c>
      <c r="E10" s="6" t="s">
        <v>401</v>
      </c>
    </row>
    <row r="11" spans="1:7">
      <c r="B11" s="6">
        <v>4</v>
      </c>
      <c r="C11" s="25" t="s">
        <v>416</v>
      </c>
      <c r="D11" s="241" t="s">
        <v>400</v>
      </c>
      <c r="E11" s="6" t="s">
        <v>189</v>
      </c>
    </row>
    <row r="12" spans="1:7" s="81" customFormat="1">
      <c r="B12" s="6">
        <v>5</v>
      </c>
      <c r="C12" s="25" t="s">
        <v>402</v>
      </c>
      <c r="D12" s="241" t="s">
        <v>400</v>
      </c>
      <c r="E12" s="6" t="s">
        <v>417</v>
      </c>
    </row>
    <row r="13" spans="1:7">
      <c r="B13" s="6">
        <v>6</v>
      </c>
      <c r="C13" s="25" t="s">
        <v>435</v>
      </c>
      <c r="D13" s="241" t="s">
        <v>400</v>
      </c>
      <c r="E13" s="6"/>
    </row>
    <row r="14" spans="1:7">
      <c r="B14" s="6">
        <v>7</v>
      </c>
      <c r="C14" s="25" t="s">
        <v>190</v>
      </c>
      <c r="D14" s="241" t="s">
        <v>400</v>
      </c>
      <c r="E14" s="6"/>
    </row>
    <row r="15" spans="1:7" s="81" customFormat="1">
      <c r="B15" s="6">
        <v>8</v>
      </c>
      <c r="C15" s="25" t="s">
        <v>197</v>
      </c>
      <c r="D15" s="241" t="s">
        <v>400</v>
      </c>
      <c r="E15" s="6" t="s">
        <v>196</v>
      </c>
    </row>
    <row r="16" spans="1:7" s="247" customFormat="1">
      <c r="B16" s="6">
        <v>9</v>
      </c>
      <c r="C16" s="25" t="s">
        <v>428</v>
      </c>
      <c r="D16" s="241" t="s">
        <v>400</v>
      </c>
      <c r="E16" s="6"/>
    </row>
    <row r="17" spans="2:5" s="81" customFormat="1">
      <c r="B17" s="6">
        <v>10</v>
      </c>
      <c r="C17" s="25" t="s">
        <v>191</v>
      </c>
      <c r="D17" s="6"/>
      <c r="E17" s="6"/>
    </row>
    <row r="18" spans="2:5" s="240" customFormat="1">
      <c r="B18" s="6">
        <v>11</v>
      </c>
      <c r="C18" s="25" t="s">
        <v>192</v>
      </c>
      <c r="D18" s="6"/>
      <c r="E18" s="6"/>
    </row>
    <row r="19" spans="2:5" s="274" customFormat="1">
      <c r="B19" s="6">
        <v>12</v>
      </c>
      <c r="C19" s="25" t="s">
        <v>622</v>
      </c>
      <c r="D19" s="6"/>
      <c r="E19" s="6"/>
    </row>
    <row r="20" spans="2:5" s="240" customFormat="1">
      <c r="B20" s="6">
        <v>13</v>
      </c>
      <c r="C20" s="207" t="s">
        <v>404</v>
      </c>
      <c r="D20" s="241" t="s">
        <v>400</v>
      </c>
      <c r="E20" s="6" t="s">
        <v>193</v>
      </c>
    </row>
    <row r="21" spans="2:5" s="81" customFormat="1">
      <c r="B21" s="6">
        <v>14</v>
      </c>
      <c r="C21" s="25" t="s">
        <v>405</v>
      </c>
      <c r="D21" s="241" t="s">
        <v>400</v>
      </c>
      <c r="E21" s="6" t="s">
        <v>413</v>
      </c>
    </row>
    <row r="22" spans="2:5" s="266" customFormat="1">
      <c r="B22" s="6">
        <v>15</v>
      </c>
      <c r="C22" s="25" t="s">
        <v>403</v>
      </c>
      <c r="D22" s="241" t="s">
        <v>400</v>
      </c>
      <c r="E22" s="6" t="s">
        <v>620</v>
      </c>
    </row>
    <row r="23" spans="2:5" s="266" customFormat="1">
      <c r="B23" s="6">
        <v>16</v>
      </c>
      <c r="C23" s="25" t="s">
        <v>618</v>
      </c>
      <c r="D23" s="241" t="s">
        <v>400</v>
      </c>
      <c r="E23" s="6" t="s">
        <v>619</v>
      </c>
    </row>
    <row r="24" spans="2:5" s="247" customFormat="1">
      <c r="B24" s="6">
        <v>17</v>
      </c>
      <c r="C24" s="25" t="s">
        <v>427</v>
      </c>
      <c r="D24" s="241"/>
      <c r="E24" s="6" t="s">
        <v>663</v>
      </c>
    </row>
    <row r="25" spans="2:5" s="240" customFormat="1">
      <c r="B25" s="6">
        <v>18</v>
      </c>
      <c r="C25" s="25" t="s">
        <v>406</v>
      </c>
      <c r="D25" s="6"/>
      <c r="E25" s="6"/>
    </row>
    <row r="26" spans="2:5" s="240" customFormat="1">
      <c r="B26" s="6">
        <v>19</v>
      </c>
      <c r="C26" s="25" t="s">
        <v>407</v>
      </c>
      <c r="D26" s="6"/>
      <c r="E26" s="6"/>
    </row>
    <row r="27" spans="2:5" s="81" customFormat="1">
      <c r="B27" s="6">
        <v>20</v>
      </c>
      <c r="C27" s="25" t="s">
        <v>409</v>
      </c>
      <c r="D27" s="6"/>
      <c r="E27" s="6"/>
    </row>
    <row r="28" spans="2:5" s="81" customFormat="1">
      <c r="B28" s="6">
        <v>21</v>
      </c>
      <c r="C28" s="25" t="s">
        <v>410</v>
      </c>
      <c r="D28" s="6"/>
      <c r="E28" s="6"/>
    </row>
    <row r="29" spans="2:5" s="81" customFormat="1">
      <c r="B29" s="6">
        <v>22</v>
      </c>
      <c r="C29" s="25" t="s">
        <v>408</v>
      </c>
      <c r="D29" s="6"/>
      <c r="E29" s="6"/>
    </row>
    <row r="30" spans="2:5" s="266" customFormat="1">
      <c r="B30" s="6">
        <v>23</v>
      </c>
      <c r="C30" s="25" t="s">
        <v>621</v>
      </c>
      <c r="D30" s="6"/>
      <c r="E30" s="6"/>
    </row>
    <row r="31" spans="2:5" s="81" customFormat="1">
      <c r="B31" s="6">
        <v>24</v>
      </c>
      <c r="C31" s="174" t="s">
        <v>412</v>
      </c>
      <c r="D31" s="241" t="s">
        <v>400</v>
      </c>
      <c r="E31" s="174" t="s">
        <v>412</v>
      </c>
    </row>
    <row r="32" spans="2:5" s="240" customFormat="1">
      <c r="B32" s="6">
        <v>25</v>
      </c>
      <c r="C32" s="174" t="s">
        <v>411</v>
      </c>
      <c r="D32" s="241" t="s">
        <v>400</v>
      </c>
      <c r="E32" s="174" t="s">
        <v>411</v>
      </c>
    </row>
    <row r="33" spans="2:5" s="275" customFormat="1">
      <c r="B33" s="6">
        <v>26</v>
      </c>
      <c r="C33" s="174" t="s">
        <v>641</v>
      </c>
      <c r="D33" s="278" t="s">
        <v>400</v>
      </c>
      <c r="E33" s="174" t="s">
        <v>641</v>
      </c>
    </row>
    <row r="34" spans="2:5" s="171" customFormat="1">
      <c r="B34" s="6">
        <v>27</v>
      </c>
      <c r="C34" s="25" t="s">
        <v>414</v>
      </c>
      <c r="D34" s="241" t="s">
        <v>400</v>
      </c>
      <c r="E34" s="6" t="s">
        <v>414</v>
      </c>
    </row>
    <row r="35" spans="2:5" s="257" customFormat="1">
      <c r="B35" s="6">
        <v>28</v>
      </c>
      <c r="C35" s="25" t="s">
        <v>440</v>
      </c>
      <c r="D35" s="241" t="s">
        <v>400</v>
      </c>
      <c r="E35" s="6"/>
    </row>
    <row r="37" spans="2:5" s="7" customFormat="1">
      <c r="B37" s="7" t="s">
        <v>51</v>
      </c>
      <c r="D37" s="85"/>
    </row>
    <row r="39" spans="2:5">
      <c r="B39" s="4" t="s">
        <v>49</v>
      </c>
    </row>
    <row r="40" spans="2:5">
      <c r="B40" s="4" t="s">
        <v>50</v>
      </c>
    </row>
  </sheetData>
  <hyperlinks>
    <hyperlink ref="D11" r:id="rId1"/>
    <hyperlink ref="D10" r:id="rId2"/>
    <hyperlink ref="D8" r:id="rId3" location="/CBS/nl/dataset/70936ned/table?ts=1532343719053."/>
    <hyperlink ref="D9" r:id="rId4"/>
    <hyperlink ref="D12" r:id="rId5"/>
    <hyperlink ref="D14" r:id="rId6"/>
    <hyperlink ref="D15" r:id="rId7"/>
    <hyperlink ref="D20" r:id="rId8"/>
    <hyperlink ref="D21" r:id="rId9"/>
    <hyperlink ref="D31" r:id="rId10"/>
    <hyperlink ref="D34" r:id="rId11"/>
    <hyperlink ref="D32" r:id="rId12"/>
    <hyperlink ref="D35" r:id="rId13"/>
    <hyperlink ref="D23" r:id="rId14"/>
    <hyperlink ref="D22" r:id="rId15"/>
    <hyperlink ref="D16" r:id="rId16"/>
    <hyperlink ref="D13" r:id="rId17"/>
    <hyperlink ref="D33" r:id="rId18"/>
  </hyperlinks>
  <pageMargins left="0.75" right="0.75" top="1" bottom="1" header="0.5" footer="0.5"/>
  <pageSetup paperSize="9" scale="87" orientation="landscape" r:id="rId19"/>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0" tint="-4.9989318521683403E-2"/>
    <pageSetUpPr autoPageBreaks="0"/>
  </sheetPr>
  <dimension ref="A1"/>
  <sheetViews>
    <sheetView showGridLines="0" zoomScale="85" zoomScaleNormal="85" workbookViewId="0"/>
  </sheetViews>
  <sheetFormatPr defaultColWidth="9.140625" defaultRowHeight="12.75"/>
  <cols>
    <col min="1" max="16384" width="9.140625" style="22"/>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CCFFFF"/>
    <pageSetUpPr autoPageBreaks="0"/>
  </sheetPr>
  <dimension ref="B2:N65"/>
  <sheetViews>
    <sheetView showGridLines="0" zoomScale="85" zoomScaleNormal="85" workbookViewId="0">
      <pane xSplit="6" ySplit="16" topLeftCell="G17" activePane="bottomRight" state="frozen"/>
      <selection pane="topRight"/>
      <selection pane="bottomLeft"/>
      <selection pane="bottomRight"/>
    </sheetView>
  </sheetViews>
  <sheetFormatPr defaultColWidth="9.140625" defaultRowHeight="12.75"/>
  <cols>
    <col min="1" max="1" width="4" style="2" customWidth="1"/>
    <col min="2" max="2" width="76.85546875" style="2" customWidth="1"/>
    <col min="3" max="4" width="4.5703125" style="2" customWidth="1"/>
    <col min="5" max="5" width="4.140625" style="2" customWidth="1"/>
    <col min="6" max="6" width="13.7109375" style="2" customWidth="1"/>
    <col min="7" max="7" width="2.7109375" style="2" customWidth="1"/>
    <col min="8" max="8" width="13.7109375" style="2" customWidth="1"/>
    <col min="9" max="9" width="2.7109375" style="2" customWidth="1"/>
    <col min="10" max="10" width="16.42578125" style="2" bestFit="1" customWidth="1"/>
    <col min="11" max="11" width="15.85546875" style="2" bestFit="1" customWidth="1"/>
    <col min="12" max="12" width="2.7109375" style="2" customWidth="1"/>
    <col min="13" max="27" width="13.7109375" style="2" customWidth="1"/>
    <col min="28" max="16384" width="9.140625" style="2"/>
  </cols>
  <sheetData>
    <row r="2" spans="2:13" s="20" customFormat="1" ht="18">
      <c r="B2" s="20" t="s">
        <v>481</v>
      </c>
    </row>
    <row r="4" spans="2:13" s="81" customFormat="1" ht="12.75" customHeight="1">
      <c r="B4" s="300" t="s">
        <v>482</v>
      </c>
      <c r="C4" s="300"/>
      <c r="D4" s="300"/>
      <c r="E4" s="300"/>
    </row>
    <row r="5" spans="2:13" s="81" customFormat="1">
      <c r="B5" s="300"/>
      <c r="C5" s="300"/>
      <c r="D5" s="300"/>
      <c r="E5" s="300"/>
    </row>
    <row r="6" spans="2:13" s="81" customFormat="1">
      <c r="B6" s="300"/>
      <c r="C6" s="300"/>
      <c r="D6" s="300"/>
      <c r="E6" s="300"/>
    </row>
    <row r="7" spans="2:13" s="81" customFormat="1">
      <c r="B7" s="300"/>
      <c r="C7" s="300"/>
      <c r="D7" s="300"/>
      <c r="E7" s="300"/>
    </row>
    <row r="8" spans="2:13" s="81" customFormat="1">
      <c r="B8" s="300"/>
      <c r="C8" s="300"/>
      <c r="D8" s="300"/>
      <c r="E8" s="300"/>
    </row>
    <row r="9" spans="2:13" s="81" customFormat="1">
      <c r="B9" s="300"/>
      <c r="C9" s="300"/>
      <c r="D9" s="300"/>
      <c r="E9" s="300"/>
    </row>
    <row r="10" spans="2:13" s="81" customFormat="1">
      <c r="B10" s="300"/>
      <c r="C10" s="300"/>
      <c r="D10" s="300"/>
      <c r="E10" s="300"/>
    </row>
    <row r="11" spans="2:13" s="81" customFormat="1">
      <c r="B11" s="300"/>
      <c r="C11" s="300"/>
      <c r="D11" s="300"/>
      <c r="E11" s="300"/>
    </row>
    <row r="12" spans="2:13" s="81" customFormat="1">
      <c r="B12" s="300"/>
      <c r="C12" s="300"/>
      <c r="D12" s="300"/>
      <c r="E12" s="300"/>
    </row>
    <row r="13" spans="2:13" s="81" customFormat="1">
      <c r="B13" s="300"/>
      <c r="C13" s="300"/>
      <c r="D13" s="300"/>
      <c r="E13" s="300"/>
    </row>
    <row r="14" spans="2:13" s="81" customFormat="1"/>
    <row r="15" spans="2:13" s="7" customFormat="1">
      <c r="B15" s="7" t="s">
        <v>44</v>
      </c>
      <c r="F15" s="7" t="s">
        <v>26</v>
      </c>
      <c r="H15" s="7" t="s">
        <v>48</v>
      </c>
      <c r="J15" s="7" t="s">
        <v>80</v>
      </c>
      <c r="K15" s="7" t="s">
        <v>82</v>
      </c>
      <c r="M15" s="7" t="s">
        <v>46</v>
      </c>
    </row>
    <row r="18" spans="2:14" s="7" customFormat="1">
      <c r="B18" s="7" t="s">
        <v>141</v>
      </c>
    </row>
    <row r="20" spans="2:14" s="7" customFormat="1">
      <c r="B20" s="7" t="s">
        <v>142</v>
      </c>
    </row>
    <row r="21" spans="2:14">
      <c r="B21" s="1"/>
    </row>
    <row r="22" spans="2:14">
      <c r="B22" s="2" t="s">
        <v>483</v>
      </c>
      <c r="F22" s="2" t="s">
        <v>199</v>
      </c>
      <c r="H22" s="38">
        <f>SUM(J22:K22)</f>
        <v>476978535.435449</v>
      </c>
      <c r="I22" s="34"/>
      <c r="J22" s="38">
        <f>'Tab 13_Wettelijke formule'!V29+'Tab 13_Wettelijke formule'!V30</f>
        <v>150444664.70755911</v>
      </c>
      <c r="K22" s="38">
        <f>'Tab 13_Wettelijke formule'!V31+'Tab 13_Wettelijke formule'!V32</f>
        <v>326533870.7278899</v>
      </c>
    </row>
    <row r="23" spans="2:14">
      <c r="B23" s="2" t="s">
        <v>484</v>
      </c>
      <c r="F23" s="260" t="s">
        <v>199</v>
      </c>
      <c r="H23" s="38">
        <f t="shared" ref="H23:H28" si="0">SUM(J23:K23)</f>
        <v>194860.77751382918</v>
      </c>
      <c r="I23" s="34"/>
      <c r="J23" s="30"/>
      <c r="K23" s="38">
        <v>194860.77751382918</v>
      </c>
      <c r="M23" s="145" t="s">
        <v>256</v>
      </c>
    </row>
    <row r="24" spans="2:14">
      <c r="B24" s="2" t="s">
        <v>455</v>
      </c>
      <c r="F24" s="260" t="s">
        <v>199</v>
      </c>
      <c r="H24" s="38">
        <f t="shared" si="0"/>
        <v>30748400.512178577</v>
      </c>
      <c r="I24" s="34"/>
      <c r="J24" s="38">
        <f>'Tab 7_Toevoeging kosten RCR'!L15</f>
        <v>28143594.569538575</v>
      </c>
      <c r="K24" s="38">
        <f>'Tab 7_Toevoeging kosten RCR'!M15</f>
        <v>2604805.9426400024</v>
      </c>
    </row>
    <row r="25" spans="2:14">
      <c r="B25" s="2" t="s">
        <v>456</v>
      </c>
      <c r="F25" s="260" t="s">
        <v>199</v>
      </c>
      <c r="H25" s="38">
        <f t="shared" si="0"/>
        <v>84764826.277192414</v>
      </c>
      <c r="I25" s="34"/>
      <c r="J25" s="38">
        <f>'Tab 7_Toevoeging kosten RCR'!L16</f>
        <v>79283933.420230597</v>
      </c>
      <c r="K25" s="38">
        <f>'Tab 7_Toevoeging kosten RCR'!M16</f>
        <v>5480892.8569618175</v>
      </c>
    </row>
    <row r="26" spans="2:14">
      <c r="B26" s="2" t="s">
        <v>485</v>
      </c>
      <c r="F26" s="260" t="s">
        <v>199</v>
      </c>
      <c r="H26" s="38">
        <f t="shared" si="0"/>
        <v>188815056.00674832</v>
      </c>
      <c r="I26" s="34"/>
      <c r="J26" s="38">
        <f>'Tab 14_Budget systeemtaken'!W78</f>
        <v>188815056.00674832</v>
      </c>
      <c r="K26" s="89"/>
      <c r="M26" s="46"/>
      <c r="N26" s="46"/>
    </row>
    <row r="27" spans="2:14">
      <c r="B27" s="2" t="s">
        <v>486</v>
      </c>
      <c r="F27" s="260" t="s">
        <v>199</v>
      </c>
      <c r="H27" s="38">
        <f t="shared" si="0"/>
        <v>15970092.168298895</v>
      </c>
      <c r="I27" s="34"/>
      <c r="J27" s="30"/>
      <c r="K27" s="38">
        <f>'Tab 16_Prognoses IKTNN'!M33</f>
        <v>15970092.168298895</v>
      </c>
    </row>
    <row r="28" spans="2:14">
      <c r="B28" s="2" t="s">
        <v>487</v>
      </c>
      <c r="F28" s="260" t="s">
        <v>199</v>
      </c>
      <c r="H28" s="38">
        <f t="shared" si="0"/>
        <v>-5033935.4427193413</v>
      </c>
      <c r="I28" s="34"/>
      <c r="J28" s="38">
        <f>'Tab 16_Prognoses IKTNN'!L35</f>
        <v>-5033935.4427193413</v>
      </c>
      <c r="K28" s="89"/>
    </row>
    <row r="29" spans="2:14">
      <c r="H29" s="34"/>
      <c r="I29" s="34"/>
      <c r="J29" s="34"/>
      <c r="K29" s="46"/>
    </row>
    <row r="30" spans="2:14">
      <c r="B30" s="2" t="s">
        <v>488</v>
      </c>
      <c r="F30" s="201" t="s">
        <v>199</v>
      </c>
      <c r="H30" s="38">
        <f>SUM(J30:K30)</f>
        <v>792437835.7346617</v>
      </c>
      <c r="I30" s="34"/>
      <c r="J30" s="38">
        <f>SUM(J22:J28)</f>
        <v>441653313.26135725</v>
      </c>
      <c r="K30" s="38">
        <f>SUM(K22:K28)</f>
        <v>350784522.47330445</v>
      </c>
    </row>
    <row r="32" spans="2:14" s="7" customFormat="1">
      <c r="B32" s="7" t="s">
        <v>143</v>
      </c>
    </row>
    <row r="34" spans="2:13">
      <c r="B34" s="1" t="s">
        <v>145</v>
      </c>
      <c r="H34" s="34"/>
      <c r="I34" s="34"/>
      <c r="J34" s="34"/>
      <c r="K34" s="34"/>
    </row>
    <row r="35" spans="2:13">
      <c r="B35" s="2" t="s">
        <v>598</v>
      </c>
      <c r="F35" s="201" t="s">
        <v>199</v>
      </c>
      <c r="H35" s="38">
        <f>SUM(J35:K35)</f>
        <v>-1672795.1078489195</v>
      </c>
      <c r="I35" s="34"/>
      <c r="J35" s="38">
        <f>'Tab 10_Brondata'!V30</f>
        <v>-2466865.634757299</v>
      </c>
      <c r="K35" s="38">
        <f>'Tab 10_Brondata'!V31</f>
        <v>794070.5269083794</v>
      </c>
    </row>
    <row r="36" spans="2:13" s="266" customFormat="1">
      <c r="B36" s="266" t="s">
        <v>642</v>
      </c>
      <c r="F36" s="266" t="s">
        <v>199</v>
      </c>
      <c r="H36" s="38">
        <f t="shared" ref="H36:H44" si="1">SUM(J36:K36)</f>
        <v>-2967363.3305514664</v>
      </c>
      <c r="I36" s="187"/>
      <c r="J36" s="38">
        <f>'Tab 10_Brondata'!V34</f>
        <v>-3321098.0207916391</v>
      </c>
      <c r="K36" s="38">
        <f>'Tab 10_Brondata'!V35</f>
        <v>353734.69024017255</v>
      </c>
    </row>
    <row r="37" spans="2:13">
      <c r="B37" s="2" t="s">
        <v>599</v>
      </c>
      <c r="F37" s="266" t="s">
        <v>199</v>
      </c>
      <c r="H37" s="38">
        <f>SUM(J37:K37)</f>
        <v>2405799.6352000004</v>
      </c>
      <c r="I37" s="34"/>
      <c r="J37" s="38">
        <f>'Tab 17_Correcties OA&amp;M en IKTNN'!L32</f>
        <v>-1143379.9104000002</v>
      </c>
      <c r="K37" s="38">
        <f>'Tab 17_Correcties OA&amp;M en IKTNN'!M32</f>
        <v>3549179.5456000003</v>
      </c>
    </row>
    <row r="38" spans="2:13">
      <c r="B38" s="2" t="s">
        <v>600</v>
      </c>
      <c r="F38" s="266" t="s">
        <v>199</v>
      </c>
      <c r="H38" s="38">
        <f t="shared" si="1"/>
        <v>-31294904</v>
      </c>
      <c r="I38" s="34"/>
      <c r="J38" s="38">
        <f>'Tab 6_Correcties en prognoses'!V16</f>
        <v>-2202815</v>
      </c>
      <c r="K38" s="38">
        <f>'Tab 6_Correcties en prognoses'!V22</f>
        <v>-29092089</v>
      </c>
    </row>
    <row r="39" spans="2:13" s="281" customFormat="1">
      <c r="B39" s="281" t="s">
        <v>666</v>
      </c>
      <c r="F39" s="281" t="s">
        <v>199</v>
      </c>
      <c r="H39" s="38">
        <f t="shared" ref="H39:H41" si="2">SUM(J39:K39)</f>
        <v>-1089646.3411117084</v>
      </c>
      <c r="I39" s="187"/>
      <c r="J39" s="38">
        <f>'Tab 14_Budget systeemtaken'!W85</f>
        <v>-1089646.3411117084</v>
      </c>
      <c r="K39" s="30"/>
    </row>
    <row r="40" spans="2:13" s="212" customFormat="1">
      <c r="B40" s="212" t="s">
        <v>601</v>
      </c>
      <c r="F40" s="266" t="s">
        <v>199</v>
      </c>
      <c r="H40" s="38">
        <f t="shared" si="2"/>
        <v>40005495.227584511</v>
      </c>
      <c r="I40" s="187"/>
      <c r="J40" s="38">
        <f>'Tab 15_Nacalculatie IKE&amp;V'!V99</f>
        <v>45682759.049312003</v>
      </c>
      <c r="K40" s="38">
        <f>'Tab 15_Nacalculatie IKE&amp;V'!V123</f>
        <v>-5677263.8217274947</v>
      </c>
    </row>
    <row r="41" spans="2:13" s="212" customFormat="1">
      <c r="B41" s="212" t="s">
        <v>602</v>
      </c>
      <c r="F41" s="266" t="s">
        <v>199</v>
      </c>
      <c r="H41" s="38">
        <f t="shared" si="2"/>
        <v>51542455.914525077</v>
      </c>
      <c r="I41" s="187"/>
      <c r="J41" s="38">
        <f>'Tab 15_Nacalculatie IKE&amp;V'!V154</f>
        <v>51542455.914525077</v>
      </c>
      <c r="K41" s="30"/>
    </row>
    <row r="42" spans="2:13">
      <c r="B42" s="207" t="s">
        <v>603</v>
      </c>
      <c r="F42" s="266" t="s">
        <v>199</v>
      </c>
      <c r="H42" s="38">
        <f t="shared" si="1"/>
        <v>-13711.023837963881</v>
      </c>
      <c r="I42" s="34"/>
      <c r="J42" s="38">
        <f>'Tab 18_Overige correcties'!V45</f>
        <v>0</v>
      </c>
      <c r="K42" s="38">
        <f>'Tab 18_Overige correcties'!V48</f>
        <v>-13711.023837963881</v>
      </c>
      <c r="M42" s="189" t="s">
        <v>418</v>
      </c>
    </row>
    <row r="43" spans="2:13" s="274" customFormat="1">
      <c r="B43" s="274" t="s">
        <v>626</v>
      </c>
      <c r="F43" s="274" t="s">
        <v>199</v>
      </c>
      <c r="H43" s="38">
        <f>SUM(J43:K43)</f>
        <v>657153.57514809608</v>
      </c>
      <c r="I43" s="187"/>
      <c r="J43" s="30"/>
      <c r="K43" s="38">
        <v>657153.57514809608</v>
      </c>
      <c r="M43" s="189" t="s">
        <v>623</v>
      </c>
    </row>
    <row r="44" spans="2:13" s="266" customFormat="1">
      <c r="B44" s="207" t="s">
        <v>628</v>
      </c>
      <c r="F44" s="266" t="s">
        <v>199</v>
      </c>
      <c r="H44" s="38">
        <f t="shared" si="1"/>
        <v>164725.51680000001</v>
      </c>
      <c r="I44" s="187"/>
      <c r="J44" s="30"/>
      <c r="K44" s="38">
        <f>'Tab 18_Overige correcties'!V50</f>
        <v>164725.51680000001</v>
      </c>
      <c r="M44" s="189"/>
    </row>
    <row r="45" spans="2:13">
      <c r="B45" s="191" t="s">
        <v>572</v>
      </c>
      <c r="F45" s="266" t="s">
        <v>199</v>
      </c>
      <c r="H45" s="38">
        <f t="shared" ref="H45:H48" si="3">SUM(J45:K45)</f>
        <v>0</v>
      </c>
      <c r="I45" s="34"/>
      <c r="J45" s="38">
        <f>'Tab 18_Overige correcties'!V53</f>
        <v>0</v>
      </c>
      <c r="K45" s="30"/>
      <c r="M45" s="146" t="s">
        <v>257</v>
      </c>
    </row>
    <row r="46" spans="2:13" s="81" customFormat="1">
      <c r="B46" s="81" t="s">
        <v>573</v>
      </c>
      <c r="F46" s="266" t="s">
        <v>199</v>
      </c>
      <c r="H46" s="38">
        <f t="shared" si="3"/>
        <v>0</v>
      </c>
      <c r="I46" s="34"/>
      <c r="J46" s="38">
        <f>'Tab 18_Overige correcties'!V54</f>
        <v>0</v>
      </c>
      <c r="K46" s="30"/>
      <c r="M46" s="147" t="s">
        <v>258</v>
      </c>
    </row>
    <row r="47" spans="2:13" s="81" customFormat="1">
      <c r="B47" s="81" t="s">
        <v>574</v>
      </c>
      <c r="F47" s="266" t="s">
        <v>199</v>
      </c>
      <c r="H47" s="38">
        <f t="shared" si="3"/>
        <v>0</v>
      </c>
      <c r="I47" s="34"/>
      <c r="J47" s="38">
        <f>'Tab 18_Overige correcties'!V55</f>
        <v>0</v>
      </c>
      <c r="K47" s="30"/>
      <c r="M47" s="147" t="s">
        <v>258</v>
      </c>
    </row>
    <row r="48" spans="2:13" s="245" customFormat="1">
      <c r="B48" s="245" t="s">
        <v>436</v>
      </c>
      <c r="F48" s="266" t="s">
        <v>199</v>
      </c>
      <c r="H48" s="38">
        <f t="shared" si="3"/>
        <v>52207780.925064623</v>
      </c>
      <c r="I48" s="187"/>
      <c r="J48" s="38">
        <f>'Tab 18_Overige correcties'!V57</f>
        <v>52207780.925064623</v>
      </c>
      <c r="K48" s="30"/>
      <c r="M48" s="245" t="s">
        <v>605</v>
      </c>
    </row>
    <row r="49" spans="2:11" s="266" customFormat="1">
      <c r="H49" s="187"/>
      <c r="I49" s="187"/>
      <c r="J49" s="187"/>
      <c r="K49" s="187"/>
    </row>
    <row r="50" spans="2:11">
      <c r="B50" s="1" t="s">
        <v>146</v>
      </c>
      <c r="F50" s="266"/>
      <c r="H50" s="34"/>
      <c r="I50" s="34"/>
      <c r="J50" s="34"/>
      <c r="K50" s="34"/>
    </row>
    <row r="51" spans="2:11">
      <c r="B51" s="2" t="s">
        <v>606</v>
      </c>
      <c r="F51" s="266" t="s">
        <v>199</v>
      </c>
      <c r="H51" s="38">
        <f>SUM(J51:K51)</f>
        <v>5340426.1334202578</v>
      </c>
      <c r="I51" s="34"/>
      <c r="J51" s="30"/>
      <c r="K51" s="38">
        <f>'Tab 17_Correcties OA&amp;M en IKTNN'!M36</f>
        <v>5340426.1334202578</v>
      </c>
    </row>
    <row r="52" spans="2:11">
      <c r="B52" s="23" t="s">
        <v>607</v>
      </c>
      <c r="F52" s="266" t="s">
        <v>199</v>
      </c>
      <c r="H52" s="38">
        <f t="shared" ref="H52:H54" si="4">SUM(J52:K52)</f>
        <v>-3774525.9892832995</v>
      </c>
      <c r="I52" s="34"/>
      <c r="J52" s="38">
        <f>'Tab 17_Correcties OA&amp;M en IKTNN'!L40</f>
        <v>-3774525.9892832995</v>
      </c>
      <c r="K52" s="30"/>
    </row>
    <row r="53" spans="2:11">
      <c r="B53" s="2" t="s">
        <v>608</v>
      </c>
      <c r="F53" s="266" t="s">
        <v>199</v>
      </c>
      <c r="H53" s="38">
        <f t="shared" si="4"/>
        <v>4188091.500759887</v>
      </c>
      <c r="I53" s="34"/>
      <c r="J53" s="38">
        <f>'Tab 19_Omzetcorrectie'!H41</f>
        <v>-3093201.8263178156</v>
      </c>
      <c r="K53" s="38">
        <f>'Tab 19_Omzetcorrectie'!H46</f>
        <v>7281293.3270777026</v>
      </c>
    </row>
    <row r="54" spans="2:11">
      <c r="B54" s="2" t="s">
        <v>609</v>
      </c>
      <c r="F54" s="266" t="s">
        <v>199</v>
      </c>
      <c r="H54" s="38">
        <f t="shared" si="4"/>
        <v>-120966701</v>
      </c>
      <c r="I54" s="34"/>
      <c r="J54" s="38">
        <f>-'Tab 20_ Inzet veilinggelden'!J36</f>
        <v>-120966701</v>
      </c>
      <c r="K54" s="30"/>
    </row>
    <row r="55" spans="2:11">
      <c r="F55" s="266"/>
      <c r="H55" s="46"/>
      <c r="I55" s="34"/>
      <c r="J55" s="34"/>
      <c r="K55" s="34"/>
    </row>
    <row r="56" spans="2:11">
      <c r="B56" s="2" t="s">
        <v>610</v>
      </c>
      <c r="F56" s="266" t="s">
        <v>199</v>
      </c>
      <c r="H56" s="38">
        <f>SUM(J56:K56)</f>
        <v>-5267718.364130903</v>
      </c>
      <c r="I56" s="28"/>
      <c r="J56" s="38">
        <f>SUM(J35:J54)</f>
        <v>11374762.166239947</v>
      </c>
      <c r="K56" s="38">
        <f>SUM(K35:K54)</f>
        <v>-16642480.53037085</v>
      </c>
    </row>
    <row r="58" spans="2:11" s="7" customFormat="1">
      <c r="B58" s="7" t="s">
        <v>144</v>
      </c>
    </row>
    <row r="60" spans="2:11">
      <c r="B60" s="2" t="s">
        <v>611</v>
      </c>
      <c r="F60" s="201" t="s">
        <v>199</v>
      </c>
      <c r="H60" s="38">
        <f>SUM(J60:K60)</f>
        <v>787170117.37053084</v>
      </c>
      <c r="I60" s="46"/>
      <c r="J60" s="38">
        <f>J30+J56</f>
        <v>453028075.42759717</v>
      </c>
      <c r="K60" s="38">
        <f>K30+K56</f>
        <v>334142041.94293362</v>
      </c>
    </row>
    <row r="61" spans="2:11" s="258" customFormat="1"/>
    <row r="65" spans="2:2">
      <c r="B65" s="281"/>
    </row>
  </sheetData>
  <mergeCells count="1">
    <mergeCell ref="B4:E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CCFFFF"/>
    <pageSetUpPr autoPageBreaks="0"/>
  </sheetPr>
  <dimension ref="A1:Z39"/>
  <sheetViews>
    <sheetView showGridLines="0" zoomScale="85" zoomScaleNormal="85" workbookViewId="0">
      <pane xSplit="6" ySplit="17" topLeftCell="G18" activePane="bottomRight" state="frozen"/>
      <selection pane="topRight"/>
      <selection pane="bottomLeft"/>
      <selection pane="bottomRight"/>
    </sheetView>
  </sheetViews>
  <sheetFormatPr defaultColWidth="9.140625" defaultRowHeight="12.75"/>
  <cols>
    <col min="1" max="1" width="4" style="2" customWidth="1"/>
    <col min="2" max="2" width="46.8554687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6" width="18.7109375" style="2" customWidth="1"/>
    <col min="17" max="19" width="2.7109375" style="2" customWidth="1"/>
    <col min="20" max="34" width="13.7109375" style="2" customWidth="1"/>
    <col min="35" max="16384" width="9.140625" style="2"/>
  </cols>
  <sheetData>
    <row r="1" spans="1:20">
      <c r="A1" s="8"/>
    </row>
    <row r="2" spans="1:20" s="20" customFormat="1" ht="18">
      <c r="B2" s="20" t="s">
        <v>489</v>
      </c>
    </row>
    <row r="4" spans="1:20" s="81" customFormat="1" ht="12.75" customHeight="1">
      <c r="B4" s="300" t="s">
        <v>490</v>
      </c>
      <c r="C4" s="300"/>
      <c r="D4" s="300"/>
      <c r="E4" s="300"/>
    </row>
    <row r="5" spans="1:20" s="81" customFormat="1" ht="12.75" customHeight="1">
      <c r="B5" s="300"/>
      <c r="C5" s="300"/>
      <c r="D5" s="300"/>
      <c r="E5" s="300"/>
    </row>
    <row r="6" spans="1:20" s="81" customFormat="1" ht="12.75" customHeight="1">
      <c r="B6" s="300"/>
      <c r="C6" s="300"/>
      <c r="D6" s="300"/>
      <c r="E6" s="300"/>
    </row>
    <row r="7" spans="1:20" s="81" customFormat="1" ht="12.75" customHeight="1">
      <c r="B7" s="300"/>
      <c r="C7" s="300"/>
      <c r="D7" s="300"/>
      <c r="E7" s="300"/>
    </row>
    <row r="8" spans="1:20" s="81" customFormat="1" ht="12.75" customHeight="1">
      <c r="B8" s="300"/>
      <c r="C8" s="300"/>
      <c r="D8" s="300"/>
      <c r="E8" s="300"/>
    </row>
    <row r="9" spans="1:20" s="81" customFormat="1" ht="12.75" customHeight="1">
      <c r="B9" s="300"/>
      <c r="C9" s="300"/>
      <c r="D9" s="300"/>
      <c r="E9" s="300"/>
    </row>
    <row r="10" spans="1:20" s="81" customFormat="1" ht="12.75" customHeight="1">
      <c r="B10" s="300"/>
      <c r="C10" s="300"/>
      <c r="D10" s="300"/>
      <c r="E10" s="300"/>
    </row>
    <row r="11" spans="1:20">
      <c r="B11" s="23"/>
      <c r="C11" s="3"/>
      <c r="D11" s="3"/>
      <c r="H11" s="21"/>
    </row>
    <row r="12" spans="1:20">
      <c r="B12" s="80" t="s">
        <v>254</v>
      </c>
      <c r="C12" s="3"/>
      <c r="D12" s="3"/>
      <c r="H12" s="21"/>
    </row>
    <row r="13" spans="1:20" s="81" customFormat="1">
      <c r="A13" s="192"/>
      <c r="B13" s="82" t="s">
        <v>247</v>
      </c>
      <c r="C13" s="3"/>
      <c r="D13" s="3"/>
      <c r="F13" s="95" t="str">
        <f>'Tab 22_Controle tarieven'!H84</f>
        <v>ja</v>
      </c>
    </row>
    <row r="14" spans="1:20" s="81" customFormat="1">
      <c r="A14" s="192"/>
      <c r="B14" s="82" t="s">
        <v>281</v>
      </c>
      <c r="C14" s="3"/>
      <c r="D14" s="3"/>
      <c r="E14" s="2"/>
      <c r="F14" s="95" t="str">
        <f>'Tab 21_Controle rekenvolumina'!H48</f>
        <v>nee</v>
      </c>
    </row>
    <row r="16" spans="1:20" s="7" customFormat="1" ht="38.25">
      <c r="B16" s="7" t="s">
        <v>44</v>
      </c>
      <c r="F16" s="7" t="s">
        <v>26</v>
      </c>
      <c r="H16" s="7" t="s">
        <v>27</v>
      </c>
      <c r="J16" s="7" t="s">
        <v>48</v>
      </c>
      <c r="L16" s="31" t="s">
        <v>76</v>
      </c>
      <c r="M16" s="31" t="s">
        <v>200</v>
      </c>
      <c r="N16" s="31" t="s">
        <v>136</v>
      </c>
      <c r="O16" s="31" t="s">
        <v>137</v>
      </c>
      <c r="P16" s="31" t="s">
        <v>170</v>
      </c>
      <c r="T16" s="7" t="s">
        <v>46</v>
      </c>
    </row>
    <row r="19" spans="1:20" s="7" customFormat="1">
      <c r="B19" s="7" t="s">
        <v>491</v>
      </c>
    </row>
    <row r="21" spans="1:20">
      <c r="B21" s="1" t="s">
        <v>80</v>
      </c>
    </row>
    <row r="22" spans="1:20">
      <c r="A22" s="192"/>
      <c r="B22" s="23" t="s">
        <v>492</v>
      </c>
      <c r="F22" s="2" t="s">
        <v>199</v>
      </c>
      <c r="L22" s="209">
        <f>'Tab 22_Controle tarieven'!L86</f>
        <v>12478.96</v>
      </c>
      <c r="M22" s="209">
        <f>'Tab 22_Controle tarieven'!M86</f>
        <v>14.8</v>
      </c>
      <c r="N22" s="209">
        <f>'Tab 22_Controle tarieven'!N86</f>
        <v>1.5</v>
      </c>
      <c r="O22" s="209">
        <f>'Tab 22_Controle tarieven'!O86</f>
        <v>7.38</v>
      </c>
      <c r="P22" s="209">
        <f>'Tab 22_Controle tarieven'!P86</f>
        <v>0.52</v>
      </c>
      <c r="T22" s="208"/>
    </row>
    <row r="23" spans="1:20">
      <c r="A23" s="192"/>
      <c r="B23" s="23" t="s">
        <v>493</v>
      </c>
      <c r="F23" s="2" t="s">
        <v>81</v>
      </c>
      <c r="L23" s="210">
        <f>'Tab 21_Controle rekenvolumina'!L50</f>
        <v>22.55</v>
      </c>
      <c r="M23" s="211">
        <f>'Tab 21_Controle rekenvolumina'!M50</f>
        <v>1212716</v>
      </c>
      <c r="N23" s="211">
        <f>'Tab 21_Controle rekenvolumina'!N50</f>
        <v>12026541</v>
      </c>
      <c r="O23" s="211">
        <f>'Tab 21_Controle rekenvolumina'!O50</f>
        <v>235262</v>
      </c>
      <c r="P23" s="211">
        <f>'Tab 21_Controle rekenvolumina'!P50</f>
        <v>3215320</v>
      </c>
      <c r="T23" s="208"/>
    </row>
    <row r="24" spans="1:20">
      <c r="A24" s="192"/>
      <c r="B24" s="23"/>
      <c r="L24" s="207"/>
      <c r="M24" s="207"/>
      <c r="N24" s="207"/>
      <c r="O24" s="207"/>
      <c r="P24" s="207"/>
    </row>
    <row r="25" spans="1:20">
      <c r="A25" s="192"/>
      <c r="B25" s="1" t="s">
        <v>82</v>
      </c>
      <c r="L25" s="207"/>
      <c r="M25" s="207"/>
      <c r="N25" s="207"/>
      <c r="O25" s="207"/>
      <c r="P25" s="207"/>
    </row>
    <row r="26" spans="1:20">
      <c r="A26" s="192"/>
      <c r="B26" s="23" t="s">
        <v>492</v>
      </c>
      <c r="F26" s="2" t="s">
        <v>199</v>
      </c>
      <c r="L26" s="209">
        <f>'Tab 22_Controle tarieven'!L87</f>
        <v>2760</v>
      </c>
      <c r="M26" s="209">
        <f>'Tab 22_Controle tarieven'!M87</f>
        <v>24.8</v>
      </c>
      <c r="N26" s="209">
        <f>'Tab 22_Controle tarieven'!N87</f>
        <v>2.42</v>
      </c>
      <c r="O26" s="209">
        <f>'Tab 22_Controle tarieven'!O87</f>
        <v>12.38</v>
      </c>
      <c r="P26" s="209">
        <f>'Tab 22_Controle tarieven'!P87</f>
        <v>0.84</v>
      </c>
      <c r="T26" s="208"/>
    </row>
    <row r="27" spans="1:20">
      <c r="A27" s="192"/>
      <c r="B27" s="23" t="s">
        <v>493</v>
      </c>
      <c r="F27" s="2" t="s">
        <v>81</v>
      </c>
      <c r="L27" s="210">
        <f>'Tab 21_Controle rekenvolumina'!L51</f>
        <v>91.56</v>
      </c>
      <c r="M27" s="211">
        <f>'Tab 21_Controle rekenvolumina'!M51</f>
        <v>14929120</v>
      </c>
      <c r="N27" s="211">
        <f>'Tab 21_Controle rekenvolumina'!N51</f>
        <v>153986790</v>
      </c>
      <c r="O27" s="211">
        <f>'Tab 21_Controle rekenvolumina'!O51</f>
        <v>226512</v>
      </c>
      <c r="P27" s="211">
        <f>'Tab 21_Controle rekenvolumina'!P51</f>
        <v>1737592</v>
      </c>
      <c r="T27" s="5"/>
    </row>
    <row r="33" spans="2:26">
      <c r="B33" s="5"/>
    </row>
    <row r="34" spans="2:26">
      <c r="U34" s="199"/>
      <c r="V34" s="199"/>
      <c r="W34" s="199"/>
      <c r="X34" s="199"/>
      <c r="Y34" s="199"/>
      <c r="Z34" s="199"/>
    </row>
    <row r="35" spans="2:26">
      <c r="M35" s="187"/>
      <c r="N35" s="187"/>
      <c r="O35" s="187"/>
      <c r="P35" s="187"/>
      <c r="U35" s="199"/>
      <c r="V35" s="187"/>
      <c r="W35" s="199"/>
      <c r="X35" s="199"/>
      <c r="Y35" s="199"/>
      <c r="Z35" s="187"/>
    </row>
    <row r="36" spans="2:26">
      <c r="U36" s="199"/>
      <c r="V36" s="187"/>
      <c r="W36" s="199"/>
      <c r="X36" s="199"/>
      <c r="Y36" s="199"/>
      <c r="Z36" s="187"/>
    </row>
    <row r="37" spans="2:26">
      <c r="U37" s="199"/>
      <c r="V37" s="187"/>
      <c r="W37" s="199"/>
      <c r="X37" s="199"/>
      <c r="Y37" s="199"/>
      <c r="Z37" s="187"/>
    </row>
    <row r="38" spans="2:26">
      <c r="U38" s="199"/>
      <c r="V38" s="187"/>
      <c r="W38" s="199"/>
      <c r="X38" s="199"/>
      <c r="Y38" s="199"/>
      <c r="Z38" s="187"/>
    </row>
    <row r="39" spans="2:26">
      <c r="M39" s="187"/>
      <c r="N39" s="187"/>
      <c r="O39" s="187"/>
      <c r="P39" s="187"/>
    </row>
  </sheetData>
  <mergeCells count="1">
    <mergeCell ref="B4:E10"/>
  </mergeCells>
  <pageMargins left="0.7" right="0.7" top="0.75" bottom="0.75" header="0.3" footer="0.3"/>
  <pageSetup paperSize="9" scale="45" orientation="portrait" r:id="rId1"/>
  <colBreaks count="1" manualBreakCount="1">
    <brk id="7" max="2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0" tint="-4.9989318521683403E-2"/>
    <pageSetUpPr autoPageBreaks="0"/>
  </sheetPr>
  <dimension ref="A1"/>
  <sheetViews>
    <sheetView showGridLines="0" topLeftCell="A2" zoomScale="90" zoomScaleNormal="90" workbookViewId="0">
      <selection activeCell="A2" sqref="A2"/>
    </sheetView>
  </sheetViews>
  <sheetFormatPr defaultColWidth="9.140625" defaultRowHeight="12.75"/>
  <cols>
    <col min="1" max="16384" width="9.140625" style="22"/>
  </cols>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CCFFCC"/>
    <pageSetUpPr autoPageBreaks="0"/>
  </sheetPr>
  <dimension ref="A1:X35"/>
  <sheetViews>
    <sheetView showGridLines="0" zoomScale="85" zoomScaleNormal="85" workbookViewId="0">
      <pane xSplit="6" ySplit="10" topLeftCell="G11" activePane="bottomRight" state="frozen"/>
      <selection pane="topRight"/>
      <selection pane="bottomLeft"/>
      <selection pane="bottomRight"/>
    </sheetView>
  </sheetViews>
  <sheetFormatPr defaultColWidth="9.140625" defaultRowHeight="12.75"/>
  <cols>
    <col min="1" max="1" width="4" style="2" customWidth="1"/>
    <col min="2" max="2" width="77.28515625" style="2" customWidth="1"/>
    <col min="3" max="5" width="4.5703125" style="2" customWidth="1"/>
    <col min="6" max="6" width="11.855468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20" width="12.5703125" style="2" customWidth="1"/>
    <col min="21" max="21" width="12.5703125" style="202" customWidth="1"/>
    <col min="22" max="22" width="12.5703125" style="259" customWidth="1"/>
    <col min="23" max="23" width="2.7109375" style="2" customWidth="1"/>
    <col min="24" max="24" width="13.7109375" style="2" customWidth="1"/>
    <col min="25" max="25" width="2.7109375" style="2" customWidth="1"/>
    <col min="26" max="40" width="13.7109375" style="2" customWidth="1"/>
    <col min="41" max="16384" width="9.140625" style="2"/>
  </cols>
  <sheetData>
    <row r="1" spans="1:24">
      <c r="A1" s="192"/>
    </row>
    <row r="2" spans="1:24" s="20" customFormat="1" ht="18">
      <c r="B2" s="20" t="s">
        <v>228</v>
      </c>
    </row>
    <row r="3" spans="1:24">
      <c r="A3" s="192"/>
    </row>
    <row r="4" spans="1:24" s="81" customFormat="1">
      <c r="A4" s="192"/>
      <c r="B4" s="300" t="s">
        <v>624</v>
      </c>
      <c r="C4" s="300"/>
      <c r="D4" s="300"/>
      <c r="E4" s="300"/>
      <c r="U4" s="202"/>
      <c r="V4" s="259"/>
    </row>
    <row r="5" spans="1:24" s="81" customFormat="1">
      <c r="A5" s="192"/>
      <c r="B5" s="300"/>
      <c r="C5" s="300"/>
      <c r="D5" s="300"/>
      <c r="E5" s="300"/>
      <c r="U5" s="202"/>
      <c r="V5" s="259"/>
    </row>
    <row r="6" spans="1:24" s="81" customFormat="1">
      <c r="A6" s="192"/>
      <c r="B6" s="300"/>
      <c r="C6" s="300"/>
      <c r="D6" s="300"/>
      <c r="E6" s="300"/>
      <c r="U6" s="202"/>
      <c r="V6" s="259"/>
    </row>
    <row r="7" spans="1:24" s="81" customFormat="1">
      <c r="A7" s="192"/>
      <c r="B7" s="300"/>
      <c r="C7" s="300"/>
      <c r="D7" s="300"/>
      <c r="E7" s="300"/>
      <c r="U7" s="202"/>
      <c r="V7" s="259"/>
    </row>
    <row r="8" spans="1:24">
      <c r="A8" s="192"/>
    </row>
    <row r="9" spans="1:24" s="7" customFormat="1">
      <c r="A9" s="184"/>
      <c r="B9" s="7" t="s">
        <v>44</v>
      </c>
      <c r="F9" s="7" t="s">
        <v>26</v>
      </c>
      <c r="H9" s="7" t="s">
        <v>27</v>
      </c>
      <c r="J9" s="7" t="s">
        <v>48</v>
      </c>
      <c r="L9" s="72">
        <v>2011</v>
      </c>
      <c r="M9" s="72">
        <v>2012</v>
      </c>
      <c r="N9" s="72">
        <v>2013</v>
      </c>
      <c r="O9" s="72">
        <v>2014</v>
      </c>
      <c r="P9" s="72">
        <v>2015</v>
      </c>
      <c r="Q9" s="72">
        <v>2016</v>
      </c>
      <c r="R9" s="72">
        <v>2017</v>
      </c>
      <c r="S9" s="72">
        <v>2018</v>
      </c>
      <c r="T9" s="72">
        <v>2019</v>
      </c>
      <c r="U9" s="72">
        <v>2020</v>
      </c>
      <c r="V9" s="72">
        <v>2021</v>
      </c>
      <c r="X9" s="7" t="s">
        <v>46</v>
      </c>
    </row>
    <row r="10" spans="1:24">
      <c r="A10" s="192"/>
    </row>
    <row r="11" spans="1:24">
      <c r="A11" s="192"/>
    </row>
    <row r="12" spans="1:24" s="7" customFormat="1">
      <c r="A12" s="184"/>
      <c r="B12" s="7" t="s">
        <v>202</v>
      </c>
      <c r="U12" s="184"/>
      <c r="V12" s="184"/>
    </row>
    <row r="13" spans="1:24">
      <c r="A13" s="192"/>
    </row>
    <row r="14" spans="1:24" s="81" customFormat="1">
      <c r="A14" s="192"/>
      <c r="B14" s="181" t="s">
        <v>80</v>
      </c>
      <c r="C14" s="182"/>
      <c r="D14" s="182"/>
      <c r="E14" s="182"/>
      <c r="F14" s="182"/>
      <c r="G14" s="182"/>
      <c r="H14" s="182"/>
      <c r="I14" s="182"/>
      <c r="J14" s="182"/>
      <c r="K14" s="182"/>
      <c r="L14" s="182"/>
      <c r="M14" s="182"/>
      <c r="N14" s="182"/>
      <c r="O14" s="182"/>
      <c r="P14" s="182"/>
      <c r="Q14" s="182"/>
      <c r="R14" s="182"/>
      <c r="S14" s="182"/>
      <c r="T14" s="182"/>
      <c r="U14" s="202"/>
      <c r="V14" s="259"/>
      <c r="X14" s="5"/>
    </row>
    <row r="15" spans="1:24">
      <c r="A15" s="192"/>
      <c r="B15" s="183" t="s">
        <v>447</v>
      </c>
      <c r="C15" s="182"/>
      <c r="D15" s="182"/>
      <c r="E15" s="182"/>
      <c r="F15" s="182" t="s">
        <v>494</v>
      </c>
      <c r="G15" s="182"/>
      <c r="H15" s="182"/>
      <c r="I15" s="182"/>
      <c r="J15" s="186"/>
      <c r="K15" s="182"/>
      <c r="L15" s="192"/>
      <c r="M15" s="192"/>
      <c r="N15" s="192"/>
      <c r="O15" s="285"/>
      <c r="P15" s="285"/>
      <c r="Q15" s="285"/>
      <c r="R15" s="286"/>
      <c r="S15" s="286"/>
      <c r="T15" s="287">
        <v>-1057119</v>
      </c>
      <c r="U15" s="285"/>
      <c r="V15" s="285"/>
      <c r="X15" s="148" t="s">
        <v>448</v>
      </c>
    </row>
    <row r="16" spans="1:24">
      <c r="A16" s="192"/>
      <c r="B16" s="182" t="s">
        <v>449</v>
      </c>
      <c r="C16" s="182"/>
      <c r="D16" s="182"/>
      <c r="E16" s="182"/>
      <c r="F16" s="182" t="s">
        <v>494</v>
      </c>
      <c r="G16" s="182"/>
      <c r="H16" s="182"/>
      <c r="I16" s="182"/>
      <c r="J16" s="186"/>
      <c r="K16" s="182"/>
      <c r="L16" s="192"/>
      <c r="M16" s="192"/>
      <c r="N16" s="192"/>
      <c r="O16" s="285"/>
      <c r="P16" s="285"/>
      <c r="Q16" s="285"/>
      <c r="R16" s="285"/>
      <c r="S16" s="285"/>
      <c r="T16" s="286"/>
      <c r="U16" s="286"/>
      <c r="V16" s="287">
        <v>-2202815</v>
      </c>
    </row>
    <row r="17" spans="1:24" s="8" customFormat="1">
      <c r="A17" s="192"/>
      <c r="B17" s="185"/>
      <c r="C17" s="185"/>
      <c r="D17" s="185"/>
      <c r="E17" s="185"/>
      <c r="F17" s="185"/>
      <c r="G17" s="185"/>
      <c r="H17" s="185"/>
      <c r="I17" s="185"/>
      <c r="J17" s="186"/>
      <c r="K17" s="185"/>
      <c r="L17" s="192"/>
      <c r="M17" s="192"/>
      <c r="N17" s="192"/>
      <c r="O17" s="285"/>
      <c r="P17" s="285"/>
      <c r="Q17" s="285"/>
      <c r="R17" s="285"/>
      <c r="S17" s="285"/>
      <c r="T17" s="285"/>
      <c r="U17" s="285"/>
      <c r="V17" s="285"/>
    </row>
    <row r="18" spans="1:24">
      <c r="A18" s="192"/>
      <c r="B18" s="182" t="s">
        <v>147</v>
      </c>
      <c r="C18" s="182"/>
      <c r="D18" s="182"/>
      <c r="E18" s="182"/>
      <c r="F18" s="182" t="s">
        <v>494</v>
      </c>
      <c r="G18" s="182"/>
      <c r="H18" s="182"/>
      <c r="I18" s="182"/>
      <c r="J18" s="186"/>
      <c r="K18" s="182"/>
      <c r="L18" s="204"/>
      <c r="M18" s="204"/>
      <c r="N18" s="204"/>
      <c r="O18" s="287"/>
      <c r="P18" s="287"/>
      <c r="Q18" s="287"/>
      <c r="R18" s="287"/>
      <c r="S18" s="287"/>
      <c r="T18" s="287"/>
      <c r="U18" s="285"/>
      <c r="V18" s="285"/>
      <c r="X18" s="149" t="s">
        <v>356</v>
      </c>
    </row>
    <row r="19" spans="1:24">
      <c r="A19" s="192"/>
      <c r="B19" s="182"/>
      <c r="C19" s="182"/>
      <c r="D19" s="182"/>
      <c r="E19" s="182"/>
      <c r="F19" s="182"/>
      <c r="G19" s="182"/>
      <c r="H19" s="182"/>
      <c r="I19" s="182"/>
      <c r="J19" s="185"/>
      <c r="K19" s="182"/>
      <c r="L19" s="242"/>
      <c r="M19" s="242"/>
      <c r="N19" s="242"/>
      <c r="O19" s="286"/>
      <c r="P19" s="286"/>
      <c r="Q19" s="286"/>
      <c r="R19" s="286"/>
      <c r="S19" s="286"/>
      <c r="T19" s="286"/>
      <c r="U19" s="286"/>
      <c r="V19" s="286"/>
    </row>
    <row r="20" spans="1:24" s="81" customFormat="1">
      <c r="A20" s="192"/>
      <c r="B20" s="181" t="s">
        <v>82</v>
      </c>
      <c r="C20" s="182"/>
      <c r="D20" s="182"/>
      <c r="E20" s="182"/>
      <c r="F20" s="182"/>
      <c r="G20" s="182"/>
      <c r="H20" s="182"/>
      <c r="I20" s="182"/>
      <c r="J20" s="185"/>
      <c r="K20" s="182"/>
      <c r="L20" s="242"/>
      <c r="M20" s="242"/>
      <c r="N20" s="242"/>
      <c r="O20" s="286"/>
      <c r="P20" s="286"/>
      <c r="Q20" s="286"/>
      <c r="R20" s="286"/>
      <c r="S20" s="286"/>
      <c r="T20" s="286"/>
      <c r="U20" s="286"/>
      <c r="V20" s="286"/>
    </row>
    <row r="21" spans="1:24">
      <c r="A21" s="192"/>
      <c r="B21" s="183" t="s">
        <v>450</v>
      </c>
      <c r="C21" s="182"/>
      <c r="D21" s="182"/>
      <c r="E21" s="182"/>
      <c r="F21" s="182" t="s">
        <v>494</v>
      </c>
      <c r="G21" s="182"/>
      <c r="H21" s="182"/>
      <c r="I21" s="182"/>
      <c r="J21" s="186"/>
      <c r="K21" s="182"/>
      <c r="L21" s="192"/>
      <c r="M21" s="192"/>
      <c r="N21" s="192"/>
      <c r="O21" s="285"/>
      <c r="P21" s="285"/>
      <c r="Q21" s="285"/>
      <c r="R21" s="286"/>
      <c r="S21" s="286"/>
      <c r="T21" s="287">
        <v>3281416</v>
      </c>
      <c r="U21" s="285"/>
      <c r="V21" s="285"/>
      <c r="X21" s="150" t="s">
        <v>451</v>
      </c>
    </row>
    <row r="22" spans="1:24">
      <c r="A22" s="192"/>
      <c r="B22" s="182" t="s">
        <v>452</v>
      </c>
      <c r="C22" s="182"/>
      <c r="D22" s="182"/>
      <c r="E22" s="182"/>
      <c r="F22" s="182" t="s">
        <v>494</v>
      </c>
      <c r="G22" s="182"/>
      <c r="H22" s="182"/>
      <c r="I22" s="182"/>
      <c r="J22" s="186"/>
      <c r="K22" s="182"/>
      <c r="L22" s="192"/>
      <c r="M22" s="192"/>
      <c r="N22" s="192"/>
      <c r="O22" s="285"/>
      <c r="P22" s="285"/>
      <c r="Q22" s="285"/>
      <c r="R22" s="285"/>
      <c r="S22" s="285"/>
      <c r="T22" s="286"/>
      <c r="U22" s="286"/>
      <c r="V22" s="287">
        <v>-29092089</v>
      </c>
    </row>
    <row r="23" spans="1:24" s="8" customFormat="1">
      <c r="A23" s="192"/>
      <c r="B23" s="185"/>
      <c r="C23" s="185"/>
      <c r="D23" s="185"/>
      <c r="E23" s="185"/>
      <c r="F23" s="185"/>
      <c r="G23" s="185"/>
      <c r="H23" s="185"/>
      <c r="I23" s="185"/>
      <c r="J23" s="186"/>
      <c r="K23" s="185"/>
      <c r="L23" s="192"/>
      <c r="M23" s="192"/>
      <c r="N23" s="192"/>
      <c r="O23" s="285"/>
      <c r="P23" s="285"/>
      <c r="Q23" s="285"/>
      <c r="R23" s="285"/>
      <c r="S23" s="285"/>
      <c r="T23" s="285"/>
      <c r="U23" s="285"/>
      <c r="V23" s="285"/>
    </row>
    <row r="24" spans="1:24">
      <c r="A24" s="192"/>
      <c r="B24" s="182" t="s">
        <v>148</v>
      </c>
      <c r="C24" s="182"/>
      <c r="D24" s="182"/>
      <c r="E24" s="182"/>
      <c r="F24" s="182" t="s">
        <v>494</v>
      </c>
      <c r="G24" s="182"/>
      <c r="H24" s="182"/>
      <c r="I24" s="182"/>
      <c r="J24" s="186"/>
      <c r="K24" s="182"/>
      <c r="L24" s="204"/>
      <c r="M24" s="204"/>
      <c r="N24" s="204"/>
      <c r="O24" s="287">
        <v>-2760</v>
      </c>
      <c r="P24" s="287">
        <v>-2760</v>
      </c>
      <c r="Q24" s="287">
        <v>-2760</v>
      </c>
      <c r="R24" s="287">
        <v>-2760</v>
      </c>
      <c r="S24" s="287"/>
      <c r="T24" s="287"/>
      <c r="U24" s="285"/>
      <c r="V24" s="285"/>
      <c r="X24" s="151" t="s">
        <v>357</v>
      </c>
    </row>
    <row r="25" spans="1:24">
      <c r="A25" s="192"/>
      <c r="B25" s="182"/>
      <c r="C25" s="182"/>
      <c r="D25" s="182"/>
      <c r="E25" s="182"/>
      <c r="F25" s="182"/>
      <c r="G25" s="182"/>
      <c r="H25" s="182"/>
      <c r="I25" s="182"/>
      <c r="J25" s="182"/>
      <c r="K25" s="182"/>
      <c r="L25" s="242"/>
      <c r="M25" s="242"/>
      <c r="N25" s="242"/>
      <c r="O25" s="286"/>
      <c r="P25" s="286"/>
      <c r="Q25" s="286"/>
      <c r="R25" s="286"/>
      <c r="S25" s="286"/>
      <c r="T25" s="286"/>
      <c r="U25" s="286"/>
      <c r="V25" s="286"/>
    </row>
    <row r="26" spans="1:24" s="266" customFormat="1">
      <c r="A26" s="192"/>
      <c r="B26" s="266" t="s">
        <v>627</v>
      </c>
      <c r="F26" s="266" t="s">
        <v>494</v>
      </c>
      <c r="O26" s="286"/>
      <c r="P26" s="286"/>
      <c r="Q26" s="286"/>
      <c r="R26" s="286"/>
      <c r="S26" s="286"/>
      <c r="T26" s="287">
        <v>152298</v>
      </c>
      <c r="U26" s="286"/>
      <c r="V26" s="286"/>
      <c r="X26" s="266" t="s">
        <v>625</v>
      </c>
    </row>
    <row r="27" spans="1:24" s="266" customFormat="1">
      <c r="A27" s="192"/>
      <c r="O27" s="286"/>
      <c r="P27" s="286"/>
      <c r="Q27" s="286"/>
      <c r="R27" s="286"/>
      <c r="S27" s="286"/>
      <c r="T27" s="286"/>
      <c r="U27" s="286"/>
      <c r="V27" s="286"/>
    </row>
    <row r="28" spans="1:24" s="85" customFormat="1">
      <c r="A28" s="184"/>
      <c r="B28" s="184" t="s">
        <v>203</v>
      </c>
      <c r="C28" s="184"/>
      <c r="D28" s="184"/>
      <c r="E28" s="184"/>
      <c r="F28" s="184"/>
      <c r="G28" s="184"/>
      <c r="H28" s="184"/>
      <c r="I28" s="184"/>
      <c r="J28" s="184"/>
      <c r="K28" s="184"/>
      <c r="L28" s="184"/>
      <c r="M28" s="184"/>
      <c r="N28" s="184"/>
      <c r="O28" s="288"/>
      <c r="P28" s="288"/>
      <c r="Q28" s="288"/>
      <c r="R28" s="288"/>
      <c r="S28" s="288"/>
      <c r="T28" s="288"/>
      <c r="U28" s="288"/>
      <c r="V28" s="288"/>
    </row>
    <row r="29" spans="1:24">
      <c r="A29" s="192"/>
      <c r="B29" s="182"/>
      <c r="C29" s="182"/>
      <c r="D29" s="182"/>
      <c r="E29" s="182"/>
      <c r="F29" s="182"/>
      <c r="G29" s="182"/>
      <c r="H29" s="182"/>
      <c r="I29" s="182"/>
      <c r="J29" s="182"/>
      <c r="K29" s="182"/>
      <c r="L29" s="242"/>
      <c r="M29" s="242"/>
      <c r="N29" s="242"/>
      <c r="O29" s="286"/>
      <c r="P29" s="286"/>
      <c r="Q29" s="286"/>
      <c r="R29" s="286"/>
      <c r="S29" s="286"/>
      <c r="T29" s="286"/>
      <c r="U29" s="286"/>
      <c r="V29" s="286"/>
    </row>
    <row r="30" spans="1:24">
      <c r="A30" s="192"/>
      <c r="B30" s="182" t="s">
        <v>453</v>
      </c>
      <c r="C30" s="182"/>
      <c r="D30" s="182"/>
      <c r="E30" s="182"/>
      <c r="F30" s="182" t="s">
        <v>494</v>
      </c>
      <c r="G30" s="182"/>
      <c r="H30" s="182"/>
      <c r="I30" s="182"/>
      <c r="J30" s="182"/>
      <c r="K30" s="182"/>
      <c r="L30" s="192"/>
      <c r="M30" s="192"/>
      <c r="N30" s="192"/>
      <c r="O30" s="285"/>
      <c r="P30" s="285"/>
      <c r="Q30" s="285"/>
      <c r="R30" s="285"/>
      <c r="S30" s="286"/>
      <c r="T30" s="286"/>
      <c r="U30" s="287">
        <v>35839262</v>
      </c>
      <c r="V30" s="286"/>
    </row>
    <row r="31" spans="1:24" s="81" customFormat="1">
      <c r="A31" s="192"/>
      <c r="B31" s="182"/>
      <c r="C31" s="182"/>
      <c r="D31" s="182"/>
      <c r="E31" s="182"/>
      <c r="F31" s="182"/>
      <c r="G31" s="182"/>
      <c r="H31" s="182"/>
      <c r="I31" s="182"/>
      <c r="J31" s="182"/>
      <c r="K31" s="182"/>
      <c r="L31" s="242"/>
      <c r="M31" s="242"/>
      <c r="N31" s="242"/>
      <c r="O31" s="242"/>
      <c r="P31" s="242"/>
      <c r="Q31" s="242"/>
      <c r="R31" s="242"/>
      <c r="S31" s="242"/>
      <c r="T31" s="242"/>
      <c r="U31" s="242"/>
      <c r="V31" s="259"/>
    </row>
    <row r="32" spans="1:24">
      <c r="A32" s="192"/>
      <c r="B32" s="182" t="s">
        <v>206</v>
      </c>
      <c r="C32" s="182"/>
      <c r="D32" s="182"/>
      <c r="E32" s="182"/>
      <c r="F32" s="182" t="s">
        <v>494</v>
      </c>
      <c r="G32" s="182"/>
      <c r="H32" s="182"/>
      <c r="I32" s="182"/>
      <c r="J32" s="186"/>
      <c r="K32" s="182"/>
      <c r="L32" s="204"/>
      <c r="M32" s="204"/>
      <c r="N32" s="204"/>
      <c r="O32" s="204"/>
      <c r="P32" s="203"/>
      <c r="Q32" s="193"/>
      <c r="R32" s="193"/>
      <c r="S32" s="192"/>
      <c r="T32" s="192"/>
      <c r="U32" s="192"/>
      <c r="V32" s="192"/>
      <c r="X32" s="152" t="s">
        <v>257</v>
      </c>
    </row>
    <row r="33" spans="1:24" s="81" customFormat="1">
      <c r="A33" s="192"/>
      <c r="B33" s="182" t="s">
        <v>204</v>
      </c>
      <c r="C33" s="182"/>
      <c r="D33" s="182"/>
      <c r="E33" s="182"/>
      <c r="F33" s="182" t="s">
        <v>494</v>
      </c>
      <c r="G33" s="182"/>
      <c r="H33" s="182"/>
      <c r="I33" s="182"/>
      <c r="J33" s="182"/>
      <c r="K33" s="182"/>
      <c r="L33" s="193"/>
      <c r="M33" s="193"/>
      <c r="N33" s="193"/>
      <c r="O33" s="193"/>
      <c r="P33" s="193"/>
      <c r="Q33" s="193"/>
      <c r="R33" s="242"/>
      <c r="S33" s="276"/>
      <c r="T33" s="204"/>
      <c r="U33" s="204"/>
      <c r="V33" s="259"/>
      <c r="X33" s="153" t="s">
        <v>258</v>
      </c>
    </row>
    <row r="34" spans="1:24" s="81" customFormat="1">
      <c r="A34" s="192"/>
      <c r="B34" s="182" t="s">
        <v>205</v>
      </c>
      <c r="C34" s="182"/>
      <c r="D34" s="182"/>
      <c r="E34" s="182"/>
      <c r="F34" s="182" t="s">
        <v>494</v>
      </c>
      <c r="G34" s="182"/>
      <c r="H34" s="182"/>
      <c r="I34" s="182"/>
      <c r="J34" s="182"/>
      <c r="K34" s="182"/>
      <c r="L34" s="193"/>
      <c r="M34" s="193"/>
      <c r="N34" s="193"/>
      <c r="O34" s="193"/>
      <c r="P34" s="193"/>
      <c r="Q34" s="193"/>
      <c r="R34" s="242"/>
      <c r="S34" s="276"/>
      <c r="T34" s="204"/>
      <c r="U34" s="204"/>
      <c r="V34" s="259"/>
      <c r="X34" s="153" t="s">
        <v>258</v>
      </c>
    </row>
    <row r="35" spans="1:24">
      <c r="A35" s="192"/>
      <c r="S35" s="5"/>
    </row>
  </sheetData>
  <mergeCells count="1">
    <mergeCell ref="B4: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CCFFCC"/>
    <pageSetUpPr autoPageBreaks="0"/>
  </sheetPr>
  <dimension ref="A1:Q18"/>
  <sheetViews>
    <sheetView showGridLines="0" zoomScale="85" zoomScaleNormal="85" workbookViewId="0">
      <pane xSplit="6" ySplit="11" topLeftCell="G12" activePane="bottomRight" state="frozen"/>
      <selection pane="topRight"/>
      <selection pane="bottomLeft"/>
      <selection pane="bottomRight"/>
    </sheetView>
  </sheetViews>
  <sheetFormatPr defaultColWidth="9.140625" defaultRowHeight="12.75"/>
  <cols>
    <col min="1" max="1" width="4" style="2" customWidth="1"/>
    <col min="2" max="2" width="55.42578125" style="2" customWidth="1"/>
    <col min="3" max="5" width="4.5703125" style="2" customWidth="1"/>
    <col min="6" max="6" width="13.7109375" style="2" customWidth="1"/>
    <col min="7" max="7" width="2.7109375" style="2" customWidth="1"/>
    <col min="8" max="8" width="13.7109375" style="2" customWidth="1"/>
    <col min="9" max="9" width="2.7109375" style="2" customWidth="1"/>
    <col min="10" max="10" width="13.7109375" style="2" customWidth="1"/>
    <col min="11" max="11" width="2.7109375" style="2" customWidth="1"/>
    <col min="12" max="13" width="12.5703125" style="2" customWidth="1"/>
    <col min="14" max="14" width="2.7109375" style="2" customWidth="1"/>
    <col min="15" max="15" width="31.28515625" style="2" bestFit="1" customWidth="1"/>
    <col min="16" max="16" width="2.7109375" style="2" customWidth="1"/>
    <col min="17" max="31" width="13.7109375" style="2" customWidth="1"/>
    <col min="32" max="16384" width="9.140625" style="2"/>
  </cols>
  <sheetData>
    <row r="1" spans="1:17">
      <c r="A1" s="260"/>
    </row>
    <row r="2" spans="1:17" s="20" customFormat="1" ht="18">
      <c r="B2" s="20" t="s">
        <v>229</v>
      </c>
    </row>
    <row r="3" spans="1:17">
      <c r="A3" s="260"/>
    </row>
    <row r="4" spans="1:17" s="81" customFormat="1">
      <c r="A4" s="260"/>
      <c r="B4" s="300" t="s">
        <v>454</v>
      </c>
      <c r="C4" s="301"/>
      <c r="D4" s="301"/>
      <c r="E4" s="301"/>
    </row>
    <row r="5" spans="1:17" s="81" customFormat="1">
      <c r="A5" s="260"/>
      <c r="B5" s="301"/>
      <c r="C5" s="301"/>
      <c r="D5" s="301"/>
      <c r="E5" s="301"/>
    </row>
    <row r="6" spans="1:17" s="81" customFormat="1">
      <c r="A6" s="260"/>
      <c r="B6" s="301"/>
      <c r="C6" s="301"/>
      <c r="D6" s="301"/>
      <c r="E6" s="301"/>
    </row>
    <row r="7" spans="1:17" s="81" customFormat="1">
      <c r="A7" s="260"/>
      <c r="B7" s="301"/>
      <c r="C7" s="301"/>
      <c r="D7" s="301"/>
      <c r="E7" s="301"/>
    </row>
    <row r="8" spans="1:17" s="81" customFormat="1">
      <c r="A8" s="260"/>
      <c r="B8" s="301"/>
      <c r="C8" s="301"/>
      <c r="D8" s="301"/>
      <c r="E8" s="301"/>
    </row>
    <row r="9" spans="1:17" s="81" customFormat="1">
      <c r="A9" s="260"/>
      <c r="B9" s="84"/>
      <c r="C9" s="82"/>
      <c r="D9" s="82"/>
    </row>
    <row r="10" spans="1:17" s="7" customFormat="1">
      <c r="A10" s="184"/>
      <c r="B10" s="7" t="s">
        <v>44</v>
      </c>
      <c r="F10" s="7" t="s">
        <v>26</v>
      </c>
      <c r="H10" s="7" t="s">
        <v>27</v>
      </c>
      <c r="J10" s="7" t="s">
        <v>48</v>
      </c>
      <c r="L10" s="7" t="s">
        <v>80</v>
      </c>
      <c r="M10" s="7" t="s">
        <v>82</v>
      </c>
      <c r="O10" s="7" t="s">
        <v>45</v>
      </c>
      <c r="Q10" s="7" t="s">
        <v>46</v>
      </c>
    </row>
    <row r="11" spans="1:17" s="81" customFormat="1">
      <c r="A11" s="260"/>
    </row>
    <row r="12" spans="1:17" s="81" customFormat="1">
      <c r="A12" s="260"/>
    </row>
    <row r="13" spans="1:17" s="70" customFormat="1">
      <c r="A13" s="184"/>
      <c r="B13" s="69" t="s">
        <v>155</v>
      </c>
      <c r="C13" s="69"/>
      <c r="D13" s="69"/>
    </row>
    <row r="14" spans="1:17">
      <c r="A14" s="260"/>
    </row>
    <row r="15" spans="1:17">
      <c r="A15" s="260"/>
      <c r="B15" s="2" t="s">
        <v>455</v>
      </c>
      <c r="F15" s="2" t="s">
        <v>199</v>
      </c>
      <c r="J15" s="81"/>
      <c r="K15" s="8"/>
      <c r="L15" s="204">
        <v>28143594.569538575</v>
      </c>
      <c r="M15" s="204">
        <v>2604805.9426400024</v>
      </c>
      <c r="O15" s="2" t="s">
        <v>643</v>
      </c>
      <c r="Q15" s="5"/>
    </row>
    <row r="16" spans="1:17">
      <c r="A16" s="260"/>
      <c r="B16" s="2" t="s">
        <v>456</v>
      </c>
      <c r="F16" s="201" t="s">
        <v>199</v>
      </c>
      <c r="J16" s="81"/>
      <c r="K16" s="8"/>
      <c r="L16" s="204">
        <v>79283933.420230597</v>
      </c>
      <c r="M16" s="204">
        <v>5480892.8569618175</v>
      </c>
      <c r="O16" s="2" t="s">
        <v>644</v>
      </c>
    </row>
    <row r="17" spans="1:13">
      <c r="A17" s="192"/>
      <c r="J17" s="28"/>
      <c r="K17" s="8"/>
      <c r="L17" s="8"/>
      <c r="M17" s="8"/>
    </row>
    <row r="18" spans="1:13">
      <c r="A18" s="192"/>
    </row>
  </sheetData>
  <mergeCells count="1">
    <mergeCell ref="B4:E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878650FBD2D4392CD8EF4C647E9D5" ma:contentTypeVersion="0" ma:contentTypeDescription="Een nieuw document maken." ma:contentTypeScope="" ma:versionID="403b60cfd241343d50cd2dbad1bbbcf9">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B2746E-DB0F-499C-B59A-0A8E858D8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2A23967-7DE6-499B-A489-7CBF2DE6D59F}">
  <ds:schemaRefs>
    <ds:schemaRef ds:uri="http://purl.org/dc/elements/1.1/"/>
    <ds:schemaRef ds:uri="http://purl.org/dc/dcmityp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941D22-A657-4695-A560-BC2A67E906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26</vt:i4>
      </vt:variant>
      <vt:variant>
        <vt:lpstr>Benoemde bereiken</vt:lpstr>
      </vt:variant>
      <vt:variant>
        <vt:i4>2</vt:i4>
      </vt:variant>
    </vt:vector>
  </HeadingPairs>
  <TitlesOfParts>
    <vt:vector size="28" baseType="lpstr">
      <vt:lpstr>Tab 1_Titelblad</vt:lpstr>
      <vt:lpstr>Tab 2_Toelichting</vt:lpstr>
      <vt:lpstr>Tab 3_Bronnen en toepassingen</vt:lpstr>
      <vt:lpstr>Resultaat --&gt;</vt:lpstr>
      <vt:lpstr>Tab 4_Totale inkomsten 2021</vt:lpstr>
      <vt:lpstr>Tab 5_Tarieven en RV 2021</vt:lpstr>
      <vt:lpstr>Input (Dataverzoek TenneT) --&gt;</vt:lpstr>
      <vt:lpstr>Tab 6_Correcties en prognoses</vt:lpstr>
      <vt:lpstr>Tab 7_Toevoeging kosten RCR</vt:lpstr>
      <vt:lpstr>Tab 8_Voorstel tarieven en RV</vt:lpstr>
      <vt:lpstr>Input (Data door ACM) --&gt;</vt:lpstr>
      <vt:lpstr>Tab 9_Parameters</vt:lpstr>
      <vt:lpstr>Tab 10_Brondata</vt:lpstr>
      <vt:lpstr>Tab 11_Tarieven, RV en omzet</vt:lpstr>
      <vt:lpstr>Berekeningen --&gt;</vt:lpstr>
      <vt:lpstr>Tab 12_Berekening parameters</vt:lpstr>
      <vt:lpstr>Tab 13_Wettelijke formule</vt:lpstr>
      <vt:lpstr>Tab 14_Budget systeemtaken</vt:lpstr>
      <vt:lpstr>Tab 15_Nacalculatie IKE&amp;V</vt:lpstr>
      <vt:lpstr>Tab 16_Prognoses IKTNN</vt:lpstr>
      <vt:lpstr>Tab 17_Correcties OA&amp;M en IKTNN</vt:lpstr>
      <vt:lpstr>Tab 18_Overige correcties</vt:lpstr>
      <vt:lpstr>Tab 19_Omzetcorrectie</vt:lpstr>
      <vt:lpstr>Tab 20_ Inzet veilinggelden</vt:lpstr>
      <vt:lpstr>Tab 21_Controle rekenvolumina</vt:lpstr>
      <vt:lpstr>Tab 22_Controle tarieven</vt:lpstr>
      <vt:lpstr>'Tab 12_Berekening parameters'!Afdrukbereik</vt:lpstr>
      <vt:lpstr>'Tab 21_Controle rekenvolumina'!Afdrukbereik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Autoriteit Consument &amp; Markt</dc:creator>
  <cp:lastModifiedBy>Peek, Roy</cp:lastModifiedBy>
  <cp:lastPrinted>2018-08-30T08:18:37Z</cp:lastPrinted>
  <dcterms:created xsi:type="dcterms:W3CDTF">2017-12-20T09:39:51Z</dcterms:created>
  <dcterms:modified xsi:type="dcterms:W3CDTF">2020-10-01T09:58:24Z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0x01010049E878650FBD2D4392CD8EF4C647E9D5</vt:lpwstr>
  </property>
</Properties>
</file>