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660" yWindow="-75" windowWidth="20610" windowHeight="6420" tabRatio="805"/>
  </bookViews>
  <sheets>
    <sheet name="Toelichting" sheetId="12" r:id="rId1"/>
    <sheet name="Input operationele kosten" sheetId="14" r:id="rId2"/>
    <sheet name="Overige opbrengsten" sheetId="15" r:id="rId3"/>
    <sheet name="GAW IMPORT" sheetId="6" r:id="rId4"/>
    <sheet name="Besparingen Marktmodel" sheetId="16" r:id="rId5"/>
    <sheet name="Aanpassingen IT n.a.v. FNOP&amp;HS" sheetId="21" r:id="rId6"/>
    <sheet name="Berekening netto-OPEX" sheetId="3" r:id="rId7"/>
    <sheet name="Berekening Kapitaalkosten" sheetId="8" r:id="rId8"/>
    <sheet name="Berekening ORV Lokale Heffingen" sheetId="18" r:id="rId9"/>
    <sheet name="Totale kosten" sheetId="5" r:id="rId10"/>
    <sheet name="CPI" sheetId="25" r:id="rId11"/>
  </sheets>
  <definedNames>
    <definedName name="_7A.A.10">'Overige opbrengsten'!$J$16</definedName>
    <definedName name="_7A.A.11">'Overige opbrengsten'!$J$17</definedName>
    <definedName name="_7A.A.6">'Overige opbrengsten'!$J$12</definedName>
    <definedName name="_7A.A.7">'Overige opbrengsten'!$J$13</definedName>
    <definedName name="_7A.A.9">'Overige opbrengsten'!$J$15</definedName>
    <definedName name="cogas_2012_Total_Cost_Ex_1">'Totale kosten'!$L$11</definedName>
    <definedName name="cogas_2012_Total_Cost_Ex_2">'Totale kosten'!$L$12</definedName>
    <definedName name="cogas_2013_Total_Cost_Ex_1">'Totale kosten'!$L$20</definedName>
    <definedName name="cogas_2013_Total_Cost_Ex_2">'Totale kosten'!$L$21</definedName>
    <definedName name="cogas_2013_Total_Cost_Ex_3">'Totale kosten'!$L$22</definedName>
    <definedName name="cogas_2013_Total_Cost_Ex_4">'Totale kosten'!$L$23</definedName>
    <definedName name="cogas_2013_Total_Cost_Ex_5">'Totale kosten'!$L$25</definedName>
    <definedName name="cogas_2013_Total_Cost_Ex_6">'Totale kosten'!$L$26</definedName>
    <definedName name="cogas_2013_Total_Cost_Ex_7">'Totale kosten'!$L$30</definedName>
    <definedName name="cogas_2013_Total_Cost_Ex_8">'Totale kosten'!$L$31</definedName>
    <definedName name="cogas_2013_Total_Cost_Ex_9">'Totale kosten'!$L$32</definedName>
    <definedName name="cogas_2014_2B.E.tot">'Overige opbrengsten'!$L$174</definedName>
    <definedName name="cogas_2014_3A.A.1">'Input operationele kosten'!$L$61</definedName>
    <definedName name="cogas_2014_3A.A.10">'Input operationele kosten'!$L$76</definedName>
    <definedName name="cogas_2014_3A.A.11">'Input operationele kosten'!$L$77</definedName>
    <definedName name="cogas_2014_3A.A.12">'Input operationele kosten'!$L$78</definedName>
    <definedName name="cogas_2014_3A.A.13">'Input operationele kosten'!$L$79</definedName>
    <definedName name="cogas_2014_3A.A.15">'Input operationele kosten'!$L$68</definedName>
    <definedName name="cogas_2014_3A.A.2">'Input operationele kosten'!$L$62</definedName>
    <definedName name="cogas_2014_3A.A.3">'Input operationele kosten'!$L$63</definedName>
    <definedName name="cogas_2014_3A.A.4">'Input operationele kosten'!$L$64</definedName>
    <definedName name="cogas_2014_3A.A.5">'Input operationele kosten'!$L$67</definedName>
    <definedName name="cogas_2014_3A.A.6">'Input operationele kosten'!$L$69</definedName>
    <definedName name="cogas_2014_3A.A.7">'Input operationele kosten'!$L$72</definedName>
    <definedName name="cogas_2014_3A.A.8">'Input operationele kosten'!$L$73</definedName>
    <definedName name="cogas_2014_7A.A.21">'Overige opbrengsten'!$L$124</definedName>
    <definedName name="cogas_2014_7A.A.22">'Overige opbrengsten'!$L$125</definedName>
    <definedName name="cogas_2014_7A.A.23">'Overige opbrengsten'!$L$126</definedName>
    <definedName name="cogas_2014_7A.A.24">'Overige opbrengsten'!$L$127</definedName>
    <definedName name="cogas_2014_7A.A.25">'Overige opbrengsten'!$L$128</definedName>
    <definedName name="cogas_2014_7A.A.26">'Overige opbrengsten'!$L$129</definedName>
    <definedName name="cogas_2014_7A.A.27">'Overige opbrengsten'!$L$130</definedName>
    <definedName name="cogas_2014_7A.A.28">'Overige opbrengsten'!$L$131</definedName>
    <definedName name="cogas_2014_7A.A.29">'Overige opbrengsten'!$L$132</definedName>
    <definedName name="cogas_2014_7A.A.30">'Overige opbrengsten'!$L$133</definedName>
    <definedName name="cogas_2014_7A.A.31">'Overige opbrengsten'!$L$134</definedName>
    <definedName name="cogas_2014_7A.A.41">'Overige opbrengsten'!$L$140</definedName>
    <definedName name="cogas_2014_7A.A.42">'Overige opbrengsten'!$L$141</definedName>
    <definedName name="cogas_2014_7A.A.43">'Overige opbrengsten'!$L$142</definedName>
    <definedName name="cogas_2014_7A.A.44">'Overige opbrengsten'!$L$143</definedName>
    <definedName name="cogas_2014_7A.A.45">'Overige opbrengsten'!$L$144</definedName>
    <definedName name="cogas_2014_7A.A.46">'Overige opbrengsten'!$L$145</definedName>
    <definedName name="cogas_2014_7A.A.47">'Overige opbrengsten'!$L$146</definedName>
    <definedName name="cogas_2014_7A.A.48">'Overige opbrengsten'!$L$147</definedName>
    <definedName name="cogas_2014_7A.A.49">'Overige opbrengsten'!$L$148</definedName>
    <definedName name="cogas_2014_7A.A.50">'Overige opbrengsten'!$L$149</definedName>
    <definedName name="cogas_2014_7A.A.51">'Overige opbrengsten'!$L$150</definedName>
    <definedName name="cogas_2014_7A.B.21">'Overige opbrengsten'!$L$156</definedName>
    <definedName name="cogas_2014_7A.B.22">'Overige opbrengsten'!$L$157</definedName>
    <definedName name="cogas_2014_7A.B.23">'Overige opbrengsten'!$L$158</definedName>
    <definedName name="cogas_2014_7A.B.24">'Overige opbrengsten'!$L$159</definedName>
    <definedName name="cogas_2014_7A.B.25">'Overige opbrengsten'!$L$160</definedName>
    <definedName name="cogas_2014_7A.B.26">'Overige opbrengsten'!$L$161</definedName>
    <definedName name="cogas_2014_7A.B.27">'Overige opbrengsten'!$L$162</definedName>
    <definedName name="cogas_2014_7A.B.28">'Overige opbrengsten'!$L$163</definedName>
    <definedName name="cogas_2014_7A.B.29">'Overige opbrengsten'!$L$164</definedName>
    <definedName name="COGAS_2014_OO_LOG">#REF!</definedName>
    <definedName name="COGAS_2014_OPEX_LOG">#REF!</definedName>
    <definedName name="cogas_2014_Total_Cost_Ex_1">'Totale kosten'!$L$40</definedName>
    <definedName name="cogas_2014_Total_Cost_Ex_10">'Totale kosten'!$L$55</definedName>
    <definedName name="cogas_2014_Total_Cost_Ex_2">'Totale kosten'!$L$41</definedName>
    <definedName name="cogas_2014_Total_Cost_Ex_3">'Totale kosten'!$L$42</definedName>
    <definedName name="cogas_2014_Total_Cost_Ex_4">'Totale kosten'!$L$43</definedName>
    <definedName name="cogas_2014_Total_Cost_Ex_5">'Totale kosten'!$L$45</definedName>
    <definedName name="cogas_2014_Total_Cost_Ex_6">'Totale kosten'!$L$46</definedName>
    <definedName name="cogas_2014_Total_Cost_Ex_7">'Totale kosten'!$L$50</definedName>
    <definedName name="cogas_2014_Total_Cost_Ex_8">'Totale kosten'!$L$51</definedName>
    <definedName name="cogas_2014_Total_Cost_Ex_9">'Totale kosten'!$L$54</definedName>
    <definedName name="cogas_2015_2B.E.tot">'Overige opbrengsten'!$L$230</definedName>
    <definedName name="cogas_2015_3A.A.1">'Input operationele kosten'!$L$87</definedName>
    <definedName name="cogas_2015_3A.A.10">'Input operationele kosten'!$L$102</definedName>
    <definedName name="cogas_2015_3A.A.11">'Input operationele kosten'!$L$103</definedName>
    <definedName name="cogas_2015_3A.A.12">'Input operationele kosten'!$L$104</definedName>
    <definedName name="cogas_2015_3A.A.13">'Input operationele kosten'!$L$105</definedName>
    <definedName name="cogas_2015_3A.A.15">'Input operationele kosten'!$L$94</definedName>
    <definedName name="cogas_2015_3A.A.2">'Input operationele kosten'!$L$88</definedName>
    <definedName name="cogas_2015_3A.A.3">'Input operationele kosten'!$L$89</definedName>
    <definedName name="cogas_2015_3A.A.4">'Input operationele kosten'!$L$90</definedName>
    <definedName name="cogas_2015_3A.A.5">'Input operationele kosten'!$L$93</definedName>
    <definedName name="cogas_2015_3A.A.6">'Input operationele kosten'!$L$95</definedName>
    <definedName name="cogas_2015_3A.A.7">'Input operationele kosten'!$L$98</definedName>
    <definedName name="cogas_2015_3A.A.8">'Input operationele kosten'!$L$99</definedName>
    <definedName name="cogas_2015_7A.A.21">'Overige opbrengsten'!$L$180</definedName>
    <definedName name="cogas_2015_7A.A.22">'Overige opbrengsten'!$L$181</definedName>
    <definedName name="cogas_2015_7A.A.23">'Overige opbrengsten'!$L$182</definedName>
    <definedName name="cogas_2015_7A.A.24">'Overige opbrengsten'!$L$183</definedName>
    <definedName name="cogas_2015_7A.A.25">'Overige opbrengsten'!$L$184</definedName>
    <definedName name="cogas_2015_7A.A.26">'Overige opbrengsten'!$L$185</definedName>
    <definedName name="cogas_2015_7A.A.27">'Overige opbrengsten'!$L$186</definedName>
    <definedName name="cogas_2015_7A.A.28">'Overige opbrengsten'!$L$187</definedName>
    <definedName name="cogas_2015_7A.A.29">'Overige opbrengsten'!$L$188</definedName>
    <definedName name="cogas_2015_7A.A.30">'Overige opbrengsten'!$L$189</definedName>
    <definedName name="cogas_2015_7A.A.31">'Overige opbrengsten'!$L$190</definedName>
    <definedName name="cogas_2015_7A.A.41">'Overige opbrengsten'!$L$196</definedName>
    <definedName name="cogas_2015_7A.A.42">'Overige opbrengsten'!$L$197</definedName>
    <definedName name="cogas_2015_7A.A.43">'Overige opbrengsten'!$L$198</definedName>
    <definedName name="cogas_2015_7A.A.44">'Overige opbrengsten'!$L$199</definedName>
    <definedName name="cogas_2015_7A.A.45">'Overige opbrengsten'!$L$200</definedName>
    <definedName name="cogas_2015_7A.A.46">'Overige opbrengsten'!$L$201</definedName>
    <definedName name="cogas_2015_7A.A.47">'Overige opbrengsten'!$L$202</definedName>
    <definedName name="cogas_2015_7A.A.48">'Overige opbrengsten'!$L$203</definedName>
    <definedName name="cogas_2015_7A.A.49">'Overige opbrengsten'!$L$204</definedName>
    <definedName name="cogas_2015_7A.A.50">'Overige opbrengsten'!$L$205</definedName>
    <definedName name="cogas_2015_7A.A.51">'Overige opbrengsten'!$L$206</definedName>
    <definedName name="cogas_2015_7A.B.21">'Overige opbrengsten'!$L$212</definedName>
    <definedName name="cogas_2015_7A.B.22">'Overige opbrengsten'!$L$213</definedName>
    <definedName name="cogas_2015_7A.B.23">'Overige opbrengsten'!$L$214</definedName>
    <definedName name="cogas_2015_7A.B.24">'Overige opbrengsten'!$L$215</definedName>
    <definedName name="cogas_2015_7A.B.25">'Overige opbrengsten'!$L$216</definedName>
    <definedName name="cogas_2015_7A.B.26">'Overige opbrengsten'!$L$217</definedName>
    <definedName name="cogas_2015_7A.B.27">'Overige opbrengsten'!$L$218</definedName>
    <definedName name="cogas_2015_7A.B.28">'Overige opbrengsten'!$L$219</definedName>
    <definedName name="cogas_2015_7A.B.29">'Overige opbrengsten'!$L$220</definedName>
    <definedName name="COGAS_2015_OO_LOG">#REF!</definedName>
    <definedName name="COGAS_2015_OPEX_LOG">#REF!</definedName>
    <definedName name="cogas_2015_Total_Cost_Ex_1">'Totale kosten'!$L$63</definedName>
    <definedName name="cogas_2015_Total_Cost_Ex_2">'Totale kosten'!$L$64</definedName>
    <definedName name="cogas_2015_Total_Cost_Ex_3">'Totale kosten'!$L$65</definedName>
    <definedName name="cogas_2015_Total_Cost_Ex_4">'Totale kosten'!$L$66</definedName>
    <definedName name="cogas_2015_Total_Cost_Ex_5">'Totale kosten'!$L$68</definedName>
    <definedName name="cogas_2015_Total_Cost_Ex_6">'Totale kosten'!$L$69</definedName>
    <definedName name="cogas_2015_Total_Cost_Ex_7">'Totale kosten'!$L$73</definedName>
    <definedName name="cogas_2015_Total_Cost_Ex_8">'Totale kosten'!$L$74</definedName>
    <definedName name="COGAS_214_OPEX_LOG">#REF!</definedName>
    <definedName name="DATUMIMPORT_OO_2014_LOG">#REF!</definedName>
    <definedName name="DATUMIMPORT_OO_2015_LOG">#REF!</definedName>
    <definedName name="DATUMIMPORT_OPEX_2014_LOG">#REF!</definedName>
    <definedName name="DATUMIMPORT_OPEX_2015_LOG">#REF!</definedName>
    <definedName name="endinet_2014_2B.E.tot">'Overige opbrengsten'!$S$174</definedName>
    <definedName name="endinet_2014_3A.A.1">'Input operationele kosten'!$S$61</definedName>
    <definedName name="endinet_2014_3A.A.10">'Input operationele kosten'!$S$76</definedName>
    <definedName name="endinet_2014_3A.A.11">'Input operationele kosten'!$S$77</definedName>
    <definedName name="endinet_2014_3A.A.12">'Input operationele kosten'!$S$78</definedName>
    <definedName name="endinet_2014_3A.A.13">'Input operationele kosten'!$S$79</definedName>
    <definedName name="endinet_2014_3A.A.15">'Input operationele kosten'!$S$68</definedName>
    <definedName name="endinet_2014_3A.A.2">'Input operationele kosten'!$S$62</definedName>
    <definedName name="endinet_2014_3A.A.3">'Input operationele kosten'!$S$63</definedName>
    <definedName name="endinet_2014_3A.A.4">'Input operationele kosten'!$S$64</definedName>
    <definedName name="endinet_2014_3A.A.5">'Input operationele kosten'!$S$67</definedName>
    <definedName name="endinet_2014_3A.A.6">'Input operationele kosten'!$S$69</definedName>
    <definedName name="endinet_2014_3A.A.7">'Input operationele kosten'!$S$72</definedName>
    <definedName name="endinet_2014_3A.A.8">'Input operationele kosten'!$S$73</definedName>
    <definedName name="endinet_2014_7A.A.21">'Overige opbrengsten'!$S$124</definedName>
    <definedName name="endinet_2014_7A.A.22">'Overige opbrengsten'!$S$125</definedName>
    <definedName name="endinet_2014_7A.A.23">'Overige opbrengsten'!$S$126</definedName>
    <definedName name="endinet_2014_7A.A.24">'Overige opbrengsten'!$S$127</definedName>
    <definedName name="endinet_2014_7A.A.25">'Overige opbrengsten'!$S$128</definedName>
    <definedName name="endinet_2014_7A.A.26">'Overige opbrengsten'!$S$129</definedName>
    <definedName name="endinet_2014_7A.A.27">'Overige opbrengsten'!$S$130</definedName>
    <definedName name="endinet_2014_7A.A.28">'Overige opbrengsten'!$S$131</definedName>
    <definedName name="endinet_2014_7A.A.29">'Overige opbrengsten'!$S$132</definedName>
    <definedName name="endinet_2014_7A.A.30">'Overige opbrengsten'!$S$133</definedName>
    <definedName name="endinet_2014_7A.A.31">'Overige opbrengsten'!$S$134</definedName>
    <definedName name="endinet_2014_7A.A.41">'Overige opbrengsten'!$S$140</definedName>
    <definedName name="endinet_2014_7A.A.42">'Overige opbrengsten'!$S$141</definedName>
    <definedName name="endinet_2014_7A.A.43">'Overige opbrengsten'!$S$142</definedName>
    <definedName name="endinet_2014_7A.A.44">'Overige opbrengsten'!$S$143</definedName>
    <definedName name="endinet_2014_7A.A.45">'Overige opbrengsten'!$S$144</definedName>
    <definedName name="endinet_2014_7A.A.46">'Overige opbrengsten'!$S$145</definedName>
    <definedName name="endinet_2014_7A.A.47">'Overige opbrengsten'!$S$146</definedName>
    <definedName name="endinet_2014_7A.A.48">'Overige opbrengsten'!$S$147</definedName>
    <definedName name="endinet_2014_7A.A.49">'Overige opbrengsten'!$S$148</definedName>
    <definedName name="endinet_2014_7A.A.50">'Overige opbrengsten'!$S$149</definedName>
    <definedName name="endinet_2014_7A.A.51">'Overige opbrengsten'!$S$150</definedName>
    <definedName name="endinet_2014_7A.B.21">'Overige opbrengsten'!$S$156</definedName>
    <definedName name="endinet_2014_7A.B.22">'Overige opbrengsten'!$S$157</definedName>
    <definedName name="endinet_2014_7A.B.23">'Overige opbrengsten'!$S$158</definedName>
    <definedName name="endinet_2014_7A.B.24">'Overige opbrengsten'!$S$159</definedName>
    <definedName name="endinet_2014_7A.B.25">'Overige opbrengsten'!$S$160</definedName>
    <definedName name="endinet_2014_7A.B.26">'Overige opbrengsten'!$S$161</definedName>
    <definedName name="endinet_2014_7A.B.27">'Overige opbrengsten'!$S$162</definedName>
    <definedName name="endinet_2014_7A.B.28">'Overige opbrengsten'!$S$163</definedName>
    <definedName name="endinet_2014_7A.B.29">'Overige opbrengsten'!$S$164</definedName>
    <definedName name="ENDINET_2014_OO_LOG">#REF!</definedName>
    <definedName name="ENDINET_2014_OPEX_LOG">#REF!</definedName>
    <definedName name="endinet_2015_2B.E.tot">'Overige opbrengsten'!$S$230</definedName>
    <definedName name="endinet_2015_3A.A.1">'Input operationele kosten'!$S$87</definedName>
    <definedName name="endinet_2015_3A.A.10">'Input operationele kosten'!$S$102</definedName>
    <definedName name="endinet_2015_3A.A.11">'Input operationele kosten'!$S$103</definedName>
    <definedName name="endinet_2015_3A.A.12">'Input operationele kosten'!$S$104</definedName>
    <definedName name="endinet_2015_3A.A.13">'Input operationele kosten'!$S$105</definedName>
    <definedName name="endinet_2015_3A.A.15">'Input operationele kosten'!$S$94</definedName>
    <definedName name="endinet_2015_3A.A.2">'Input operationele kosten'!$S$88</definedName>
    <definedName name="endinet_2015_3A.A.3">'Input operationele kosten'!$S$89</definedName>
    <definedName name="endinet_2015_3A.A.4">'Input operationele kosten'!$S$90</definedName>
    <definedName name="endinet_2015_3A.A.5">'Input operationele kosten'!$S$93</definedName>
    <definedName name="endinet_2015_3A.A.6">'Input operationele kosten'!$S$95</definedName>
    <definedName name="endinet_2015_3A.A.7">'Input operationele kosten'!$S$98</definedName>
    <definedName name="endinet_2015_3A.A.8">'Input operationele kosten'!$S$99</definedName>
    <definedName name="endinet_2015_7A.A.21">'Overige opbrengsten'!$S$180</definedName>
    <definedName name="endinet_2015_7A.A.22">'Overige opbrengsten'!$S$181</definedName>
    <definedName name="endinet_2015_7A.A.23">'Overige opbrengsten'!$S$182</definedName>
    <definedName name="endinet_2015_7A.A.24">'Overige opbrengsten'!$S$183</definedName>
    <definedName name="endinet_2015_7A.A.25">'Overige opbrengsten'!$S$184</definedName>
    <definedName name="endinet_2015_7A.A.26">'Overige opbrengsten'!$S$185</definedName>
    <definedName name="endinet_2015_7A.A.27">'Overige opbrengsten'!$S$186</definedName>
    <definedName name="endinet_2015_7A.A.28">'Overige opbrengsten'!$S$187</definedName>
    <definedName name="endinet_2015_7A.A.29">'Overige opbrengsten'!$S$188</definedName>
    <definedName name="endinet_2015_7A.A.30">'Overige opbrengsten'!$S$189</definedName>
    <definedName name="endinet_2015_7A.A.31">'Overige opbrengsten'!$S$190</definedName>
    <definedName name="endinet_2015_7A.A.41">'Overige opbrengsten'!$S$196</definedName>
    <definedName name="endinet_2015_7A.A.42">'Overige opbrengsten'!$S$197</definedName>
    <definedName name="endinet_2015_7A.A.43">'Overige opbrengsten'!$S$198</definedName>
    <definedName name="endinet_2015_7A.A.44">'Overige opbrengsten'!$S$199</definedName>
    <definedName name="endinet_2015_7A.A.45">'Overige opbrengsten'!$S$200</definedName>
    <definedName name="endinet_2015_7A.A.46">'Overige opbrengsten'!$S$201</definedName>
    <definedName name="endinet_2015_7A.A.47">'Overige opbrengsten'!$S$202</definedName>
    <definedName name="endinet_2015_7A.A.48">'Overige opbrengsten'!$S$203</definedName>
    <definedName name="endinet_2015_7A.A.49">'Overige opbrengsten'!$S$204</definedName>
    <definedName name="endinet_2015_7A.A.50">'Overige opbrengsten'!$S$205</definedName>
    <definedName name="endinet_2015_7A.A.51">'Overige opbrengsten'!$S$206</definedName>
    <definedName name="endinet_2015_7A.B.21">'Overige opbrengsten'!$S$212</definedName>
    <definedName name="endinet_2015_7A.B.22">'Overige opbrengsten'!$S$213</definedName>
    <definedName name="endinet_2015_7A.B.23">'Overige opbrengsten'!$S$214</definedName>
    <definedName name="endinet_2015_7A.B.24">'Overige opbrengsten'!$S$215</definedName>
    <definedName name="endinet_2015_7A.B.25">'Overige opbrengsten'!$S$216</definedName>
    <definedName name="endinet_2015_7A.B.26">'Overige opbrengsten'!$S$217</definedName>
    <definedName name="endinet_2015_7A.B.27">'Overige opbrengsten'!$S$218</definedName>
    <definedName name="endinet_2015_7A.B.28">'Overige opbrengsten'!$S$219</definedName>
    <definedName name="endinet_2015_7A.B.29">'Overige opbrengsten'!$S$220</definedName>
    <definedName name="ENDINET_2015_OO_LOG">#REF!</definedName>
    <definedName name="ENDINET_2015_OPEX_LOG">#REF!</definedName>
    <definedName name="enduris_2012_Total_Cost_Ex_1">'Totale kosten'!$M$11</definedName>
    <definedName name="enduris_2012_Total_Cost_Ex_2">'Totale kosten'!$M$12</definedName>
    <definedName name="enduris_2013_Total_Cost_Ex_1">'Totale kosten'!$M$20</definedName>
    <definedName name="enduris_2013_Total_Cost_Ex_2">'Totale kosten'!$M$21</definedName>
    <definedName name="enduris_2013_Total_Cost_Ex_3">'Totale kosten'!$M$22</definedName>
    <definedName name="enduris_2013_Total_Cost_Ex_4">'Totale kosten'!$M$23</definedName>
    <definedName name="enduris_2013_Total_Cost_Ex_5">'Totale kosten'!$M$25</definedName>
    <definedName name="enduris_2013_Total_Cost_Ex_6">'Totale kosten'!$M$26</definedName>
    <definedName name="enduris_2013_Total_Cost_Ex_7">'Totale kosten'!$M$30</definedName>
    <definedName name="enduris_2013_Total_Cost_Ex_8">'Totale kosten'!$M$31</definedName>
    <definedName name="enduris_2013_Total_Cost_Ex_9">'Totale kosten'!$M$32</definedName>
    <definedName name="enduris_2014_2B.E.tot">'Overige opbrengsten'!$M$174</definedName>
    <definedName name="enduris_2014_3A.A.1">'Input operationele kosten'!$M$61</definedName>
    <definedName name="enduris_2014_3A.A.10">'Input operationele kosten'!$M$76</definedName>
    <definedName name="enduris_2014_3A.A.11">'Input operationele kosten'!$M$77</definedName>
    <definedName name="enduris_2014_3A.A.12">'Input operationele kosten'!$M$78</definedName>
    <definedName name="enduris_2014_3A.A.13">'Input operationele kosten'!$M$79</definedName>
    <definedName name="enduris_2014_3A.A.15">'Input operationele kosten'!$M$68</definedName>
    <definedName name="enduris_2014_3A.A.2">'Input operationele kosten'!$M$62</definedName>
    <definedName name="enduris_2014_3A.A.3">'Input operationele kosten'!$M$63</definedName>
    <definedName name="enduris_2014_3A.A.4">'Input operationele kosten'!$M$64</definedName>
    <definedName name="enduris_2014_3A.A.5">'Input operationele kosten'!$M$67</definedName>
    <definedName name="enduris_2014_3A.A.6">'Input operationele kosten'!$M$69</definedName>
    <definedName name="enduris_2014_3A.A.7">'Input operationele kosten'!$M$72</definedName>
    <definedName name="enduris_2014_3A.A.8">'Input operationele kosten'!$M$73</definedName>
    <definedName name="enduris_2014_7A.A.21">'Overige opbrengsten'!$M$124</definedName>
    <definedName name="enduris_2014_7A.A.22">'Overige opbrengsten'!$M$125</definedName>
    <definedName name="enduris_2014_7A.A.23">'Overige opbrengsten'!$M$126</definedName>
    <definedName name="enduris_2014_7A.A.24">'Overige opbrengsten'!$M$127</definedName>
    <definedName name="enduris_2014_7A.A.25">'Overige opbrengsten'!$M$128</definedName>
    <definedName name="enduris_2014_7A.A.26">'Overige opbrengsten'!$M$129</definedName>
    <definedName name="enduris_2014_7A.A.27">'Overige opbrengsten'!$M$130</definedName>
    <definedName name="enduris_2014_7A.A.28">'Overige opbrengsten'!$M$131</definedName>
    <definedName name="enduris_2014_7A.A.29">'Overige opbrengsten'!$M$132</definedName>
    <definedName name="enduris_2014_7A.A.30">'Overige opbrengsten'!$M$133</definedName>
    <definedName name="enduris_2014_7A.A.31">'Overige opbrengsten'!$M$134</definedName>
    <definedName name="enduris_2014_7A.A.41">'Overige opbrengsten'!$M$140</definedName>
    <definedName name="enduris_2014_7A.A.42">'Overige opbrengsten'!$M$141</definedName>
    <definedName name="enduris_2014_7A.A.43">'Overige opbrengsten'!$M$142</definedName>
    <definedName name="enduris_2014_7A.A.44">'Overige opbrengsten'!$M$143</definedName>
    <definedName name="enduris_2014_7A.A.45">'Overige opbrengsten'!$M$144</definedName>
    <definedName name="enduris_2014_7A.A.46">'Overige opbrengsten'!$M$145</definedName>
    <definedName name="enduris_2014_7A.A.47">'Overige opbrengsten'!$M$146</definedName>
    <definedName name="enduris_2014_7A.A.48">'Overige opbrengsten'!$M$147</definedName>
    <definedName name="enduris_2014_7A.A.49">'Overige opbrengsten'!$M$148</definedName>
    <definedName name="enduris_2014_7A.A.50">'Overige opbrengsten'!$M$149</definedName>
    <definedName name="enduris_2014_7A.A.51">'Overige opbrengsten'!$M$150</definedName>
    <definedName name="enduris_2014_7A.B.21">'Overige opbrengsten'!$M$156</definedName>
    <definedName name="enduris_2014_7A.B.22">'Overige opbrengsten'!$M$157</definedName>
    <definedName name="enduris_2014_7A.B.23">'Overige opbrengsten'!$M$158</definedName>
    <definedName name="enduris_2014_7A.B.24">'Overige opbrengsten'!$M$159</definedName>
    <definedName name="enduris_2014_7A.B.25">'Overige opbrengsten'!$M$160</definedName>
    <definedName name="enduris_2014_7A.B.26">'Overige opbrengsten'!$M$161</definedName>
    <definedName name="enduris_2014_7A.B.27">'Overige opbrengsten'!$M$162</definedName>
    <definedName name="enduris_2014_7A.B.28">'Overige opbrengsten'!$M$163</definedName>
    <definedName name="enduris_2014_7A.B.29">'Overige opbrengsten'!$M$164</definedName>
    <definedName name="ENDURIS_2014_OO_LOG">#REF!</definedName>
    <definedName name="ENDURIS_2014_OPEX_LOG">#REF!</definedName>
    <definedName name="enduris_2014_Total_Cost_Ex_1">'Totale kosten'!$M$40</definedName>
    <definedName name="enduris_2014_Total_Cost_Ex_10">'Totale kosten'!$M$55</definedName>
    <definedName name="enduris_2014_Total_Cost_Ex_2">'Totale kosten'!$M$41</definedName>
    <definedName name="enduris_2014_Total_Cost_Ex_3">'Totale kosten'!$M$42</definedName>
    <definedName name="enduris_2014_Total_Cost_Ex_4">'Totale kosten'!$M$43</definedName>
    <definedName name="enduris_2014_Total_Cost_Ex_5">'Totale kosten'!$M$45</definedName>
    <definedName name="enduris_2014_Total_Cost_Ex_6">'Totale kosten'!$M$46</definedName>
    <definedName name="enduris_2014_Total_Cost_Ex_7">'Totale kosten'!$M$50</definedName>
    <definedName name="enduris_2014_Total_Cost_Ex_8">'Totale kosten'!$M$51</definedName>
    <definedName name="enduris_2014_Total_Cost_Ex_9">'Totale kosten'!$M$54</definedName>
    <definedName name="enduris_2015_2B.E.tot">'Overige opbrengsten'!$M$230</definedName>
    <definedName name="enduris_2015_3A.A.1">'Input operationele kosten'!$M$87</definedName>
    <definedName name="enduris_2015_3A.A.10">'Input operationele kosten'!$M$102</definedName>
    <definedName name="enduris_2015_3A.A.11">'Input operationele kosten'!$M$103</definedName>
    <definedName name="enduris_2015_3A.A.12">'Input operationele kosten'!$M$104</definedName>
    <definedName name="enduris_2015_3A.A.13">'Input operationele kosten'!$M$105</definedName>
    <definedName name="enduris_2015_3A.A.15">'Input operationele kosten'!$M$94</definedName>
    <definedName name="enduris_2015_3A.A.2">'Input operationele kosten'!$M$88</definedName>
    <definedName name="enduris_2015_3A.A.3">'Input operationele kosten'!$M$89</definedName>
    <definedName name="enduris_2015_3A.A.4">'Input operationele kosten'!$M$90</definedName>
    <definedName name="enduris_2015_3A.A.5">'Input operationele kosten'!$M$93</definedName>
    <definedName name="enduris_2015_3A.A.6">'Input operationele kosten'!$M$95</definedName>
    <definedName name="enduris_2015_3A.A.7">'Input operationele kosten'!$M$98</definedName>
    <definedName name="enduris_2015_3A.A.8">'Input operationele kosten'!$M$99</definedName>
    <definedName name="enduris_2015_7A.A.21">'Overige opbrengsten'!$M$180</definedName>
    <definedName name="enduris_2015_7A.A.22">'Overige opbrengsten'!$M$181</definedName>
    <definedName name="enduris_2015_7A.A.23">'Overige opbrengsten'!$M$182</definedName>
    <definedName name="enduris_2015_7A.A.24">'Overige opbrengsten'!$M$183</definedName>
    <definedName name="enduris_2015_7A.A.25">'Overige opbrengsten'!$M$184</definedName>
    <definedName name="enduris_2015_7A.A.26">'Overige opbrengsten'!$M$185</definedName>
    <definedName name="enduris_2015_7A.A.27">'Overige opbrengsten'!$M$186</definedName>
    <definedName name="enduris_2015_7A.A.28">'Overige opbrengsten'!$M$187</definedName>
    <definedName name="enduris_2015_7A.A.29">'Overige opbrengsten'!$M$188</definedName>
    <definedName name="enduris_2015_7A.A.30">'Overige opbrengsten'!$M$189</definedName>
    <definedName name="enduris_2015_7A.A.31">'Overige opbrengsten'!$M$190</definedName>
    <definedName name="enduris_2015_7A.A.41">'Overige opbrengsten'!$M$196</definedName>
    <definedName name="enduris_2015_7A.A.42">'Overige opbrengsten'!$M$197</definedName>
    <definedName name="enduris_2015_7A.A.43">'Overige opbrengsten'!$M$198</definedName>
    <definedName name="enduris_2015_7A.A.44">'Overige opbrengsten'!$M$199</definedName>
    <definedName name="enduris_2015_7A.A.45">'Overige opbrengsten'!$M$200</definedName>
    <definedName name="enduris_2015_7A.A.46">'Overige opbrengsten'!$M$201</definedName>
    <definedName name="enduris_2015_7A.A.47">'Overige opbrengsten'!$M$202</definedName>
    <definedName name="enduris_2015_7A.A.48">'Overige opbrengsten'!$M$203</definedName>
    <definedName name="enduris_2015_7A.A.49">'Overige opbrengsten'!$M$204</definedName>
    <definedName name="enduris_2015_7A.A.50">'Overige opbrengsten'!$M$205</definedName>
    <definedName name="enduris_2015_7A.A.51">'Overige opbrengsten'!$M$206</definedName>
    <definedName name="enduris_2015_7A.B.21">'Overige opbrengsten'!$M$212</definedName>
    <definedName name="enduris_2015_7A.B.22">'Overige opbrengsten'!$M$213</definedName>
    <definedName name="enduris_2015_7A.B.23">'Overige opbrengsten'!$M$214</definedName>
    <definedName name="enduris_2015_7A.B.24">'Overige opbrengsten'!$M$215</definedName>
    <definedName name="enduris_2015_7A.B.25">'Overige opbrengsten'!$M$216</definedName>
    <definedName name="enduris_2015_7A.B.26">'Overige opbrengsten'!$M$217</definedName>
    <definedName name="enduris_2015_7A.B.27">'Overige opbrengsten'!$M$218</definedName>
    <definedName name="enduris_2015_7A.B.28">'Overige opbrengsten'!$M$219</definedName>
    <definedName name="enduris_2015_7A.B.29">'Overige opbrengsten'!$M$220</definedName>
    <definedName name="ENDURIS_2015_OO_LOG">#REF!</definedName>
    <definedName name="ENDURIS_2015_OPEX_LOG">#REF!</definedName>
    <definedName name="enduris_2015_Total_Cost_Ex_1">'Totale kosten'!$M$63</definedName>
    <definedName name="enduris_2015_Total_Cost_Ex_2">'Totale kosten'!$M$64</definedName>
    <definedName name="enduris_2015_Total_Cost_Ex_3">'Totale kosten'!$M$65</definedName>
    <definedName name="enduris_2015_Total_Cost_Ex_4">'Totale kosten'!$M$66</definedName>
    <definedName name="enduris_2015_Total_Cost_Ex_5">'Totale kosten'!$M$68</definedName>
    <definedName name="enduris_2015_Total_Cost_Ex_6">'Totale kosten'!$M$69</definedName>
    <definedName name="enduris_2015_Total_Cost_Ex_7">'Totale kosten'!$M$73</definedName>
    <definedName name="enduris_2015_Total_Cost_Ex_8">'Totale kosten'!$M$74</definedName>
    <definedName name="enexis_2012_Total_Cost_Ex_1">'Totale kosten'!$N$11</definedName>
    <definedName name="enexis_2012_Total_Cost_Ex_2">'Totale kosten'!$N$12</definedName>
    <definedName name="enexis_2013_Total_Cost_Ex_1">'Totale kosten'!$N$20</definedName>
    <definedName name="enexis_2013_Total_Cost_Ex_2">'Totale kosten'!$N$21</definedName>
    <definedName name="enexis_2013_Total_Cost_Ex_3">'Totale kosten'!$N$22</definedName>
    <definedName name="enexis_2013_Total_Cost_Ex_4">'Totale kosten'!$N$23</definedName>
    <definedName name="enexis_2013_Total_Cost_Ex_5">'Totale kosten'!$N$25</definedName>
    <definedName name="enexis_2013_Total_Cost_Ex_6">'Totale kosten'!$N$26</definedName>
    <definedName name="enexis_2013_Total_Cost_Ex_7">'Totale kosten'!$N$30</definedName>
    <definedName name="enexis_2013_Total_Cost_Ex_8">'Totale kosten'!$N$31</definedName>
    <definedName name="enexis_2013_Total_Cost_Ex_9">'Totale kosten'!$N$32</definedName>
    <definedName name="enexis_2014_2B.E.tot">'Overige opbrengsten'!$N$174</definedName>
    <definedName name="enexis_2014_3A.A.1">'Input operationele kosten'!$N$61</definedName>
    <definedName name="enexis_2014_3A.A.10">'Input operationele kosten'!$N$76</definedName>
    <definedName name="enexis_2014_3A.A.11">'Input operationele kosten'!$N$77</definedName>
    <definedName name="enexis_2014_3A.A.12">'Input operationele kosten'!$N$78</definedName>
    <definedName name="enexis_2014_3A.A.13">'Input operationele kosten'!$N$79</definedName>
    <definedName name="enexis_2014_3A.A.15">'Input operationele kosten'!$N$68</definedName>
    <definedName name="enexis_2014_3A.A.2">'Input operationele kosten'!$N$62</definedName>
    <definedName name="enexis_2014_3A.A.3">'Input operationele kosten'!$N$63</definedName>
    <definedName name="enexis_2014_3A.A.4">'Input operationele kosten'!$N$64</definedName>
    <definedName name="enexis_2014_3A.A.5">'Input operationele kosten'!$N$67</definedName>
    <definedName name="enexis_2014_3A.A.6">'Input operationele kosten'!$N$69</definedName>
    <definedName name="enexis_2014_3A.A.7">'Input operationele kosten'!$N$72</definedName>
    <definedName name="enexis_2014_3A.A.8">'Input operationele kosten'!$N$73</definedName>
    <definedName name="enexis_2014_7A.A.21">'Overige opbrengsten'!$N$124</definedName>
    <definedName name="enexis_2014_7A.A.22">'Overige opbrengsten'!$N$125</definedName>
    <definedName name="enexis_2014_7A.A.23">'Overige opbrengsten'!$N$126</definedName>
    <definedName name="enexis_2014_7A.A.24">'Overige opbrengsten'!$N$127</definedName>
    <definedName name="enexis_2014_7A.A.25">'Overige opbrengsten'!$N$128</definedName>
    <definedName name="enexis_2014_7A.A.26">'Overige opbrengsten'!$N$129</definedName>
    <definedName name="enexis_2014_7A.A.27">'Overige opbrengsten'!$N$130</definedName>
    <definedName name="enexis_2014_7A.A.28">'Overige opbrengsten'!$N$131</definedName>
    <definedName name="enexis_2014_7A.A.29">'Overige opbrengsten'!$N$132</definedName>
    <definedName name="enexis_2014_7A.A.30">'Overige opbrengsten'!$N$133</definedName>
    <definedName name="enexis_2014_7A.A.31">'Overige opbrengsten'!$N$134</definedName>
    <definedName name="enexis_2014_7A.A.41">'Overige opbrengsten'!$N$140</definedName>
    <definedName name="enexis_2014_7A.A.42">'Overige opbrengsten'!$N$141</definedName>
    <definedName name="enexis_2014_7A.A.43">'Overige opbrengsten'!$N$142</definedName>
    <definedName name="enexis_2014_7A.A.44">'Overige opbrengsten'!$N$143</definedName>
    <definedName name="enexis_2014_7A.A.45">'Overige opbrengsten'!$N$144</definedName>
    <definedName name="enexis_2014_7A.A.46">'Overige opbrengsten'!$N$145</definedName>
    <definedName name="enexis_2014_7A.A.47">'Overige opbrengsten'!$N$146</definedName>
    <definedName name="enexis_2014_7A.A.48">'Overige opbrengsten'!$N$147</definedName>
    <definedName name="enexis_2014_7A.A.49">'Overige opbrengsten'!$N$148</definedName>
    <definedName name="enexis_2014_7A.A.50">'Overige opbrengsten'!$N$149</definedName>
    <definedName name="enexis_2014_7A.A.51">'Overige opbrengsten'!$N$150</definedName>
    <definedName name="enexis_2014_7A.B.21">'Overige opbrengsten'!$N$156</definedName>
    <definedName name="enexis_2014_7A.B.22">'Overige opbrengsten'!$N$157</definedName>
    <definedName name="enexis_2014_7A.B.23">'Overige opbrengsten'!$N$158</definedName>
    <definedName name="enexis_2014_7A.B.24">'Overige opbrengsten'!$N$159</definedName>
    <definedName name="enexis_2014_7A.B.25">'Overige opbrengsten'!$N$160</definedName>
    <definedName name="enexis_2014_7A.B.26">'Overige opbrengsten'!$N$161</definedName>
    <definedName name="enexis_2014_7A.B.27">'Overige opbrengsten'!$N$162</definedName>
    <definedName name="enexis_2014_7A.B.28">'Overige opbrengsten'!$N$163</definedName>
    <definedName name="enexis_2014_7A.B.29">'Overige opbrengsten'!$N$164</definedName>
    <definedName name="ENEXIS_2014_OO_LOG">#REF!</definedName>
    <definedName name="ENEXIS_2014_OPEX_LOG">#REF!</definedName>
    <definedName name="enexis_2014_Total_Cost_Ex_1">'Totale kosten'!$N$40</definedName>
    <definedName name="enexis_2014_Total_Cost_Ex_10">'Totale kosten'!$N$55</definedName>
    <definedName name="enexis_2014_Total_Cost_Ex_2">'Totale kosten'!$N$41</definedName>
    <definedName name="enexis_2014_Total_Cost_Ex_3">'Totale kosten'!$N$42</definedName>
    <definedName name="enexis_2014_Total_Cost_Ex_4">'Totale kosten'!$N$43</definedName>
    <definedName name="enexis_2014_Total_Cost_Ex_5">'Totale kosten'!$N$45</definedName>
    <definedName name="enexis_2014_Total_Cost_Ex_6">'Totale kosten'!$N$46</definedName>
    <definedName name="enexis_2014_Total_Cost_Ex_7">'Totale kosten'!$N$50</definedName>
    <definedName name="enexis_2014_Total_Cost_Ex_8">'Totale kosten'!$N$51</definedName>
    <definedName name="enexis_2014_Total_Cost_Ex_9">'Totale kosten'!$N$54</definedName>
    <definedName name="enexis_2015_2B.E.tot">'Overige opbrengsten'!$N$230</definedName>
    <definedName name="enexis_2015_3A.A.1">'Input operationele kosten'!$N$87</definedName>
    <definedName name="enexis_2015_3A.A.10">'Input operationele kosten'!$N$102</definedName>
    <definedName name="enexis_2015_3A.A.11">'Input operationele kosten'!$N$103</definedName>
    <definedName name="enexis_2015_3A.A.12">'Input operationele kosten'!$N$104</definedName>
    <definedName name="enexis_2015_3A.A.13">'Input operationele kosten'!$N$105</definedName>
    <definedName name="enexis_2015_3A.A.15">'Input operationele kosten'!$N$94</definedName>
    <definedName name="enexis_2015_3A.A.2">'Input operationele kosten'!$N$88</definedName>
    <definedName name="enexis_2015_3A.A.3">'Input operationele kosten'!$N$89</definedName>
    <definedName name="enexis_2015_3A.A.4">'Input operationele kosten'!$N$90</definedName>
    <definedName name="enexis_2015_3A.A.5">'Input operationele kosten'!$N$93</definedName>
    <definedName name="enexis_2015_3A.A.6">'Input operationele kosten'!$N$95</definedName>
    <definedName name="enexis_2015_3A.A.7">'Input operationele kosten'!$N$98</definedName>
    <definedName name="enexis_2015_3A.A.8">'Input operationele kosten'!$N$99</definedName>
    <definedName name="enexis_2015_7A.A.21">'Overige opbrengsten'!$N$180</definedName>
    <definedName name="enexis_2015_7A.A.22">'Overige opbrengsten'!$N$181</definedName>
    <definedName name="enexis_2015_7A.A.23">'Overige opbrengsten'!$N$182</definedName>
    <definedName name="enexis_2015_7A.A.24">'Overige opbrengsten'!$N$183</definedName>
    <definedName name="enexis_2015_7A.A.25">'Overige opbrengsten'!$N$184</definedName>
    <definedName name="enexis_2015_7A.A.26">'Overige opbrengsten'!$N$185</definedName>
    <definedName name="enexis_2015_7A.A.27">'Overige opbrengsten'!$N$186</definedName>
    <definedName name="enexis_2015_7A.A.28">'Overige opbrengsten'!$N$187</definedName>
    <definedName name="enexis_2015_7A.A.29">'Overige opbrengsten'!$N$188</definedName>
    <definedName name="enexis_2015_7A.A.30">'Overige opbrengsten'!$N$189</definedName>
    <definedName name="enexis_2015_7A.A.31">'Overige opbrengsten'!$N$190</definedName>
    <definedName name="enexis_2015_7A.A.41">'Overige opbrengsten'!$N$196</definedName>
    <definedName name="enexis_2015_7A.A.42">'Overige opbrengsten'!$N$197</definedName>
    <definedName name="enexis_2015_7A.A.43">'Overige opbrengsten'!$N$198</definedName>
    <definedName name="enexis_2015_7A.A.44">'Overige opbrengsten'!$N$199</definedName>
    <definedName name="enexis_2015_7A.A.45">'Overige opbrengsten'!$N$200</definedName>
    <definedName name="enexis_2015_7A.A.46">'Overige opbrengsten'!$N$201</definedName>
    <definedName name="enexis_2015_7A.A.47">'Overige opbrengsten'!$N$202</definedName>
    <definedName name="enexis_2015_7A.A.48">'Overige opbrengsten'!$N$203</definedName>
    <definedName name="enexis_2015_7A.A.49">'Overige opbrengsten'!$N$204</definedName>
    <definedName name="enexis_2015_7A.A.50">'Overige opbrengsten'!$N$205</definedName>
    <definedName name="enexis_2015_7A.A.51">'Overige opbrengsten'!$N$206</definedName>
    <definedName name="enexis_2015_7A.B.21">'Overige opbrengsten'!$N$212</definedName>
    <definedName name="enexis_2015_7A.B.22">'Overige opbrengsten'!$N$213</definedName>
    <definedName name="enexis_2015_7A.B.23">'Overige opbrengsten'!$N$214</definedName>
    <definedName name="enexis_2015_7A.B.24">'Overige opbrengsten'!$N$215</definedName>
    <definedName name="enexis_2015_7A.B.25">'Overige opbrengsten'!$N$216</definedName>
    <definedName name="enexis_2015_7A.B.26">'Overige opbrengsten'!$N$217</definedName>
    <definedName name="enexis_2015_7A.B.27">'Overige opbrengsten'!$N$218</definedName>
    <definedName name="enexis_2015_7A.B.28">'Overige opbrengsten'!$N$219</definedName>
    <definedName name="enexis_2015_7A.B.29">'Overige opbrengsten'!$N$220</definedName>
    <definedName name="ENEXIS_2015_OO_LOG">#REF!</definedName>
    <definedName name="ENEXIS_2015_OPEX_LOG">#REF!</definedName>
    <definedName name="enexis_2015_Total_Cost_Ex_1">'Totale kosten'!$N$63</definedName>
    <definedName name="enexis_2015_Total_Cost_Ex_2">'Totale kosten'!$N$64</definedName>
    <definedName name="enexis_2015_Total_Cost_Ex_3">'Totale kosten'!$N$65</definedName>
    <definedName name="enexis_2015_Total_Cost_Ex_4">'Totale kosten'!$N$66</definedName>
    <definedName name="enexis_2015_Total_Cost_Ex_5">'Totale kosten'!$N$68</definedName>
    <definedName name="enexis_2015_Total_Cost_Ex_6">'Totale kosten'!$N$69</definedName>
    <definedName name="enexis_2015_Total_Cost_Ex_7">'Totale kosten'!$N$73</definedName>
    <definedName name="enexis_2015_Total_Cost_Ex_8">'Totale kosten'!$N$74</definedName>
    <definedName name="liander_2012_Total_Cost_Ex_1">'Totale kosten'!$O$11</definedName>
    <definedName name="liander_2012_Total_Cost_Ex_2">'Totale kosten'!$O$12</definedName>
    <definedName name="liander_2013_Total_Cost_Ex_1">'Totale kosten'!$O$20</definedName>
    <definedName name="liander_2013_Total_Cost_Ex_2">'Totale kosten'!$O$21</definedName>
    <definedName name="liander_2013_Total_Cost_Ex_3">'Totale kosten'!$O$22</definedName>
    <definedName name="liander_2013_Total_Cost_Ex_4">'Totale kosten'!$O$23</definedName>
    <definedName name="liander_2013_Total_Cost_Ex_5">'Totale kosten'!$O$25</definedName>
    <definedName name="liander_2013_Total_Cost_Ex_6">'Totale kosten'!$O$26</definedName>
    <definedName name="liander_2013_Total_Cost_Ex_7">'Totale kosten'!$O$30</definedName>
    <definedName name="liander_2013_Total_Cost_Ex_8">'Totale kosten'!$O$31</definedName>
    <definedName name="liander_2013_Total_Cost_Ex_9">'Totale kosten'!$O$32</definedName>
    <definedName name="liander_2014_2B.E.tot">'Overige opbrengsten'!$O$174</definedName>
    <definedName name="liander_2014_3A.A.1">'Input operationele kosten'!$O$61</definedName>
    <definedName name="liander_2014_3A.A.10">'Input operationele kosten'!$O$76</definedName>
    <definedName name="liander_2014_3A.A.11">'Input operationele kosten'!$O$77</definedName>
    <definedName name="liander_2014_3A.A.12">'Input operationele kosten'!$O$78</definedName>
    <definedName name="liander_2014_3A.A.13">'Input operationele kosten'!$O$79</definedName>
    <definedName name="liander_2014_3A.A.15">'Input operationele kosten'!$O$68</definedName>
    <definedName name="liander_2014_3A.A.2">'Input operationele kosten'!$O$62</definedName>
    <definedName name="liander_2014_3A.A.3">'Input operationele kosten'!$O$63</definedName>
    <definedName name="liander_2014_3A.A.4">'Input operationele kosten'!$O$64</definedName>
    <definedName name="liander_2014_3A.A.5">'Input operationele kosten'!$O$67</definedName>
    <definedName name="liander_2014_3A.A.6">'Input operationele kosten'!$O$69</definedName>
    <definedName name="liander_2014_3A.A.7">'Input operationele kosten'!$O$72</definedName>
    <definedName name="liander_2014_3A.A.8">'Input operationele kosten'!$O$73</definedName>
    <definedName name="liander_2014_7A.A.21">'Overige opbrengsten'!$O$124</definedName>
    <definedName name="liander_2014_7A.A.22">'Overige opbrengsten'!$O$125</definedName>
    <definedName name="liander_2014_7A.A.23">'Overige opbrengsten'!$O$126</definedName>
    <definedName name="liander_2014_7A.A.24">'Overige opbrengsten'!$O$127</definedName>
    <definedName name="liander_2014_7A.A.25">'Overige opbrengsten'!$O$128</definedName>
    <definedName name="liander_2014_7A.A.26">'Overige opbrengsten'!$O$129</definedName>
    <definedName name="liander_2014_7A.A.27">'Overige opbrengsten'!$O$130</definedName>
    <definedName name="liander_2014_7A.A.28">'Overige opbrengsten'!$O$131</definedName>
    <definedName name="liander_2014_7A.A.29">'Overige opbrengsten'!$O$132</definedName>
    <definedName name="liander_2014_7A.A.30">'Overige opbrengsten'!$O$133</definedName>
    <definedName name="liander_2014_7A.A.31">'Overige opbrengsten'!$O$134</definedName>
    <definedName name="liander_2014_7A.A.41">'Overige opbrengsten'!$O$140</definedName>
    <definedName name="liander_2014_7A.A.42">'Overige opbrengsten'!$O$141</definedName>
    <definedName name="liander_2014_7A.A.43">'Overige opbrengsten'!$O$142</definedName>
    <definedName name="liander_2014_7A.A.44">'Overige opbrengsten'!$O$143</definedName>
    <definedName name="liander_2014_7A.A.45">'Overige opbrengsten'!$O$144</definedName>
    <definedName name="liander_2014_7A.A.46">'Overige opbrengsten'!$O$145</definedName>
    <definedName name="liander_2014_7A.A.47">'Overige opbrengsten'!$O$146</definedName>
    <definedName name="liander_2014_7A.A.48">'Overige opbrengsten'!$O$147</definedName>
    <definedName name="liander_2014_7A.A.49">'Overige opbrengsten'!$O$148</definedName>
    <definedName name="liander_2014_7A.A.50">'Overige opbrengsten'!$O$149</definedName>
    <definedName name="liander_2014_7A.A.51">'Overige opbrengsten'!$O$150</definedName>
    <definedName name="liander_2014_7A.B.21">'Overige opbrengsten'!$O$156</definedName>
    <definedName name="liander_2014_7A.B.22">'Overige opbrengsten'!$O$157</definedName>
    <definedName name="liander_2014_7A.B.23">'Overige opbrengsten'!$O$158</definedName>
    <definedName name="liander_2014_7A.B.24">'Overige opbrengsten'!$O$159</definedName>
    <definedName name="liander_2014_7A.B.25">'Overige opbrengsten'!$O$160</definedName>
    <definedName name="liander_2014_7A.B.26">'Overige opbrengsten'!$O$161</definedName>
    <definedName name="liander_2014_7A.B.27">'Overige opbrengsten'!$O$162</definedName>
    <definedName name="liander_2014_7A.B.28">'Overige opbrengsten'!$O$163</definedName>
    <definedName name="liander_2014_7A.B.29">'Overige opbrengsten'!$O$164</definedName>
    <definedName name="LIANDER_2014_OO_LOG">#REF!</definedName>
    <definedName name="LIANDER_2014_OPEX_LOG">#REF!</definedName>
    <definedName name="liander_2014_Total_Cost_Ex_1">'Totale kosten'!$O$40</definedName>
    <definedName name="liander_2014_Total_Cost_Ex_10">'Totale kosten'!$O$55</definedName>
    <definedName name="liander_2014_Total_Cost_Ex_2">'Totale kosten'!$O$41</definedName>
    <definedName name="liander_2014_Total_Cost_Ex_3">'Totale kosten'!$O$42</definedName>
    <definedName name="liander_2014_Total_Cost_Ex_4">'Totale kosten'!$O$43</definedName>
    <definedName name="liander_2014_Total_Cost_Ex_5">'Totale kosten'!$O$45</definedName>
    <definedName name="liander_2014_Total_Cost_Ex_6">'Totale kosten'!$O$46</definedName>
    <definedName name="liander_2014_Total_Cost_Ex_7">'Totale kosten'!$O$50</definedName>
    <definedName name="liander_2014_Total_Cost_Ex_8">'Totale kosten'!$O$51</definedName>
    <definedName name="liander_2014_Total_Cost_Ex_9">'Totale kosten'!$O$54</definedName>
    <definedName name="liander_2015_2B.E.tot">'Overige opbrengsten'!$O$230</definedName>
    <definedName name="liander_2015_3A.A.1">'Input operationele kosten'!$O$87</definedName>
    <definedName name="liander_2015_3A.A.10">'Input operationele kosten'!$O$102</definedName>
    <definedName name="liander_2015_3A.A.11">'Input operationele kosten'!$O$103</definedName>
    <definedName name="liander_2015_3A.A.12">'Input operationele kosten'!$O$104</definedName>
    <definedName name="liander_2015_3A.A.13">'Input operationele kosten'!$O$105</definedName>
    <definedName name="liander_2015_3A.A.15">'Input operationele kosten'!$O$94</definedName>
    <definedName name="liander_2015_3A.A.2">'Input operationele kosten'!$O$88</definedName>
    <definedName name="liander_2015_3A.A.3">'Input operationele kosten'!$O$89</definedName>
    <definedName name="liander_2015_3A.A.4">'Input operationele kosten'!$O$90</definedName>
    <definedName name="liander_2015_3A.A.5">'Input operationele kosten'!$O$93</definedName>
    <definedName name="liander_2015_3A.A.6">'Input operationele kosten'!$O$95</definedName>
    <definedName name="liander_2015_3A.A.7">'Input operationele kosten'!$O$98</definedName>
    <definedName name="liander_2015_3A.A.8">'Input operationele kosten'!$O$99</definedName>
    <definedName name="liander_2015_7A.A.21">'Overige opbrengsten'!$O$180</definedName>
    <definedName name="liander_2015_7A.A.22">'Overige opbrengsten'!$O$181</definedName>
    <definedName name="liander_2015_7A.A.23">'Overige opbrengsten'!$O$182</definedName>
    <definedName name="liander_2015_7A.A.24">'Overige opbrengsten'!$O$183</definedName>
    <definedName name="liander_2015_7A.A.25">'Overige opbrengsten'!$O$184</definedName>
    <definedName name="liander_2015_7A.A.26">'Overige opbrengsten'!$O$185</definedName>
    <definedName name="liander_2015_7A.A.27">'Overige opbrengsten'!$O$186</definedName>
    <definedName name="liander_2015_7A.A.28">'Overige opbrengsten'!$O$187</definedName>
    <definedName name="liander_2015_7A.A.29">'Overige opbrengsten'!$O$188</definedName>
    <definedName name="liander_2015_7A.A.30">'Overige opbrengsten'!$O$189</definedName>
    <definedName name="liander_2015_7A.A.31">'Overige opbrengsten'!$O$190</definedName>
    <definedName name="liander_2015_7A.A.41">'Overige opbrengsten'!$O$196</definedName>
    <definedName name="liander_2015_7A.A.42">'Overige opbrengsten'!$O$197</definedName>
    <definedName name="liander_2015_7A.A.43">'Overige opbrengsten'!$O$198</definedName>
    <definedName name="liander_2015_7A.A.44">'Overige opbrengsten'!$O$199</definedName>
    <definedName name="liander_2015_7A.A.45">'Overige opbrengsten'!$O$200</definedName>
    <definedName name="liander_2015_7A.A.46">'Overige opbrengsten'!$O$201</definedName>
    <definedName name="liander_2015_7A.A.47">'Overige opbrengsten'!$O$202</definedName>
    <definedName name="liander_2015_7A.A.48">'Overige opbrengsten'!$O$203</definedName>
    <definedName name="liander_2015_7A.A.49">'Overige opbrengsten'!$O$204</definedName>
    <definedName name="liander_2015_7A.A.50">'Overige opbrengsten'!$O$205</definedName>
    <definedName name="liander_2015_7A.A.51">'Overige opbrengsten'!$O$206</definedName>
    <definedName name="liander_2015_7A.B.21">'Overige opbrengsten'!$O$212</definedName>
    <definedName name="liander_2015_7A.B.22">'Overige opbrengsten'!$O$213</definedName>
    <definedName name="liander_2015_7A.B.23">'Overige opbrengsten'!$O$214</definedName>
    <definedName name="liander_2015_7A.B.24">'Overige opbrengsten'!$O$215</definedName>
    <definedName name="liander_2015_7A.B.25">'Overige opbrengsten'!$O$216</definedName>
    <definedName name="liander_2015_7A.B.26">'Overige opbrengsten'!$O$217</definedName>
    <definedName name="liander_2015_7A.B.27">'Overige opbrengsten'!$O$218</definedName>
    <definedName name="liander_2015_7A.B.28">'Overige opbrengsten'!$O$219</definedName>
    <definedName name="liander_2015_7A.B.29">'Overige opbrengsten'!$O$220</definedName>
    <definedName name="LIANDER_2015_OO_LOG">#REF!</definedName>
    <definedName name="LIANDER_2015_OPEX_LOG">#REF!</definedName>
    <definedName name="liander_2015_Total_Cost_Ex_1">'Totale kosten'!$O$63</definedName>
    <definedName name="liander_2015_Total_Cost_Ex_2">'Totale kosten'!$O$64</definedName>
    <definedName name="liander_2015_Total_Cost_Ex_3">'Totale kosten'!$O$65</definedName>
    <definedName name="liander_2015_Total_Cost_Ex_4">'Totale kosten'!$O$66</definedName>
    <definedName name="liander_2015_Total_Cost_Ex_5">'Totale kosten'!$O$68</definedName>
    <definedName name="liander_2015_Total_Cost_Ex_6">'Totale kosten'!$O$69</definedName>
    <definedName name="liander_2015_Total_Cost_Ex_7">'Totale kosten'!$O$73</definedName>
    <definedName name="liander_2015_Total_Cost_Ex_8">'Totale kosten'!$O$74</definedName>
    <definedName name="rendo_2012_Total_Cost_Ex_1">'Totale kosten'!$P$11</definedName>
    <definedName name="rendo_2012_Total_Cost_Ex_2">'Totale kosten'!$P$12</definedName>
    <definedName name="rendo_2013_Total_Cost_Ex_1">'Totale kosten'!$P$20</definedName>
    <definedName name="rendo_2013_Total_Cost_Ex_2">'Totale kosten'!$P$21</definedName>
    <definedName name="rendo_2013_Total_Cost_Ex_3">'Totale kosten'!$P$22</definedName>
    <definedName name="rendo_2013_Total_Cost_Ex_4">'Totale kosten'!$P$23</definedName>
    <definedName name="rendo_2013_Total_Cost_Ex_5">'Totale kosten'!$P$25</definedName>
    <definedName name="rendo_2013_Total_Cost_Ex_6">'Totale kosten'!$P$26</definedName>
    <definedName name="rendo_2013_Total_Cost_Ex_7">'Totale kosten'!$P$30</definedName>
    <definedName name="rendo_2013_Total_Cost_Ex_8">'Totale kosten'!$P$31</definedName>
    <definedName name="rendo_2013_Total_Cost_Ex_9">'Totale kosten'!$P$32</definedName>
    <definedName name="rendo_2014_2B.E.tot">'Overige opbrengsten'!$P$174</definedName>
    <definedName name="rendo_2014_3A.A.1">'Input operationele kosten'!$P$61</definedName>
    <definedName name="rendo_2014_3A.A.10">'Input operationele kosten'!$P$76</definedName>
    <definedName name="rendo_2014_3A.A.11">'Input operationele kosten'!$P$77</definedName>
    <definedName name="rendo_2014_3A.A.12">'Input operationele kosten'!$P$78</definedName>
    <definedName name="rendo_2014_3A.A.13">'Input operationele kosten'!$P$79</definedName>
    <definedName name="rendo_2014_3A.A.15">'Input operationele kosten'!$P$68</definedName>
    <definedName name="rendo_2014_3A.A.2">'Input operationele kosten'!$P$62</definedName>
    <definedName name="rendo_2014_3A.A.3">'Input operationele kosten'!$P$63</definedName>
    <definedName name="rendo_2014_3A.A.4">'Input operationele kosten'!$P$64</definedName>
    <definedName name="rendo_2014_3A.A.5">'Input operationele kosten'!$P$67</definedName>
    <definedName name="rendo_2014_3A.A.6">'Input operationele kosten'!$P$69</definedName>
    <definedName name="rendo_2014_3A.A.7">'Input operationele kosten'!$P$72</definedName>
    <definedName name="rendo_2014_3A.A.8">'Input operationele kosten'!$P$73</definedName>
    <definedName name="rendo_2014_7A.A.21">'Overige opbrengsten'!$P$124</definedName>
    <definedName name="rendo_2014_7A.A.22">'Overige opbrengsten'!$P$125</definedName>
    <definedName name="rendo_2014_7A.A.23">'Overige opbrengsten'!$P$126</definedName>
    <definedName name="rendo_2014_7A.A.24">'Overige opbrengsten'!$P$127</definedName>
    <definedName name="rendo_2014_7A.A.25">'Overige opbrengsten'!$P$128</definedName>
    <definedName name="rendo_2014_7A.A.26">'Overige opbrengsten'!$P$129</definedName>
    <definedName name="rendo_2014_7A.A.27">'Overige opbrengsten'!$P$130</definedName>
    <definedName name="rendo_2014_7A.A.28">'Overige opbrengsten'!$P$131</definedName>
    <definedName name="rendo_2014_7A.A.29">'Overige opbrengsten'!$P$132</definedName>
    <definedName name="rendo_2014_7A.A.30">'Overige opbrengsten'!$P$133</definedName>
    <definedName name="rendo_2014_7A.A.31">'Overige opbrengsten'!$P$134</definedName>
    <definedName name="rendo_2014_7A.A.41">'Overige opbrengsten'!$P$140</definedName>
    <definedName name="rendo_2014_7A.A.42">'Overige opbrengsten'!$P$141</definedName>
    <definedName name="rendo_2014_7A.A.43">'Overige opbrengsten'!$P$142</definedName>
    <definedName name="rendo_2014_7A.A.44">'Overige opbrengsten'!$P$143</definedName>
    <definedName name="rendo_2014_7A.A.45">'Overige opbrengsten'!$P$144</definedName>
    <definedName name="rendo_2014_7A.A.46">'Overige opbrengsten'!$P$145</definedName>
    <definedName name="rendo_2014_7A.A.47">'Overige opbrengsten'!$P$146</definedName>
    <definedName name="rendo_2014_7A.A.48">'Overige opbrengsten'!$P$147</definedName>
    <definedName name="rendo_2014_7A.A.49">'Overige opbrengsten'!$P$148</definedName>
    <definedName name="rendo_2014_7A.A.50">'Overige opbrengsten'!$P$149</definedName>
    <definedName name="rendo_2014_7A.A.51">'Overige opbrengsten'!$P$150</definedName>
    <definedName name="rendo_2014_7A.B.21">'Overige opbrengsten'!$P$156</definedName>
    <definedName name="rendo_2014_7A.B.22">'Overige opbrengsten'!$P$157</definedName>
    <definedName name="rendo_2014_7A.B.23">'Overige opbrengsten'!$P$158</definedName>
    <definedName name="rendo_2014_7A.B.24">'Overige opbrengsten'!$P$159</definedName>
    <definedName name="rendo_2014_7A.B.25">'Overige opbrengsten'!$P$160</definedName>
    <definedName name="rendo_2014_7A.B.26">'Overige opbrengsten'!$P$161</definedName>
    <definedName name="rendo_2014_7A.B.27">'Overige opbrengsten'!$P$162</definedName>
    <definedName name="rendo_2014_7A.B.28">'Overige opbrengsten'!$P$163</definedName>
    <definedName name="rendo_2014_7A.B.29">'Overige opbrengsten'!$P$164</definedName>
    <definedName name="RENDO_2014_OO_LOG">#REF!</definedName>
    <definedName name="RENDO_2014_OPEX_LOG">#REF!</definedName>
    <definedName name="rendo_2014_Total_Cost_Ex_1">'Totale kosten'!$P$40</definedName>
    <definedName name="rendo_2014_Total_Cost_Ex_10">'Totale kosten'!$P$55</definedName>
    <definedName name="rendo_2014_Total_Cost_Ex_2">'Totale kosten'!$P$41</definedName>
    <definedName name="rendo_2014_Total_Cost_Ex_3">'Totale kosten'!$P$42</definedName>
    <definedName name="rendo_2014_Total_Cost_Ex_4">'Totale kosten'!$P$43</definedName>
    <definedName name="rendo_2014_Total_Cost_Ex_5">'Totale kosten'!$P$45</definedName>
    <definedName name="rendo_2014_Total_Cost_Ex_6">'Totale kosten'!$P$46</definedName>
    <definedName name="rendo_2014_Total_Cost_Ex_7">'Totale kosten'!$P$50</definedName>
    <definedName name="rendo_2014_Total_Cost_Ex_8">'Totale kosten'!$P$51</definedName>
    <definedName name="rendo_2014_Total_Cost_Ex_9">'Totale kosten'!$P$54</definedName>
    <definedName name="rendo_2015_2B.E.tot">'Overige opbrengsten'!$P$230</definedName>
    <definedName name="rendo_2015_3A.A.1">'Input operationele kosten'!$P$87</definedName>
    <definedName name="rendo_2015_3A.A.10">'Input operationele kosten'!$P$102</definedName>
    <definedName name="rendo_2015_3A.A.11">'Input operationele kosten'!$P$103</definedName>
    <definedName name="rendo_2015_3A.A.12">'Input operationele kosten'!$P$104</definedName>
    <definedName name="rendo_2015_3A.A.13">'Input operationele kosten'!$P$105</definedName>
    <definedName name="rendo_2015_3A.A.15">'Input operationele kosten'!$P$94</definedName>
    <definedName name="rendo_2015_3A.A.2">'Input operationele kosten'!$P$88</definedName>
    <definedName name="rendo_2015_3A.A.3">'Input operationele kosten'!$P$89</definedName>
    <definedName name="rendo_2015_3A.A.4">'Input operationele kosten'!$P$90</definedName>
    <definedName name="rendo_2015_3A.A.5">'Input operationele kosten'!$P$93</definedName>
    <definedName name="rendo_2015_3A.A.6">'Input operationele kosten'!$P$95</definedName>
    <definedName name="rendo_2015_3A.A.7">'Input operationele kosten'!$P$98</definedName>
    <definedName name="rendo_2015_3A.A.8">'Input operationele kosten'!$P$99</definedName>
    <definedName name="rendo_2015_7A.A.21">'Overige opbrengsten'!$P$180</definedName>
    <definedName name="rendo_2015_7A.A.22">'Overige opbrengsten'!$P$181</definedName>
    <definedName name="rendo_2015_7A.A.23">'Overige opbrengsten'!$P$182</definedName>
    <definedName name="rendo_2015_7A.A.24">'Overige opbrengsten'!$P$183</definedName>
    <definedName name="rendo_2015_7A.A.25">'Overige opbrengsten'!$P$184</definedName>
    <definedName name="rendo_2015_7A.A.26">'Overige opbrengsten'!$P$185</definedName>
    <definedName name="rendo_2015_7A.A.27">'Overige opbrengsten'!$P$186</definedName>
    <definedName name="rendo_2015_7A.A.28">'Overige opbrengsten'!$P$187</definedName>
    <definedName name="rendo_2015_7A.A.29">'Overige opbrengsten'!$P$188</definedName>
    <definedName name="rendo_2015_7A.A.30">'Overige opbrengsten'!$P$189</definedName>
    <definedName name="rendo_2015_7A.A.31">'Overige opbrengsten'!$P$190</definedName>
    <definedName name="rendo_2015_7A.A.41">'Overige opbrengsten'!$P$196</definedName>
    <definedName name="rendo_2015_7A.A.42">'Overige opbrengsten'!$P$197</definedName>
    <definedName name="rendo_2015_7A.A.43">'Overige opbrengsten'!$P$198</definedName>
    <definedName name="rendo_2015_7A.A.44">'Overige opbrengsten'!$P$199</definedName>
    <definedName name="rendo_2015_7A.A.45">'Overige opbrengsten'!$P$200</definedName>
    <definedName name="rendo_2015_7A.A.46">'Overige opbrengsten'!$P$201</definedName>
    <definedName name="rendo_2015_7A.A.47">'Overige opbrengsten'!$P$202</definedName>
    <definedName name="rendo_2015_7A.A.48">'Overige opbrengsten'!$P$203</definedName>
    <definedName name="rendo_2015_7A.A.49">'Overige opbrengsten'!$P$204</definedName>
    <definedName name="rendo_2015_7A.A.50">'Overige opbrengsten'!$P$205</definedName>
    <definedName name="rendo_2015_7A.A.51">'Overige opbrengsten'!$P$206</definedName>
    <definedName name="rendo_2015_7A.B.21">'Overige opbrengsten'!$P$212</definedName>
    <definedName name="rendo_2015_7A.B.22">'Overige opbrengsten'!$P$213</definedName>
    <definedName name="rendo_2015_7A.B.23">'Overige opbrengsten'!$P$214</definedName>
    <definedName name="rendo_2015_7A.B.24">'Overige opbrengsten'!$P$215</definedName>
    <definedName name="rendo_2015_7A.B.25">'Overige opbrengsten'!$P$216</definedName>
    <definedName name="rendo_2015_7A.B.26">'Overige opbrengsten'!$P$217</definedName>
    <definedName name="rendo_2015_7A.B.27">'Overige opbrengsten'!$P$218</definedName>
    <definedName name="rendo_2015_7A.B.28">'Overige opbrengsten'!$P$219</definedName>
    <definedName name="rendo_2015_7A.B.29">'Overige opbrengsten'!$P$220</definedName>
    <definedName name="RENDO_2015_OO_LOG">#REF!</definedName>
    <definedName name="RENDO_2015_OPEX_LOG">#REF!</definedName>
    <definedName name="rendo_2015_Total_Cost_Ex_1">'Totale kosten'!$P$63</definedName>
    <definedName name="rendo_2015_Total_Cost_Ex_2">'Totale kosten'!$P$64</definedName>
    <definedName name="rendo_2015_Total_Cost_Ex_3">'Totale kosten'!$P$65</definedName>
    <definedName name="rendo_2015_Total_Cost_Ex_4">'Totale kosten'!$P$66</definedName>
    <definedName name="rendo_2015_Total_Cost_Ex_5">'Totale kosten'!$P$68</definedName>
    <definedName name="rendo_2015_Total_Cost_Ex_6">'Totale kosten'!$P$69</definedName>
    <definedName name="rendo_2015_Total_Cost_Ex_7">'Totale kosten'!$P$73</definedName>
    <definedName name="rendo_2015_Total_Cost_Ex_8">'Totale kosten'!$P$74</definedName>
    <definedName name="Savings_2012_Total_Cost_Ex">'Totale kosten'!$J$14</definedName>
    <definedName name="Savings_2013_Total_Cost_Ex">'Totale kosten'!$J$34</definedName>
    <definedName name="Savings_2014_Total_Cost_Ex">'Totale kosten'!$J$57</definedName>
    <definedName name="Savings_2015_Total_Cost_Ex">'Totale kosten'!$J$76</definedName>
    <definedName name="stedin_2012_Total_Cost_Ex_1">'Totale kosten'!$Q$11</definedName>
    <definedName name="stedin_2012_Total_Cost_Ex_2">'Totale kosten'!$Q$12</definedName>
    <definedName name="stedin_2013_Total_Cost_Ex_1">'Totale kosten'!$Q$20</definedName>
    <definedName name="stedin_2013_Total_Cost_Ex_2">'Totale kosten'!$Q$21</definedName>
    <definedName name="stedin_2013_Total_Cost_Ex_3">'Totale kosten'!$Q$22</definedName>
    <definedName name="stedin_2013_Total_Cost_Ex_4">'Totale kosten'!$Q$23</definedName>
    <definedName name="stedin_2013_Total_Cost_Ex_5">'Totale kosten'!$Q$25</definedName>
    <definedName name="stedin_2013_Total_Cost_Ex_6">'Totale kosten'!$Q$26</definedName>
    <definedName name="stedin_2013_Total_Cost_Ex_7">'Totale kosten'!$Q$30</definedName>
    <definedName name="stedin_2013_Total_Cost_Ex_8">'Totale kosten'!$Q$31</definedName>
    <definedName name="stedin_2013_Total_Cost_Ex_9">'Totale kosten'!$Q$32</definedName>
    <definedName name="stedin_2014_2B.E.tot">'Overige opbrengsten'!$Q$174</definedName>
    <definedName name="stedin_2014_3A.A.1">'Input operationele kosten'!$Q$61</definedName>
    <definedName name="stedin_2014_3A.A.10">'Input operationele kosten'!$Q$76</definedName>
    <definedName name="stedin_2014_3A.A.11">'Input operationele kosten'!$Q$77</definedName>
    <definedName name="stedin_2014_3A.A.12">'Input operationele kosten'!$Q$78</definedName>
    <definedName name="stedin_2014_3A.A.13">'Input operationele kosten'!$Q$79</definedName>
    <definedName name="stedin_2014_3A.A.15">'Input operationele kosten'!$Q$68</definedName>
    <definedName name="stedin_2014_3A.A.2">'Input operationele kosten'!$Q$62</definedName>
    <definedName name="stedin_2014_3A.A.3">'Input operationele kosten'!$Q$63</definedName>
    <definedName name="stedin_2014_3A.A.4">'Input operationele kosten'!$Q$64</definedName>
    <definedName name="stedin_2014_3A.A.5">'Input operationele kosten'!$Q$67</definedName>
    <definedName name="stedin_2014_3A.A.6">'Input operationele kosten'!$Q$69</definedName>
    <definedName name="stedin_2014_3A.A.7">'Input operationele kosten'!$Q$72</definedName>
    <definedName name="stedin_2014_3A.A.8">'Input operationele kosten'!$Q$73</definedName>
    <definedName name="stedin_2014_7A.A.21">'Overige opbrengsten'!$Q$124</definedName>
    <definedName name="stedin_2014_7A.A.22">'Overige opbrengsten'!$Q$125</definedName>
    <definedName name="stedin_2014_7A.A.23">'Overige opbrengsten'!$Q$126</definedName>
    <definedName name="stedin_2014_7A.A.24">'Overige opbrengsten'!$Q$127</definedName>
    <definedName name="stedin_2014_7A.A.25">'Overige opbrengsten'!$Q$128</definedName>
    <definedName name="stedin_2014_7A.A.26">'Overige opbrengsten'!$Q$129</definedName>
    <definedName name="stedin_2014_7A.A.27">'Overige opbrengsten'!$Q$130</definedName>
    <definedName name="stedin_2014_7A.A.28">'Overige opbrengsten'!$Q$131</definedName>
    <definedName name="stedin_2014_7A.A.29">'Overige opbrengsten'!$Q$132</definedName>
    <definedName name="stedin_2014_7A.A.30">'Overige opbrengsten'!$Q$133</definedName>
    <definedName name="stedin_2014_7A.A.31">'Overige opbrengsten'!$Q$134</definedName>
    <definedName name="stedin_2014_7A.A.41">'Overige opbrengsten'!$Q$140</definedName>
    <definedName name="stedin_2014_7A.A.42">'Overige opbrengsten'!$Q$141</definedName>
    <definedName name="stedin_2014_7A.A.43">'Overige opbrengsten'!$Q$142</definedName>
    <definedName name="stedin_2014_7A.A.44">'Overige opbrengsten'!$Q$143</definedName>
    <definedName name="stedin_2014_7A.A.45">'Overige opbrengsten'!$Q$144</definedName>
    <definedName name="stedin_2014_7A.A.46">'Overige opbrengsten'!$Q$145</definedName>
    <definedName name="stedin_2014_7A.A.47">'Overige opbrengsten'!$Q$146</definedName>
    <definedName name="stedin_2014_7A.A.48">'Overige opbrengsten'!$Q$147</definedName>
    <definedName name="stedin_2014_7A.A.49">'Overige opbrengsten'!$Q$148</definedName>
    <definedName name="stedin_2014_7A.A.50">'Overige opbrengsten'!$Q$149</definedName>
    <definedName name="stedin_2014_7A.A.51">'Overige opbrengsten'!$Q$150</definedName>
    <definedName name="stedin_2014_7A.B.21">'Overige opbrengsten'!$Q$156</definedName>
    <definedName name="stedin_2014_7A.B.22">'Overige opbrengsten'!$Q$157</definedName>
    <definedName name="stedin_2014_7A.B.23">'Overige opbrengsten'!$Q$158</definedName>
    <definedName name="stedin_2014_7A.B.24">'Overige opbrengsten'!$Q$159</definedName>
    <definedName name="stedin_2014_7A.B.25">'Overige opbrengsten'!$Q$160</definedName>
    <definedName name="stedin_2014_7A.B.26">'Overige opbrengsten'!$Q$161</definedName>
    <definedName name="stedin_2014_7A.B.27">'Overige opbrengsten'!$Q$162</definedName>
    <definedName name="stedin_2014_7A.B.28">'Overige opbrengsten'!$Q$163</definedName>
    <definedName name="stedin_2014_7A.B.29">'Overige opbrengsten'!$Q$164</definedName>
    <definedName name="STEDIN_2014_OO_LOG">#REF!</definedName>
    <definedName name="STEDIN_2014_OPEX_LOG">#REF!</definedName>
    <definedName name="stedin_2014_Total_Cost_Ex_1">'Totale kosten'!$Q$40</definedName>
    <definedName name="stedin_2014_Total_Cost_Ex_10">'Totale kosten'!$Q$55</definedName>
    <definedName name="stedin_2014_Total_Cost_Ex_2">'Totale kosten'!$Q$41</definedName>
    <definedName name="stedin_2014_Total_Cost_Ex_3">'Totale kosten'!$Q$42</definedName>
    <definedName name="stedin_2014_Total_Cost_Ex_4">'Totale kosten'!$Q$43</definedName>
    <definedName name="stedin_2014_Total_Cost_Ex_5">'Totale kosten'!$Q$45</definedName>
    <definedName name="stedin_2014_Total_Cost_Ex_6">'Totale kosten'!$Q$46</definedName>
    <definedName name="stedin_2014_Total_Cost_Ex_7">'Totale kosten'!$Q$50</definedName>
    <definedName name="stedin_2014_Total_Cost_Ex_8">'Totale kosten'!$Q$51</definedName>
    <definedName name="stedin_2014_Total_Cost_Ex_9">'Totale kosten'!$Q$54</definedName>
    <definedName name="stedin_2015_2B.E.tot">'Overige opbrengsten'!$Q$230</definedName>
    <definedName name="stedin_2015_3A.A.1">'Input operationele kosten'!$Q$87</definedName>
    <definedName name="stedin_2015_3A.A.10">'Input operationele kosten'!$Q$102</definedName>
    <definedName name="stedin_2015_3A.A.11">'Input operationele kosten'!$Q$103</definedName>
    <definedName name="stedin_2015_3A.A.12">'Input operationele kosten'!$Q$104</definedName>
    <definedName name="stedin_2015_3A.A.13">'Input operationele kosten'!$Q$105</definedName>
    <definedName name="stedin_2015_3A.A.15">'Input operationele kosten'!$Q$94</definedName>
    <definedName name="stedin_2015_3A.A.2">'Input operationele kosten'!$Q$88</definedName>
    <definedName name="stedin_2015_3A.A.3">'Input operationele kosten'!$Q$89</definedName>
    <definedName name="stedin_2015_3A.A.4">'Input operationele kosten'!$Q$90</definedName>
    <definedName name="stedin_2015_3A.A.5">'Input operationele kosten'!$Q$93</definedName>
    <definedName name="stedin_2015_3A.A.6">'Input operationele kosten'!$Q$95</definedName>
    <definedName name="stedin_2015_3A.A.7">'Input operationele kosten'!$Q$98</definedName>
    <definedName name="stedin_2015_3A.A.8">'Input operationele kosten'!$Q$99</definedName>
    <definedName name="stedin_2015_7A.A.21">'Overige opbrengsten'!$Q$180</definedName>
    <definedName name="stedin_2015_7A.A.22">'Overige opbrengsten'!$Q$181</definedName>
    <definedName name="stedin_2015_7A.A.23">'Overige opbrengsten'!$Q$182</definedName>
    <definedName name="stedin_2015_7A.A.24">'Overige opbrengsten'!$Q$183</definedName>
    <definedName name="stedin_2015_7A.A.25">'Overige opbrengsten'!$Q$184</definedName>
    <definedName name="stedin_2015_7A.A.26">'Overige opbrengsten'!$Q$185</definedName>
    <definedName name="stedin_2015_7A.A.27">'Overige opbrengsten'!$Q$186</definedName>
    <definedName name="stedin_2015_7A.A.28">'Overige opbrengsten'!$Q$187</definedName>
    <definedName name="stedin_2015_7A.A.29">'Overige opbrengsten'!$Q$188</definedName>
    <definedName name="stedin_2015_7A.A.30">'Overige opbrengsten'!$Q$189</definedName>
    <definedName name="stedin_2015_7A.A.31">'Overige opbrengsten'!$Q$190</definedName>
    <definedName name="stedin_2015_7A.A.41">'Overige opbrengsten'!$Q$196</definedName>
    <definedName name="stedin_2015_7A.A.42">'Overige opbrengsten'!$Q$197</definedName>
    <definedName name="stedin_2015_7A.A.43">'Overige opbrengsten'!$Q$198</definedName>
    <definedName name="stedin_2015_7A.A.44">'Overige opbrengsten'!$Q$199</definedName>
    <definedName name="stedin_2015_7A.A.45">'Overige opbrengsten'!$Q$200</definedName>
    <definedName name="stedin_2015_7A.A.46">'Overige opbrengsten'!$Q$201</definedName>
    <definedName name="stedin_2015_7A.A.47">'Overige opbrengsten'!$Q$202</definedName>
    <definedName name="stedin_2015_7A.A.48">'Overige opbrengsten'!$Q$203</definedName>
    <definedName name="stedin_2015_7A.A.49">'Overige opbrengsten'!$Q$204</definedName>
    <definedName name="stedin_2015_7A.A.50">'Overige opbrengsten'!$Q$205</definedName>
    <definedName name="stedin_2015_7A.A.51">'Overige opbrengsten'!$Q$206</definedName>
    <definedName name="stedin_2015_7A.B.21">'Overige opbrengsten'!$Q$212</definedName>
    <definedName name="stedin_2015_7A.B.22">'Overige opbrengsten'!$Q$213</definedName>
    <definedName name="stedin_2015_7A.B.23">'Overige opbrengsten'!$Q$214</definedName>
    <definedName name="stedin_2015_7A.B.24">'Overige opbrengsten'!$Q$215</definedName>
    <definedName name="stedin_2015_7A.B.25">'Overige opbrengsten'!$Q$216</definedName>
    <definedName name="stedin_2015_7A.B.26">'Overige opbrengsten'!$Q$217</definedName>
    <definedName name="stedin_2015_7A.B.27">'Overige opbrengsten'!$Q$218</definedName>
    <definedName name="stedin_2015_7A.B.28">'Overige opbrengsten'!$Q$219</definedName>
    <definedName name="stedin_2015_7A.B.29">'Overige opbrengsten'!$Q$220</definedName>
    <definedName name="STEDIN_2015_OO_LOG">#REF!</definedName>
    <definedName name="STEDIN_2015_OPEX_LOG">#REF!</definedName>
    <definedName name="stedin_2015_Total_Cost_Ex_1">'Totale kosten'!$Q$63</definedName>
    <definedName name="stedin_2015_Total_Cost_Ex_2">'Totale kosten'!$Q$64</definedName>
    <definedName name="stedin_2015_Total_Cost_Ex_3">'Totale kosten'!$Q$65</definedName>
    <definedName name="stedin_2015_Total_Cost_Ex_4">'Totale kosten'!$Q$66</definedName>
    <definedName name="stedin_2015_Total_Cost_Ex_5">'Totale kosten'!$Q$68</definedName>
    <definedName name="stedin_2015_Total_Cost_Ex_6">'Totale kosten'!$Q$69</definedName>
    <definedName name="stedin_2015_Total_Cost_Ex_7">'Totale kosten'!$Q$73</definedName>
    <definedName name="stedin_2015_Total_Cost_Ex_8">'Totale kosten'!$Q$74</definedName>
    <definedName name="westland_2012_Total_Cost_Ex_1">'Totale kosten'!$R$11</definedName>
    <definedName name="westland_2012_Total_Cost_Ex_2">'Totale kosten'!$R$12</definedName>
    <definedName name="westland_2013_Total_Cost_Ex_1">'Totale kosten'!$R$20</definedName>
    <definedName name="westland_2013_Total_Cost_Ex_2">'Totale kosten'!$R$21</definedName>
    <definedName name="westland_2013_Total_Cost_Ex_3">'Totale kosten'!$R$22</definedName>
    <definedName name="westland_2013_Total_Cost_Ex_4">'Totale kosten'!$R$23</definedName>
    <definedName name="westland_2013_Total_Cost_Ex_5">'Totale kosten'!$R$25</definedName>
    <definedName name="westland_2013_Total_Cost_Ex_6">'Totale kosten'!$R$26</definedName>
    <definedName name="westland_2013_Total_Cost_Ex_7">'Totale kosten'!$R$30</definedName>
    <definedName name="westland_2013_Total_Cost_Ex_8">'Totale kosten'!$R$31</definedName>
    <definedName name="westland_2013_Total_Cost_Ex_9">'Totale kosten'!$R$32</definedName>
    <definedName name="westland_2014_2B.E.tot">'Overige opbrengsten'!$R$174</definedName>
    <definedName name="westland_2014_3A.A.1">'Input operationele kosten'!$R$61</definedName>
    <definedName name="westland_2014_3A.A.10">'Input operationele kosten'!$R$76</definedName>
    <definedName name="westland_2014_3A.A.11">'Input operationele kosten'!$R$77</definedName>
    <definedName name="westland_2014_3A.A.12">'Input operationele kosten'!$R$78</definedName>
    <definedName name="westland_2014_3A.A.13">'Input operationele kosten'!$R$79</definedName>
    <definedName name="westland_2014_3A.A.15">'Input operationele kosten'!$R$68</definedName>
    <definedName name="westland_2014_3A.A.2">'Input operationele kosten'!$R$62</definedName>
    <definedName name="westland_2014_3A.A.3">'Input operationele kosten'!$R$63</definedName>
    <definedName name="westland_2014_3A.A.4">'Input operationele kosten'!$R$64</definedName>
    <definedName name="westland_2014_3A.A.5">'Input operationele kosten'!$R$67</definedName>
    <definedName name="westland_2014_3A.A.6">'Input operationele kosten'!$R$69</definedName>
    <definedName name="westland_2014_3A.A.7">'Input operationele kosten'!$R$72</definedName>
    <definedName name="westland_2014_3A.A.8">'Input operationele kosten'!$R$73</definedName>
    <definedName name="westland_2014_7A.A.21">'Overige opbrengsten'!$R$124</definedName>
    <definedName name="westland_2014_7A.A.22">'Overige opbrengsten'!$R$125</definedName>
    <definedName name="westland_2014_7A.A.23">'Overige opbrengsten'!$R$126</definedName>
    <definedName name="westland_2014_7A.A.24">'Overige opbrengsten'!$R$127</definedName>
    <definedName name="westland_2014_7A.A.25">'Overige opbrengsten'!$R$128</definedName>
    <definedName name="westland_2014_7A.A.26">'Overige opbrengsten'!$R$129</definedName>
    <definedName name="westland_2014_7A.A.27">'Overige opbrengsten'!$R$130</definedName>
    <definedName name="westland_2014_7A.A.28">'Overige opbrengsten'!$R$131</definedName>
    <definedName name="westland_2014_7A.A.29">'Overige opbrengsten'!$R$132</definedName>
    <definedName name="westland_2014_7A.A.30">'Overige opbrengsten'!$R$133</definedName>
    <definedName name="westland_2014_7A.A.31">'Overige opbrengsten'!$R$134</definedName>
    <definedName name="westland_2014_7A.A.41">'Overige opbrengsten'!$R$140</definedName>
    <definedName name="westland_2014_7A.A.42">'Overige opbrengsten'!$R$141</definedName>
    <definedName name="westland_2014_7A.A.43">'Overige opbrengsten'!$R$142</definedName>
    <definedName name="westland_2014_7A.A.44">'Overige opbrengsten'!$R$143</definedName>
    <definedName name="westland_2014_7A.A.45">'Overige opbrengsten'!$R$144</definedName>
    <definedName name="westland_2014_7A.A.46">'Overige opbrengsten'!$R$145</definedName>
    <definedName name="westland_2014_7A.A.47">'Overige opbrengsten'!$R$146</definedName>
    <definedName name="westland_2014_7A.A.48">'Overige opbrengsten'!$R$147</definedName>
    <definedName name="westland_2014_7A.A.49">'Overige opbrengsten'!$R$148</definedName>
    <definedName name="westland_2014_7A.A.50">'Overige opbrengsten'!$R$149</definedName>
    <definedName name="westland_2014_7A.A.51">'Overige opbrengsten'!$R$150</definedName>
    <definedName name="westland_2014_7A.B.21">'Overige opbrengsten'!$R$156</definedName>
    <definedName name="westland_2014_7A.B.22">'Overige opbrengsten'!$R$157</definedName>
    <definedName name="westland_2014_7A.B.23">'Overige opbrengsten'!$R$158</definedName>
    <definedName name="westland_2014_7A.B.24">'Overige opbrengsten'!$R$159</definedName>
    <definedName name="westland_2014_7A.B.25">'Overige opbrengsten'!$R$160</definedName>
    <definedName name="westland_2014_7A.B.26">'Overige opbrengsten'!$R$161</definedName>
    <definedName name="westland_2014_7A.B.27">'Overige opbrengsten'!$R$162</definedName>
    <definedName name="westland_2014_7A.B.28">'Overige opbrengsten'!$R$163</definedName>
    <definedName name="westland_2014_7A.B.29">'Overige opbrengsten'!$R$164</definedName>
    <definedName name="WESTLAND_2014_OO_LOG">#REF!</definedName>
    <definedName name="WESTLAND_2014_OPEX_LOG">#REF!</definedName>
    <definedName name="westland_2014_Total_Cost_Ex_1">'Totale kosten'!$R$40</definedName>
    <definedName name="westland_2014_Total_Cost_Ex_10">'Totale kosten'!$R$55</definedName>
    <definedName name="westland_2014_Total_Cost_Ex_2">'Totale kosten'!$R$41</definedName>
    <definedName name="westland_2014_Total_Cost_Ex_3">'Totale kosten'!$R$42</definedName>
    <definedName name="westland_2014_Total_Cost_Ex_4">'Totale kosten'!$R$43</definedName>
    <definedName name="westland_2014_Total_Cost_Ex_5">'Totale kosten'!$R$45</definedName>
    <definedName name="westland_2014_Total_Cost_Ex_6">'Totale kosten'!$R$46</definedName>
    <definedName name="westland_2014_Total_Cost_Ex_7">'Totale kosten'!$R$50</definedName>
    <definedName name="westland_2014_Total_Cost_Ex_8">'Totale kosten'!$R$51</definedName>
    <definedName name="westland_2014_Total_Cost_Ex_9">'Totale kosten'!$R$54</definedName>
    <definedName name="westland_2015_2B.E.tot">'Overige opbrengsten'!$R$230</definedName>
    <definedName name="westland_2015_3A.A.1">'Input operationele kosten'!$R$87</definedName>
    <definedName name="westland_2015_3A.A.10">'Input operationele kosten'!$R$102</definedName>
    <definedName name="westland_2015_3A.A.11">'Input operationele kosten'!$R$103</definedName>
    <definedName name="westland_2015_3A.A.12">'Input operationele kosten'!$R$104</definedName>
    <definedName name="westland_2015_3A.A.13">'Input operationele kosten'!$R$105</definedName>
    <definedName name="westland_2015_3A.A.15">'Input operationele kosten'!$R$94</definedName>
    <definedName name="westland_2015_3A.A.2">'Input operationele kosten'!$R$88</definedName>
    <definedName name="westland_2015_3A.A.3">'Input operationele kosten'!$R$89</definedName>
    <definedName name="westland_2015_3A.A.4">'Input operationele kosten'!$R$90</definedName>
    <definedName name="westland_2015_3A.A.5">'Input operationele kosten'!$R$93</definedName>
    <definedName name="westland_2015_3A.A.6">'Input operationele kosten'!$R$95</definedName>
    <definedName name="westland_2015_3A.A.7">'Input operationele kosten'!$R$98</definedName>
    <definedName name="westland_2015_3A.A.8">'Input operationele kosten'!$R$99</definedName>
    <definedName name="westland_2015_7A.A.21">'Overige opbrengsten'!$R$180</definedName>
    <definedName name="westland_2015_7A.A.22">'Overige opbrengsten'!$R$181</definedName>
    <definedName name="westland_2015_7A.A.23">'Overige opbrengsten'!$R$182</definedName>
    <definedName name="westland_2015_7A.A.24">'Overige opbrengsten'!$R$183</definedName>
    <definedName name="westland_2015_7A.A.25">'Overige opbrengsten'!$R$184</definedName>
    <definedName name="westland_2015_7A.A.26">'Overige opbrengsten'!$R$185</definedName>
    <definedName name="westland_2015_7A.A.27">'Overige opbrengsten'!$R$186</definedName>
    <definedName name="westland_2015_7A.A.28">'Overige opbrengsten'!$R$187</definedName>
    <definedName name="westland_2015_7A.A.29">'Overige opbrengsten'!$R$188</definedName>
    <definedName name="westland_2015_7A.A.30">'Overige opbrengsten'!$R$189</definedName>
    <definedName name="westland_2015_7A.A.31">'Overige opbrengsten'!$R$190</definedName>
    <definedName name="westland_2015_7A.A.41">'Overige opbrengsten'!$R$196</definedName>
    <definedName name="westland_2015_7A.A.42">'Overige opbrengsten'!$R$197</definedName>
    <definedName name="westland_2015_7A.A.43">'Overige opbrengsten'!$R$198</definedName>
    <definedName name="westland_2015_7A.A.44">'Overige opbrengsten'!$R$199</definedName>
    <definedName name="westland_2015_7A.A.45">'Overige opbrengsten'!$R$200</definedName>
    <definedName name="westland_2015_7A.A.46">'Overige opbrengsten'!$R$201</definedName>
    <definedName name="westland_2015_7A.A.47">'Overige opbrengsten'!$R$202</definedName>
    <definedName name="westland_2015_7A.A.48">'Overige opbrengsten'!$R$203</definedName>
    <definedName name="westland_2015_7A.A.49">'Overige opbrengsten'!$R$204</definedName>
    <definedName name="westland_2015_7A.A.50">'Overige opbrengsten'!$R$205</definedName>
    <definedName name="westland_2015_7A.A.51">'Overige opbrengsten'!$R$206</definedName>
    <definedName name="westland_2015_7A.B.21">'Overige opbrengsten'!$R$212</definedName>
    <definedName name="westland_2015_7A.B.22">'Overige opbrengsten'!$R$213</definedName>
    <definedName name="westland_2015_7A.B.23">'Overige opbrengsten'!$R$214</definedName>
    <definedName name="westland_2015_7A.B.24">'Overige opbrengsten'!$R$215</definedName>
    <definedName name="westland_2015_7A.B.25">'Overige opbrengsten'!$R$216</definedName>
    <definedName name="westland_2015_7A.B.26">'Overige opbrengsten'!$R$217</definedName>
    <definedName name="westland_2015_7A.B.27">'Overige opbrengsten'!$R$218</definedName>
    <definedName name="westland_2015_7A.B.28">'Overige opbrengsten'!$R$219</definedName>
    <definedName name="westland_2015_7A.B.29">'Overige opbrengsten'!$R$220</definedName>
    <definedName name="WESTLAND_2015_OO_LOG">#REF!</definedName>
    <definedName name="WESTLAND_2015_OPEX_LOG">#REF!</definedName>
    <definedName name="westland_2015_Total_Cost_Ex_1">'Totale kosten'!$R$63</definedName>
    <definedName name="westland_2015_Total_Cost_Ex_2">'Totale kosten'!$R$64</definedName>
    <definedName name="westland_2015_Total_Cost_Ex_3">'Totale kosten'!$R$65</definedName>
    <definedName name="westland_2015_Total_Cost_Ex_4">'Totale kosten'!$R$66</definedName>
    <definedName name="westland_2015_Total_Cost_Ex_5">'Totale kosten'!$R$68</definedName>
    <definedName name="westland_2015_Total_Cost_Ex_6">'Totale kosten'!$R$69</definedName>
    <definedName name="westland_2015_Total_Cost_Ex_7">'Totale kosten'!$R$73</definedName>
    <definedName name="westland_2015_Total_Cost_Ex_8">'Totale kosten'!$R$74</definedName>
  </definedNames>
  <calcPr calcId="145621"/>
</workbook>
</file>

<file path=xl/calcChain.xml><?xml version="1.0" encoding="utf-8"?>
<calcChain xmlns="http://schemas.openxmlformats.org/spreadsheetml/2006/main">
  <c r="N294" i="8" l="1"/>
  <c r="N292" i="8"/>
  <c r="N291" i="8"/>
  <c r="N212" i="8"/>
  <c r="N210" i="8"/>
  <c r="N209" i="8"/>
  <c r="N129" i="8"/>
  <c r="N127" i="8"/>
  <c r="N126" i="8"/>
  <c r="O131" i="8"/>
  <c r="Q215" i="3"/>
  <c r="O291" i="8" l="1"/>
  <c r="G10" i="21"/>
  <c r="H11" i="16"/>
  <c r="H12" i="16"/>
  <c r="H10" i="16"/>
  <c r="G16" i="21" l="1"/>
  <c r="W110" i="15" l="1"/>
  <c r="W222" i="15"/>
  <c r="Q62" i="8" l="1"/>
  <c r="L445" i="3" l="1"/>
  <c r="L422" i="3"/>
  <c r="L421" i="3"/>
  <c r="L420" i="3"/>
  <c r="Q328" i="3"/>
  <c r="L310" i="3"/>
  <c r="J304" i="3"/>
  <c r="L321" i="3"/>
  <c r="L322" i="3"/>
  <c r="L305" i="3"/>
  <c r="L304" i="3"/>
  <c r="L194" i="3"/>
  <c r="M28" i="16"/>
  <c r="O69" i="6"/>
  <c r="L167" i="15"/>
  <c r="W54" i="15"/>
  <c r="V30" i="14"/>
  <c r="W30" i="14"/>
  <c r="O60" i="8" l="1"/>
  <c r="O59" i="8"/>
  <c r="V60" i="8"/>
  <c r="V59" i="8"/>
  <c r="Q60" i="8"/>
  <c r="Q59" i="8"/>
  <c r="U60" i="8"/>
  <c r="U59" i="8"/>
  <c r="V62" i="8"/>
  <c r="U62" i="8"/>
  <c r="O126" i="8"/>
  <c r="Q64" i="8"/>
  <c r="O62" i="8"/>
  <c r="N64" i="8"/>
  <c r="M64" i="8"/>
  <c r="U64" i="8" l="1"/>
  <c r="L37" i="6"/>
  <c r="M37" i="6"/>
  <c r="N37" i="6"/>
  <c r="L38" i="6"/>
  <c r="M38" i="6"/>
  <c r="N38" i="6"/>
  <c r="L39" i="6"/>
  <c r="M39" i="6"/>
  <c r="N39" i="6"/>
  <c r="S131" i="8" l="1"/>
  <c r="U411" i="3"/>
  <c r="V294" i="8" l="1"/>
  <c r="U294" i="8"/>
  <c r="Q294" i="8"/>
  <c r="O294" i="8"/>
  <c r="V292" i="8"/>
  <c r="U292" i="8"/>
  <c r="Q292" i="8"/>
  <c r="O292" i="8"/>
  <c r="V291" i="8"/>
  <c r="U291" i="8"/>
  <c r="Q291" i="8"/>
  <c r="V296" i="8"/>
  <c r="V212" i="8"/>
  <c r="U212" i="8"/>
  <c r="Q212" i="8"/>
  <c r="O212" i="8"/>
  <c r="V210" i="8"/>
  <c r="U210" i="8"/>
  <c r="Q210" i="8"/>
  <c r="O210" i="8"/>
  <c r="V209" i="8"/>
  <c r="U209" i="8"/>
  <c r="Q209" i="8"/>
  <c r="O209" i="8"/>
  <c r="V214" i="8"/>
  <c r="V129" i="8"/>
  <c r="V127" i="8"/>
  <c r="V126" i="8"/>
  <c r="V131" i="8" s="1"/>
  <c r="U129" i="8"/>
  <c r="U127" i="8"/>
  <c r="U126" i="8"/>
  <c r="Q129" i="8"/>
  <c r="Q127" i="8"/>
  <c r="Q126" i="8"/>
  <c r="O129" i="8"/>
  <c r="O127" i="8"/>
  <c r="W135" i="6"/>
  <c r="W134" i="6"/>
  <c r="W133" i="6"/>
  <c r="W103" i="6"/>
  <c r="W102" i="6"/>
  <c r="W101" i="6"/>
  <c r="W71" i="6"/>
  <c r="W70" i="6"/>
  <c r="W69" i="6"/>
  <c r="W39" i="6"/>
  <c r="W38" i="6"/>
  <c r="W37" i="6"/>
  <c r="V25" i="8"/>
  <c r="V248" i="8"/>
  <c r="V249" i="8"/>
  <c r="V250" i="8"/>
  <c r="V253" i="8"/>
  <c r="V254" i="8"/>
  <c r="V255" i="8"/>
  <c r="V258" i="8"/>
  <c r="V259" i="8"/>
  <c r="V283" i="8" s="1"/>
  <c r="V260" i="8"/>
  <c r="V263" i="8"/>
  <c r="V264" i="8"/>
  <c r="V265" i="8"/>
  <c r="V268" i="8"/>
  <c r="V269" i="8"/>
  <c r="V270" i="8"/>
  <c r="V276" i="8"/>
  <c r="V284" i="8"/>
  <c r="V165" i="8"/>
  <c r="V166" i="8"/>
  <c r="V167" i="8"/>
  <c r="V170" i="8"/>
  <c r="V171" i="8"/>
  <c r="V172" i="8"/>
  <c r="V175" i="8"/>
  <c r="V176" i="8"/>
  <c r="V177" i="8"/>
  <c r="V202" i="8" s="1"/>
  <c r="V180" i="8"/>
  <c r="V181" i="8"/>
  <c r="V182" i="8"/>
  <c r="V185" i="8"/>
  <c r="V186" i="8"/>
  <c r="V187" i="8"/>
  <c r="V201" i="8"/>
  <c r="V82" i="8"/>
  <c r="V83" i="8"/>
  <c r="V84" i="8"/>
  <c r="V87" i="8"/>
  <c r="V88" i="8"/>
  <c r="V89" i="8"/>
  <c r="V92" i="8"/>
  <c r="V93" i="8"/>
  <c r="V118" i="8" s="1"/>
  <c r="V94" i="8"/>
  <c r="V119" i="8" s="1"/>
  <c r="V97" i="8"/>
  <c r="V98" i="8"/>
  <c r="V99" i="8"/>
  <c r="V102" i="8"/>
  <c r="V103" i="8"/>
  <c r="V104" i="8"/>
  <c r="V26" i="8"/>
  <c r="V27" i="8"/>
  <c r="V30" i="8"/>
  <c r="V31" i="8"/>
  <c r="V32" i="8"/>
  <c r="V35" i="8"/>
  <c r="V36" i="8"/>
  <c r="V37" i="8"/>
  <c r="V40" i="8"/>
  <c r="V41" i="8"/>
  <c r="V42" i="8"/>
  <c r="V45" i="8"/>
  <c r="V46" i="8"/>
  <c r="V47" i="8"/>
  <c r="V54" i="8" s="1"/>
  <c r="V64" i="8"/>
  <c r="V344" i="3"/>
  <c r="V345" i="3"/>
  <c r="V421" i="3" s="1"/>
  <c r="V346" i="3"/>
  <c r="V347" i="3"/>
  <c r="V423" i="3" s="1"/>
  <c r="V350" i="3"/>
  <c r="V351" i="3"/>
  <c r="V427" i="3" s="1"/>
  <c r="V352" i="3"/>
  <c r="V355" i="3"/>
  <c r="V431" i="3" s="1"/>
  <c r="V356" i="3"/>
  <c r="V359" i="3"/>
  <c r="V435" i="3" s="1"/>
  <c r="V360" i="3"/>
  <c r="V361" i="3"/>
  <c r="V437" i="3" s="1"/>
  <c r="V362" i="3"/>
  <c r="V396" i="3"/>
  <c r="V397" i="3"/>
  <c r="V398" i="3"/>
  <c r="V399" i="3"/>
  <c r="V400" i="3"/>
  <c r="V401" i="3"/>
  <c r="V402" i="3"/>
  <c r="V403" i="3"/>
  <c r="V404" i="3"/>
  <c r="V407" i="3"/>
  <c r="V410" i="3"/>
  <c r="V414" i="3"/>
  <c r="V420" i="3"/>
  <c r="V428" i="3"/>
  <c r="V432" i="3"/>
  <c r="V436" i="3"/>
  <c r="V438" i="3"/>
  <c r="V280" i="3"/>
  <c r="V281" i="3"/>
  <c r="V282" i="3"/>
  <c r="V283" i="3"/>
  <c r="V284" i="3"/>
  <c r="V285" i="3"/>
  <c r="V286" i="3"/>
  <c r="V287" i="3"/>
  <c r="V288" i="3"/>
  <c r="V291" i="3"/>
  <c r="V294" i="3"/>
  <c r="V298" i="3"/>
  <c r="V228" i="3"/>
  <c r="V304" i="3" s="1"/>
  <c r="V229" i="3"/>
  <c r="V305" i="3" s="1"/>
  <c r="V230" i="3"/>
  <c r="V231" i="3"/>
  <c r="V307" i="3" s="1"/>
  <c r="V234" i="3"/>
  <c r="V235" i="3"/>
  <c r="V311" i="3" s="1"/>
  <c r="V236" i="3"/>
  <c r="V312" i="3" s="1"/>
  <c r="V239" i="3"/>
  <c r="V315" i="3" s="1"/>
  <c r="V240" i="3"/>
  <c r="V316" i="3" s="1"/>
  <c r="V243" i="3"/>
  <c r="V319" i="3" s="1"/>
  <c r="V244" i="3"/>
  <c r="V320" i="3" s="1"/>
  <c r="V245" i="3"/>
  <c r="V321" i="3" s="1"/>
  <c r="V246" i="3"/>
  <c r="V322" i="3" s="1"/>
  <c r="V168" i="3"/>
  <c r="V169" i="3"/>
  <c r="V170" i="3"/>
  <c r="V171" i="3"/>
  <c r="V172" i="3"/>
  <c r="V173" i="3"/>
  <c r="V174" i="3"/>
  <c r="V175" i="3"/>
  <c r="V176" i="3"/>
  <c r="V179" i="3"/>
  <c r="V182" i="3"/>
  <c r="V186" i="3"/>
  <c r="V118" i="3"/>
  <c r="V192" i="3" s="1"/>
  <c r="V119" i="3"/>
  <c r="V193" i="3" s="1"/>
  <c r="V120" i="3"/>
  <c r="V121" i="3"/>
  <c r="V195" i="3" s="1"/>
  <c r="V124" i="3"/>
  <c r="V125" i="3"/>
  <c r="V199" i="3" s="1"/>
  <c r="V128" i="3"/>
  <c r="V202" i="3" s="1"/>
  <c r="V129" i="3"/>
  <c r="V203" i="3" s="1"/>
  <c r="V132" i="3"/>
  <c r="V206" i="3" s="1"/>
  <c r="V133" i="3"/>
  <c r="V207" i="3" s="1"/>
  <c r="V134" i="3"/>
  <c r="V208" i="3" s="1"/>
  <c r="V135" i="3"/>
  <c r="V209" i="3" s="1"/>
  <c r="V62" i="3"/>
  <c r="V63" i="3"/>
  <c r="V64" i="3"/>
  <c r="V65" i="3"/>
  <c r="V66" i="3"/>
  <c r="V67" i="3"/>
  <c r="V68" i="3"/>
  <c r="V69" i="3"/>
  <c r="V70" i="3"/>
  <c r="V71" i="3"/>
  <c r="V74" i="3"/>
  <c r="V77" i="3"/>
  <c r="V78" i="3"/>
  <c r="V81" i="3"/>
  <c r="V14" i="3"/>
  <c r="V15" i="3"/>
  <c r="V88" i="3" s="1"/>
  <c r="V16" i="3"/>
  <c r="V17" i="3"/>
  <c r="V90" i="3" s="1"/>
  <c r="V20" i="3"/>
  <c r="V21" i="3"/>
  <c r="V94" i="3" s="1"/>
  <c r="V24" i="3"/>
  <c r="V97" i="3" s="1"/>
  <c r="V25" i="3"/>
  <c r="V98" i="3" s="1"/>
  <c r="V28" i="3"/>
  <c r="V101" i="3" s="1"/>
  <c r="V29" i="3"/>
  <c r="V102" i="3" s="1"/>
  <c r="V30" i="3"/>
  <c r="V103" i="3" s="1"/>
  <c r="V31" i="3"/>
  <c r="V104" i="3" s="1"/>
  <c r="W192" i="15"/>
  <c r="W208" i="15"/>
  <c r="V411" i="3" s="1"/>
  <c r="W136" i="15"/>
  <c r="W152" i="15"/>
  <c r="V295" i="3" s="1"/>
  <c r="W167" i="15"/>
  <c r="W80" i="15"/>
  <c r="W96" i="15"/>
  <c r="V183" i="3" s="1"/>
  <c r="W23" i="15"/>
  <c r="W39" i="15"/>
  <c r="W107" i="14"/>
  <c r="W81" i="14"/>
  <c r="W55" i="14"/>
  <c r="V194" i="8" l="1"/>
  <c r="V111" i="8"/>
  <c r="V110" i="8"/>
  <c r="V114" i="8" s="1"/>
  <c r="V138" i="8" s="1"/>
  <c r="V53" i="8"/>
  <c r="V55" i="8" s="1"/>
  <c r="V69" i="8" s="1"/>
  <c r="V93" i="3"/>
  <c r="V89" i="3"/>
  <c r="V248" i="3"/>
  <c r="V364" i="3"/>
  <c r="V121" i="8"/>
  <c r="V120" i="8"/>
  <c r="V203" i="8"/>
  <c r="V204" i="8"/>
  <c r="V193" i="8"/>
  <c r="V196" i="8" s="1"/>
  <c r="V220" i="8" s="1"/>
  <c r="V277" i="8"/>
  <c r="V279" i="8" s="1"/>
  <c r="V302" i="8" s="1"/>
  <c r="V194" i="3"/>
  <c r="V310" i="3"/>
  <c r="V306" i="3"/>
  <c r="V426" i="3"/>
  <c r="V422" i="3"/>
  <c r="V285" i="8"/>
  <c r="V286" i="8"/>
  <c r="V33" i="3"/>
  <c r="V87" i="3"/>
  <c r="V198" i="3"/>
  <c r="V137" i="3"/>
  <c r="P23" i="25"/>
  <c r="O22" i="25"/>
  <c r="O23" i="25" s="1"/>
  <c r="N21" i="25"/>
  <c r="N22" i="25" s="1"/>
  <c r="N23" i="25" s="1"/>
  <c r="M20" i="25"/>
  <c r="M21" i="25" s="1"/>
  <c r="M22" i="25" s="1"/>
  <c r="M23" i="25" s="1"/>
  <c r="L19" i="25"/>
  <c r="L20" i="25" s="1"/>
  <c r="L21" i="25" s="1"/>
  <c r="L22" i="25" s="1"/>
  <c r="L23" i="25" s="1"/>
  <c r="S26" i="14" l="1"/>
  <c r="Q26" i="14"/>
  <c r="O26" i="14"/>
  <c r="M26" i="14"/>
  <c r="L26" i="14"/>
  <c r="R26" i="14"/>
  <c r="P26" i="14"/>
  <c r="N26" i="14"/>
  <c r="V280" i="8"/>
  <c r="V303" i="8" s="1"/>
  <c r="V197" i="8"/>
  <c r="V221" i="8" s="1"/>
  <c r="V198" i="8"/>
  <c r="V222" i="8" s="1"/>
  <c r="V113" i="8"/>
  <c r="V137" i="8" s="1"/>
  <c r="V115" i="8"/>
  <c r="V139" i="8" s="1"/>
  <c r="V112" i="8"/>
  <c r="V136" i="8" s="1"/>
  <c r="V195" i="8"/>
  <c r="V219" i="8" s="1"/>
  <c r="V278" i="8"/>
  <c r="V301" i="8" s="1"/>
  <c r="T60" i="8"/>
  <c r="M60" i="8"/>
  <c r="N60" i="8"/>
  <c r="P60" i="8"/>
  <c r="R60" i="8"/>
  <c r="S60" i="8"/>
  <c r="L60" i="8"/>
  <c r="U37" i="6" l="1"/>
  <c r="U38" i="6"/>
  <c r="U39" i="6"/>
  <c r="U69" i="6"/>
  <c r="U70" i="6"/>
  <c r="U71" i="6"/>
  <c r="U101" i="6"/>
  <c r="U102" i="6"/>
  <c r="U103" i="6"/>
  <c r="U133" i="6"/>
  <c r="U134" i="6"/>
  <c r="U135" i="6"/>
  <c r="G14" i="21" l="1"/>
  <c r="J295" i="8" l="1"/>
  <c r="J293" i="8"/>
  <c r="J213" i="8"/>
  <c r="J211" i="8"/>
  <c r="J130" i="8"/>
  <c r="J128" i="8"/>
  <c r="J61" i="8"/>
  <c r="J63" i="8"/>
  <c r="G30" i="21"/>
  <c r="N391" i="3" s="1"/>
  <c r="H26" i="21"/>
  <c r="O275" i="3"/>
  <c r="G26" i="21"/>
  <c r="N275" i="3"/>
  <c r="H22" i="21"/>
  <c r="O163" i="3"/>
  <c r="G22" i="21"/>
  <c r="N163" i="3"/>
  <c r="H30" i="21"/>
  <c r="O391" i="3" s="1"/>
  <c r="S29" i="3"/>
  <c r="N29" i="3"/>
  <c r="V23" i="15"/>
  <c r="V39" i="15"/>
  <c r="U62" i="3"/>
  <c r="U63" i="3"/>
  <c r="U64" i="3"/>
  <c r="U65" i="3"/>
  <c r="U66" i="3"/>
  <c r="U67" i="3"/>
  <c r="U68" i="3"/>
  <c r="U69" i="3"/>
  <c r="U70" i="3"/>
  <c r="U71" i="3"/>
  <c r="U74" i="3"/>
  <c r="U77" i="3"/>
  <c r="U81" i="3"/>
  <c r="U14" i="3"/>
  <c r="U87" i="3" s="1"/>
  <c r="U15" i="3"/>
  <c r="U88" i="3" s="1"/>
  <c r="U16" i="3"/>
  <c r="U17" i="3"/>
  <c r="U90" i="3" s="1"/>
  <c r="U20" i="3"/>
  <c r="U21" i="3"/>
  <c r="U94" i="3" s="1"/>
  <c r="U24" i="3"/>
  <c r="U97" i="3" s="1"/>
  <c r="U25" i="3"/>
  <c r="U98" i="3" s="1"/>
  <c r="U28" i="3"/>
  <c r="U101" i="3" s="1"/>
  <c r="U29" i="3"/>
  <c r="U102" i="3" s="1"/>
  <c r="U30" i="3"/>
  <c r="U103" i="3" s="1"/>
  <c r="U31" i="3"/>
  <c r="U104" i="3" s="1"/>
  <c r="Q162" i="3"/>
  <c r="J162" i="3" s="1"/>
  <c r="Q274" i="3"/>
  <c r="J274" i="3" s="1"/>
  <c r="M186" i="3"/>
  <c r="N186" i="3"/>
  <c r="O186" i="3"/>
  <c r="P186" i="3"/>
  <c r="Q186" i="3"/>
  <c r="R186" i="3"/>
  <c r="S186" i="3"/>
  <c r="T186" i="3"/>
  <c r="U186" i="3"/>
  <c r="L186" i="3"/>
  <c r="V135" i="6"/>
  <c r="S135" i="6"/>
  <c r="R135" i="6"/>
  <c r="Q135" i="6"/>
  <c r="P135" i="6"/>
  <c r="O135" i="6"/>
  <c r="N135" i="6"/>
  <c r="M135" i="6"/>
  <c r="V134" i="6"/>
  <c r="S134" i="6"/>
  <c r="R134" i="6"/>
  <c r="Q134" i="6"/>
  <c r="P134" i="6"/>
  <c r="O134" i="6"/>
  <c r="N134" i="6"/>
  <c r="M134" i="6"/>
  <c r="V133" i="6"/>
  <c r="S133" i="6"/>
  <c r="R133" i="6"/>
  <c r="Q133" i="6"/>
  <c r="P133" i="6"/>
  <c r="O133" i="6"/>
  <c r="N133" i="6"/>
  <c r="M133" i="6"/>
  <c r="L135" i="6"/>
  <c r="L134" i="6"/>
  <c r="L133" i="6"/>
  <c r="V71" i="6"/>
  <c r="S71" i="6"/>
  <c r="R71" i="6"/>
  <c r="Q71" i="6"/>
  <c r="P71" i="6"/>
  <c r="O71" i="6"/>
  <c r="N71" i="6"/>
  <c r="M71" i="6"/>
  <c r="V70" i="6"/>
  <c r="S70" i="6"/>
  <c r="R70" i="6"/>
  <c r="Q70" i="6"/>
  <c r="P70" i="6"/>
  <c r="O70" i="6"/>
  <c r="N70" i="6"/>
  <c r="M70" i="6"/>
  <c r="V69" i="6"/>
  <c r="S69" i="6"/>
  <c r="R69" i="6"/>
  <c r="Q69" i="6"/>
  <c r="P69" i="6"/>
  <c r="N69" i="6"/>
  <c r="M69" i="6"/>
  <c r="L71" i="6"/>
  <c r="L70" i="6"/>
  <c r="L69" i="6"/>
  <c r="L152" i="15"/>
  <c r="L295" i="3" s="1"/>
  <c r="M167" i="15"/>
  <c r="N167" i="15"/>
  <c r="O167" i="15"/>
  <c r="P167" i="15"/>
  <c r="Q167" i="15"/>
  <c r="R167" i="15"/>
  <c r="S167" i="15"/>
  <c r="U167" i="15"/>
  <c r="V167" i="15"/>
  <c r="L208" i="15"/>
  <c r="J230" i="15"/>
  <c r="J226" i="15"/>
  <c r="J220" i="15"/>
  <c r="J219" i="15"/>
  <c r="J218" i="15"/>
  <c r="J217" i="15"/>
  <c r="J216" i="15"/>
  <c r="J215" i="15"/>
  <c r="J214" i="15"/>
  <c r="J213" i="15"/>
  <c r="J212" i="15"/>
  <c r="J206" i="15"/>
  <c r="J205" i="15"/>
  <c r="J204" i="15"/>
  <c r="J203" i="15"/>
  <c r="J202" i="15"/>
  <c r="J201" i="15"/>
  <c r="J200" i="15"/>
  <c r="J199" i="15"/>
  <c r="J198" i="15"/>
  <c r="J197" i="15"/>
  <c r="J196" i="15"/>
  <c r="J190" i="15"/>
  <c r="J189" i="15"/>
  <c r="J188" i="15"/>
  <c r="J187" i="15"/>
  <c r="J186" i="15"/>
  <c r="J185" i="15"/>
  <c r="J184" i="15"/>
  <c r="J183" i="15"/>
  <c r="J182" i="15"/>
  <c r="J181" i="15"/>
  <c r="J180" i="15"/>
  <c r="J174" i="15"/>
  <c r="J170" i="15"/>
  <c r="J164" i="15"/>
  <c r="J163" i="15"/>
  <c r="J162" i="15"/>
  <c r="J161" i="15"/>
  <c r="J160" i="15"/>
  <c r="J159" i="15"/>
  <c r="J158" i="15"/>
  <c r="J157" i="15"/>
  <c r="J156" i="15"/>
  <c r="J150" i="15"/>
  <c r="J149" i="15"/>
  <c r="J148" i="15"/>
  <c r="J147" i="15"/>
  <c r="J146" i="15"/>
  <c r="J145" i="15"/>
  <c r="J144" i="15"/>
  <c r="J143" i="15"/>
  <c r="J142" i="15"/>
  <c r="J141" i="15"/>
  <c r="J140" i="15"/>
  <c r="J134" i="15"/>
  <c r="J133" i="15"/>
  <c r="J132" i="15"/>
  <c r="J131" i="15"/>
  <c r="J130" i="15"/>
  <c r="J129" i="15"/>
  <c r="J128" i="15"/>
  <c r="J127" i="15"/>
  <c r="J126" i="15"/>
  <c r="J125" i="15"/>
  <c r="J124" i="15"/>
  <c r="J118" i="15"/>
  <c r="J114" i="15"/>
  <c r="J108" i="15"/>
  <c r="J107" i="15"/>
  <c r="J106" i="15"/>
  <c r="J105" i="15"/>
  <c r="J104" i="15"/>
  <c r="J103" i="15"/>
  <c r="J102" i="15"/>
  <c r="J101" i="15"/>
  <c r="J100" i="15"/>
  <c r="J94" i="15"/>
  <c r="J93" i="15"/>
  <c r="J92" i="15"/>
  <c r="J91" i="15"/>
  <c r="J90" i="15"/>
  <c r="J89" i="15"/>
  <c r="J88" i="15"/>
  <c r="J87" i="15"/>
  <c r="J86" i="15"/>
  <c r="J85" i="15"/>
  <c r="J84" i="15"/>
  <c r="J78" i="15"/>
  <c r="J77" i="15"/>
  <c r="J76" i="15"/>
  <c r="J75" i="15"/>
  <c r="J74" i="15"/>
  <c r="J73" i="15"/>
  <c r="J72" i="15"/>
  <c r="J71" i="15"/>
  <c r="J70" i="15"/>
  <c r="J69" i="15"/>
  <c r="J68" i="15"/>
  <c r="J62" i="15"/>
  <c r="J58" i="15"/>
  <c r="J52" i="15"/>
  <c r="J51" i="15"/>
  <c r="J50" i="15"/>
  <c r="J49" i="15"/>
  <c r="J48" i="15"/>
  <c r="J47" i="15"/>
  <c r="J46" i="15"/>
  <c r="J45" i="15"/>
  <c r="J44" i="15"/>
  <c r="J43" i="15"/>
  <c r="J37" i="15"/>
  <c r="J36" i="15"/>
  <c r="J35" i="15"/>
  <c r="J34" i="15"/>
  <c r="J33" i="15"/>
  <c r="J32" i="15"/>
  <c r="J31" i="15"/>
  <c r="J30" i="15"/>
  <c r="J29" i="15"/>
  <c r="J28" i="15"/>
  <c r="J27" i="15"/>
  <c r="J21" i="15"/>
  <c r="J20" i="15"/>
  <c r="J19" i="15"/>
  <c r="J18" i="15"/>
  <c r="J17" i="15"/>
  <c r="J16" i="15"/>
  <c r="J15" i="15"/>
  <c r="J14" i="15"/>
  <c r="J13" i="15"/>
  <c r="J12" i="15"/>
  <c r="J11" i="15"/>
  <c r="J105" i="14"/>
  <c r="J104" i="14"/>
  <c r="J103" i="14"/>
  <c r="J102" i="14"/>
  <c r="J99" i="14"/>
  <c r="J98" i="14"/>
  <c r="J95" i="14"/>
  <c r="J94" i="14"/>
  <c r="J93" i="14"/>
  <c r="J90" i="14"/>
  <c r="J89" i="14"/>
  <c r="J88" i="14"/>
  <c r="J87" i="14"/>
  <c r="J79" i="14"/>
  <c r="J78" i="14"/>
  <c r="J77" i="14"/>
  <c r="J76" i="14"/>
  <c r="J73" i="14"/>
  <c r="J72" i="14"/>
  <c r="J69" i="14"/>
  <c r="J68" i="14"/>
  <c r="J67" i="14"/>
  <c r="J64" i="14"/>
  <c r="J63" i="14"/>
  <c r="J62" i="14"/>
  <c r="J61" i="14"/>
  <c r="J53" i="14"/>
  <c r="J52" i="14"/>
  <c r="J51" i="14"/>
  <c r="J50" i="14"/>
  <c r="J47" i="14"/>
  <c r="J46" i="14"/>
  <c r="J43" i="14"/>
  <c r="J42" i="14"/>
  <c r="J39" i="14"/>
  <c r="J38" i="14"/>
  <c r="J37" i="14"/>
  <c r="J36" i="14"/>
  <c r="J28" i="14"/>
  <c r="J27" i="14"/>
  <c r="J25" i="14"/>
  <c r="J22" i="14"/>
  <c r="J21" i="14"/>
  <c r="J18" i="14"/>
  <c r="J17" i="14"/>
  <c r="J14" i="14"/>
  <c r="J13" i="14"/>
  <c r="J12" i="14"/>
  <c r="J11" i="14"/>
  <c r="L28" i="16"/>
  <c r="L29" i="16"/>
  <c r="M55" i="14"/>
  <c r="M294" i="8"/>
  <c r="P294" i="8"/>
  <c r="R294" i="8"/>
  <c r="S294" i="8"/>
  <c r="T294" i="8"/>
  <c r="M292" i="8"/>
  <c r="P292" i="8"/>
  <c r="R292" i="8"/>
  <c r="S292" i="8"/>
  <c r="T292" i="8"/>
  <c r="T296" i="8" s="1"/>
  <c r="L292" i="8"/>
  <c r="M291" i="8"/>
  <c r="P291" i="8"/>
  <c r="R291" i="8"/>
  <c r="S291" i="8"/>
  <c r="S296" i="8" s="1"/>
  <c r="T291" i="8"/>
  <c r="M268" i="8"/>
  <c r="N268" i="8"/>
  <c r="O268" i="8"/>
  <c r="P268" i="8"/>
  <c r="Q268" i="8"/>
  <c r="R268" i="8"/>
  <c r="S268" i="8"/>
  <c r="T268" i="8"/>
  <c r="U268" i="8"/>
  <c r="M269" i="8"/>
  <c r="N269" i="8"/>
  <c r="O269" i="8"/>
  <c r="P269" i="8"/>
  <c r="Q269" i="8"/>
  <c r="R269" i="8"/>
  <c r="S269" i="8"/>
  <c r="T269" i="8"/>
  <c r="U269" i="8"/>
  <c r="M270" i="8"/>
  <c r="N270" i="8"/>
  <c r="O270" i="8"/>
  <c r="P270" i="8"/>
  <c r="Q270" i="8"/>
  <c r="R270" i="8"/>
  <c r="S270" i="8"/>
  <c r="T270" i="8"/>
  <c r="U270" i="8"/>
  <c r="L269" i="8"/>
  <c r="L270" i="8"/>
  <c r="M263" i="8"/>
  <c r="N263" i="8"/>
  <c r="O263" i="8"/>
  <c r="P263" i="8"/>
  <c r="Q263" i="8"/>
  <c r="R263" i="8"/>
  <c r="S263" i="8"/>
  <c r="T263" i="8"/>
  <c r="U263" i="8"/>
  <c r="M264" i="8"/>
  <c r="N264" i="8"/>
  <c r="O264" i="8"/>
  <c r="P264" i="8"/>
  <c r="Q264" i="8"/>
  <c r="R264" i="8"/>
  <c r="S264" i="8"/>
  <c r="T264" i="8"/>
  <c r="U264" i="8"/>
  <c r="M265" i="8"/>
  <c r="N265" i="8"/>
  <c r="O265" i="8"/>
  <c r="P265" i="8"/>
  <c r="Q265" i="8"/>
  <c r="R265" i="8"/>
  <c r="S265" i="8"/>
  <c r="T265" i="8"/>
  <c r="U265" i="8"/>
  <c r="L264" i="8"/>
  <c r="L265" i="8"/>
  <c r="M258" i="8"/>
  <c r="N258" i="8"/>
  <c r="O258" i="8"/>
  <c r="P258" i="8"/>
  <c r="Q258" i="8"/>
  <c r="R258" i="8"/>
  <c r="S258" i="8"/>
  <c r="T258" i="8"/>
  <c r="U258" i="8"/>
  <c r="M259" i="8"/>
  <c r="N259" i="8"/>
  <c r="N283" i="8" s="1"/>
  <c r="O259" i="8"/>
  <c r="P259" i="8"/>
  <c r="P283" i="8" s="1"/>
  <c r="Q259" i="8"/>
  <c r="Q283" i="8" s="1"/>
  <c r="R259" i="8"/>
  <c r="R283" i="8" s="1"/>
  <c r="S259" i="8"/>
  <c r="T259" i="8"/>
  <c r="U259" i="8"/>
  <c r="U283" i="8" s="1"/>
  <c r="M260" i="8"/>
  <c r="M284" i="8" s="1"/>
  <c r="N260" i="8"/>
  <c r="O260" i="8"/>
  <c r="O284" i="8" s="1"/>
  <c r="P260" i="8"/>
  <c r="P284" i="8" s="1"/>
  <c r="Q260" i="8"/>
  <c r="Q284" i="8" s="1"/>
  <c r="R260" i="8"/>
  <c r="S260" i="8"/>
  <c r="S284" i="8" s="1"/>
  <c r="T260" i="8"/>
  <c r="T284" i="8" s="1"/>
  <c r="T286" i="8" s="1"/>
  <c r="U260" i="8"/>
  <c r="U284" i="8" s="1"/>
  <c r="L259" i="8"/>
  <c r="L283" i="8" s="1"/>
  <c r="L260" i="8"/>
  <c r="L284" i="8" s="1"/>
  <c r="M253" i="8"/>
  <c r="N253" i="8"/>
  <c r="O253" i="8"/>
  <c r="P253" i="8"/>
  <c r="Q253" i="8"/>
  <c r="R253" i="8"/>
  <c r="S253" i="8"/>
  <c r="T253" i="8"/>
  <c r="U253" i="8"/>
  <c r="M254" i="8"/>
  <c r="N254" i="8"/>
  <c r="O254" i="8"/>
  <c r="P254" i="8"/>
  <c r="Q254" i="8"/>
  <c r="R254" i="8"/>
  <c r="S254" i="8"/>
  <c r="T254" i="8"/>
  <c r="U254" i="8"/>
  <c r="M255" i="8"/>
  <c r="N255" i="8"/>
  <c r="O255" i="8"/>
  <c r="P255" i="8"/>
  <c r="Q255" i="8"/>
  <c r="R255" i="8"/>
  <c r="S255" i="8"/>
  <c r="T255" i="8"/>
  <c r="U255" i="8"/>
  <c r="L254" i="8"/>
  <c r="L255" i="8"/>
  <c r="M248" i="8"/>
  <c r="N248" i="8"/>
  <c r="O248" i="8"/>
  <c r="P248" i="8"/>
  <c r="Q248" i="8"/>
  <c r="R248" i="8"/>
  <c r="S248" i="8"/>
  <c r="T248" i="8"/>
  <c r="U248" i="8"/>
  <c r="M249" i="8"/>
  <c r="N249" i="8"/>
  <c r="O249" i="8"/>
  <c r="P249" i="8"/>
  <c r="Q249" i="8"/>
  <c r="R249" i="8"/>
  <c r="S249" i="8"/>
  <c r="T249" i="8"/>
  <c r="U249" i="8"/>
  <c r="M250" i="8"/>
  <c r="N250" i="8"/>
  <c r="O250" i="8"/>
  <c r="P250" i="8"/>
  <c r="Q250" i="8"/>
  <c r="R250" i="8"/>
  <c r="S250" i="8"/>
  <c r="S277" i="8" s="1"/>
  <c r="T250" i="8"/>
  <c r="T277" i="8" s="1"/>
  <c r="T280" i="8" s="1"/>
  <c r="U250" i="8"/>
  <c r="U277" i="8" s="1"/>
  <c r="L249" i="8"/>
  <c r="L250" i="8"/>
  <c r="M129" i="8"/>
  <c r="P129" i="8"/>
  <c r="R129" i="8"/>
  <c r="S129" i="8"/>
  <c r="T129" i="8"/>
  <c r="M127" i="8"/>
  <c r="P127" i="8"/>
  <c r="R127" i="8"/>
  <c r="S127" i="8"/>
  <c r="T127" i="8"/>
  <c r="M126" i="8"/>
  <c r="P126" i="8"/>
  <c r="R126" i="8"/>
  <c r="S126" i="8"/>
  <c r="T126" i="8"/>
  <c r="T131" i="8" s="1"/>
  <c r="M212" i="8"/>
  <c r="P212" i="8"/>
  <c r="R212" i="8"/>
  <c r="S212" i="8"/>
  <c r="T212" i="8"/>
  <c r="M210" i="8"/>
  <c r="P210" i="8"/>
  <c r="R210" i="8"/>
  <c r="S210" i="8"/>
  <c r="T210" i="8"/>
  <c r="M209" i="8"/>
  <c r="N214" i="8"/>
  <c r="P209" i="8"/>
  <c r="R209" i="8"/>
  <c r="S209" i="8"/>
  <c r="T209" i="8"/>
  <c r="M185" i="8"/>
  <c r="N185" i="8"/>
  <c r="O185" i="8"/>
  <c r="P185" i="8"/>
  <c r="Q185" i="8"/>
  <c r="R185" i="8"/>
  <c r="S185" i="8"/>
  <c r="T185" i="8"/>
  <c r="U185" i="8"/>
  <c r="M186" i="8"/>
  <c r="N186" i="8"/>
  <c r="O186" i="8"/>
  <c r="P186" i="8"/>
  <c r="Q186" i="8"/>
  <c r="R186" i="8"/>
  <c r="S186" i="8"/>
  <c r="T186" i="8"/>
  <c r="U186" i="8"/>
  <c r="M187" i="8"/>
  <c r="N187" i="8"/>
  <c r="O187" i="8"/>
  <c r="P187" i="8"/>
  <c r="Q187" i="8"/>
  <c r="R187" i="8"/>
  <c r="S187" i="8"/>
  <c r="T187" i="8"/>
  <c r="U187" i="8"/>
  <c r="L186" i="8"/>
  <c r="L187" i="8"/>
  <c r="M180" i="8"/>
  <c r="N180" i="8"/>
  <c r="O180" i="8"/>
  <c r="P180" i="8"/>
  <c r="Q180" i="8"/>
  <c r="R180" i="8"/>
  <c r="S180" i="8"/>
  <c r="T180" i="8"/>
  <c r="U180" i="8"/>
  <c r="M181" i="8"/>
  <c r="N181" i="8"/>
  <c r="O181" i="8"/>
  <c r="P181" i="8"/>
  <c r="Q181" i="8"/>
  <c r="R181" i="8"/>
  <c r="S181" i="8"/>
  <c r="T181" i="8"/>
  <c r="U181" i="8"/>
  <c r="M182" i="8"/>
  <c r="N182" i="8"/>
  <c r="O182" i="8"/>
  <c r="P182" i="8"/>
  <c r="Q182" i="8"/>
  <c r="R182" i="8"/>
  <c r="S182" i="8"/>
  <c r="T182" i="8"/>
  <c r="U182" i="8"/>
  <c r="L181" i="8"/>
  <c r="L182" i="8"/>
  <c r="M175" i="8"/>
  <c r="N175" i="8"/>
  <c r="O175" i="8"/>
  <c r="P175" i="8"/>
  <c r="Q175" i="8"/>
  <c r="R175" i="8"/>
  <c r="S175" i="8"/>
  <c r="T175" i="8"/>
  <c r="U175" i="8"/>
  <c r="M176" i="8"/>
  <c r="M201" i="8" s="1"/>
  <c r="N176" i="8"/>
  <c r="O176" i="8"/>
  <c r="O201" i="8" s="1"/>
  <c r="P176" i="8"/>
  <c r="P201" i="8" s="1"/>
  <c r="P203" i="8" s="1"/>
  <c r="P226" i="8" s="1"/>
  <c r="P30" i="18" s="1"/>
  <c r="Q176" i="8"/>
  <c r="Q201" i="8" s="1"/>
  <c r="R176" i="8"/>
  <c r="S176" i="8"/>
  <c r="S201" i="8" s="1"/>
  <c r="T176" i="8"/>
  <c r="T201" i="8" s="1"/>
  <c r="U176" i="8"/>
  <c r="M177" i="8"/>
  <c r="N177" i="8"/>
  <c r="O177" i="8"/>
  <c r="P177" i="8"/>
  <c r="Q177" i="8"/>
  <c r="R177" i="8"/>
  <c r="S177" i="8"/>
  <c r="T177" i="8"/>
  <c r="U177" i="8"/>
  <c r="U202" i="8" s="1"/>
  <c r="L176" i="8"/>
  <c r="L177" i="8"/>
  <c r="L202" i="8" s="1"/>
  <c r="L203" i="8" s="1"/>
  <c r="L226" i="8" s="1"/>
  <c r="M170" i="8"/>
  <c r="N170" i="8"/>
  <c r="O170" i="8"/>
  <c r="P170" i="8"/>
  <c r="Q170" i="8"/>
  <c r="R170" i="8"/>
  <c r="S170" i="8"/>
  <c r="T170" i="8"/>
  <c r="U170" i="8"/>
  <c r="M171" i="8"/>
  <c r="N171" i="8"/>
  <c r="O171" i="8"/>
  <c r="P171" i="8"/>
  <c r="Q171" i="8"/>
  <c r="R171" i="8"/>
  <c r="S171" i="8"/>
  <c r="S193" i="8" s="1"/>
  <c r="S196" i="8" s="1"/>
  <c r="T171" i="8"/>
  <c r="U171" i="8"/>
  <c r="M172" i="8"/>
  <c r="N172" i="8"/>
  <c r="O172" i="8"/>
  <c r="P172" i="8"/>
  <c r="Q172" i="8"/>
  <c r="R172" i="8"/>
  <c r="R194" i="8" s="1"/>
  <c r="S172" i="8"/>
  <c r="T172" i="8"/>
  <c r="U172" i="8"/>
  <c r="L171" i="8"/>
  <c r="L193" i="8" s="1"/>
  <c r="L172" i="8"/>
  <c r="M165" i="8"/>
  <c r="N165" i="8"/>
  <c r="O165" i="8"/>
  <c r="P165" i="8"/>
  <c r="Q165" i="8"/>
  <c r="R165" i="8"/>
  <c r="S165" i="8"/>
  <c r="T165" i="8"/>
  <c r="U165" i="8"/>
  <c r="M166" i="8"/>
  <c r="N166" i="8"/>
  <c r="N193" i="8" s="1"/>
  <c r="O166" i="8"/>
  <c r="P166" i="8"/>
  <c r="Q166" i="8"/>
  <c r="R166" i="8"/>
  <c r="S166" i="8"/>
  <c r="T166" i="8"/>
  <c r="U166" i="8"/>
  <c r="M167" i="8"/>
  <c r="N167" i="8"/>
  <c r="O167" i="8"/>
  <c r="P167" i="8"/>
  <c r="Q167" i="8"/>
  <c r="R167" i="8"/>
  <c r="S167" i="8"/>
  <c r="T167" i="8"/>
  <c r="U167" i="8"/>
  <c r="L166" i="8"/>
  <c r="L167" i="8"/>
  <c r="M102" i="8"/>
  <c r="N102" i="8"/>
  <c r="O102" i="8"/>
  <c r="P102" i="8"/>
  <c r="Q102" i="8"/>
  <c r="R102" i="8"/>
  <c r="S102" i="8"/>
  <c r="T102" i="8"/>
  <c r="U102" i="8"/>
  <c r="M103" i="8"/>
  <c r="N103" i="8"/>
  <c r="O103" i="8"/>
  <c r="P103" i="8"/>
  <c r="Q103" i="8"/>
  <c r="R103" i="8"/>
  <c r="S103" i="8"/>
  <c r="T103" i="8"/>
  <c r="U103" i="8"/>
  <c r="M104" i="8"/>
  <c r="N104" i="8"/>
  <c r="O104" i="8"/>
  <c r="P104" i="8"/>
  <c r="Q104" i="8"/>
  <c r="R104" i="8"/>
  <c r="S104" i="8"/>
  <c r="T104" i="8"/>
  <c r="U104" i="8"/>
  <c r="L103" i="8"/>
  <c r="L104" i="8"/>
  <c r="M97" i="8"/>
  <c r="N97" i="8"/>
  <c r="O97" i="8"/>
  <c r="P97" i="8"/>
  <c r="Q97" i="8"/>
  <c r="R97" i="8"/>
  <c r="S97" i="8"/>
  <c r="T97" i="8"/>
  <c r="U97" i="8"/>
  <c r="M98" i="8"/>
  <c r="N98" i="8"/>
  <c r="O98" i="8"/>
  <c r="P98" i="8"/>
  <c r="Q98" i="8"/>
  <c r="R98" i="8"/>
  <c r="S98" i="8"/>
  <c r="T98" i="8"/>
  <c r="U98" i="8"/>
  <c r="M99" i="8"/>
  <c r="N99" i="8"/>
  <c r="O99" i="8"/>
  <c r="P99" i="8"/>
  <c r="Q99" i="8"/>
  <c r="R99" i="8"/>
  <c r="S99" i="8"/>
  <c r="T99" i="8"/>
  <c r="U99" i="8"/>
  <c r="L98" i="8"/>
  <c r="L99" i="8"/>
  <c r="M92" i="8"/>
  <c r="N92" i="8"/>
  <c r="O92" i="8"/>
  <c r="P92" i="8"/>
  <c r="Q92" i="8"/>
  <c r="R92" i="8"/>
  <c r="S92" i="8"/>
  <c r="T92" i="8"/>
  <c r="U92" i="8"/>
  <c r="M93" i="8"/>
  <c r="M118" i="8" s="1"/>
  <c r="N93" i="8"/>
  <c r="O93" i="8"/>
  <c r="P93" i="8"/>
  <c r="Q93" i="8"/>
  <c r="R93" i="8"/>
  <c r="S93" i="8"/>
  <c r="T93" i="8"/>
  <c r="U93" i="8"/>
  <c r="M94" i="8"/>
  <c r="N94" i="8"/>
  <c r="N119" i="8" s="1"/>
  <c r="O94" i="8"/>
  <c r="O119" i="8" s="1"/>
  <c r="P94" i="8"/>
  <c r="P119" i="8" s="1"/>
  <c r="Q94" i="8"/>
  <c r="Q119" i="8" s="1"/>
  <c r="R94" i="8"/>
  <c r="R119" i="8" s="1"/>
  <c r="S94" i="8"/>
  <c r="T94" i="8"/>
  <c r="T119" i="8" s="1"/>
  <c r="U94" i="8"/>
  <c r="L93" i="8"/>
  <c r="L94" i="8"/>
  <c r="M87" i="8"/>
  <c r="N87" i="8"/>
  <c r="O87" i="8"/>
  <c r="P87" i="8"/>
  <c r="Q87" i="8"/>
  <c r="R87" i="8"/>
  <c r="S87" i="8"/>
  <c r="T87" i="8"/>
  <c r="U87" i="8"/>
  <c r="M88" i="8"/>
  <c r="N88" i="8"/>
  <c r="O88" i="8"/>
  <c r="P88" i="8"/>
  <c r="Q88" i="8"/>
  <c r="R88" i="8"/>
  <c r="S88" i="8"/>
  <c r="T88" i="8"/>
  <c r="U88" i="8"/>
  <c r="M89" i="8"/>
  <c r="N89" i="8"/>
  <c r="O89" i="8"/>
  <c r="P89" i="8"/>
  <c r="Q89" i="8"/>
  <c r="R89" i="8"/>
  <c r="S89" i="8"/>
  <c r="T89" i="8"/>
  <c r="U89" i="8"/>
  <c r="L88" i="8"/>
  <c r="L89" i="8"/>
  <c r="L87" i="8"/>
  <c r="M82" i="8"/>
  <c r="N82" i="8"/>
  <c r="O82" i="8"/>
  <c r="P82" i="8"/>
  <c r="Q82" i="8"/>
  <c r="R82" i="8"/>
  <c r="S82" i="8"/>
  <c r="T82" i="8"/>
  <c r="U82" i="8"/>
  <c r="M83" i="8"/>
  <c r="N83" i="8"/>
  <c r="O83" i="8"/>
  <c r="O110" i="8" s="1"/>
  <c r="P83" i="8"/>
  <c r="Q83" i="8"/>
  <c r="R83" i="8"/>
  <c r="S83" i="8"/>
  <c r="T83" i="8"/>
  <c r="U83" i="8"/>
  <c r="M84" i="8"/>
  <c r="N84" i="8"/>
  <c r="O84" i="8"/>
  <c r="P84" i="8"/>
  <c r="P111" i="8" s="1"/>
  <c r="P112" i="8" s="1"/>
  <c r="Q84" i="8"/>
  <c r="R84" i="8"/>
  <c r="S84" i="8"/>
  <c r="T84" i="8"/>
  <c r="U84" i="8"/>
  <c r="L83" i="8"/>
  <c r="L84" i="8"/>
  <c r="L82" i="8"/>
  <c r="M62" i="8"/>
  <c r="N62" i="8"/>
  <c r="P62" i="8"/>
  <c r="P64" i="8" s="1"/>
  <c r="R62" i="8"/>
  <c r="S62" i="8"/>
  <c r="T62" i="8"/>
  <c r="M59" i="8"/>
  <c r="N59" i="8"/>
  <c r="P59" i="8"/>
  <c r="R59" i="8"/>
  <c r="S59" i="8"/>
  <c r="T59" i="8"/>
  <c r="J60" i="8"/>
  <c r="L59" i="8"/>
  <c r="J59" i="8" s="1"/>
  <c r="M45" i="8"/>
  <c r="N45" i="8"/>
  <c r="O45" i="8"/>
  <c r="P45" i="8"/>
  <c r="Q45" i="8"/>
  <c r="R45" i="8"/>
  <c r="S45" i="8"/>
  <c r="T45" i="8"/>
  <c r="U45" i="8"/>
  <c r="M46" i="8"/>
  <c r="N46" i="8"/>
  <c r="O46" i="8"/>
  <c r="P46" i="8"/>
  <c r="Q46" i="8"/>
  <c r="R46" i="8"/>
  <c r="S46" i="8"/>
  <c r="T46" i="8"/>
  <c r="U46" i="8"/>
  <c r="M47" i="8"/>
  <c r="N47" i="8"/>
  <c r="O47" i="8"/>
  <c r="P47" i="8"/>
  <c r="Q47" i="8"/>
  <c r="R47" i="8"/>
  <c r="S47" i="8"/>
  <c r="T47" i="8"/>
  <c r="U47" i="8"/>
  <c r="L46" i="8"/>
  <c r="L47" i="8"/>
  <c r="L45" i="8"/>
  <c r="M40" i="8"/>
  <c r="N40" i="8"/>
  <c r="O40" i="8"/>
  <c r="P40" i="8"/>
  <c r="Q40" i="8"/>
  <c r="R40" i="8"/>
  <c r="S40" i="8"/>
  <c r="T40" i="8"/>
  <c r="U40" i="8"/>
  <c r="M41" i="8"/>
  <c r="N41" i="8"/>
  <c r="O41" i="8"/>
  <c r="P41" i="8"/>
  <c r="Q41" i="8"/>
  <c r="R41" i="8"/>
  <c r="S41" i="8"/>
  <c r="T41" i="8"/>
  <c r="U41" i="8"/>
  <c r="M42" i="8"/>
  <c r="N42" i="8"/>
  <c r="O42" i="8"/>
  <c r="P42" i="8"/>
  <c r="Q42" i="8"/>
  <c r="R42" i="8"/>
  <c r="S42" i="8"/>
  <c r="T42" i="8"/>
  <c r="U42" i="8"/>
  <c r="L41" i="8"/>
  <c r="L42" i="8"/>
  <c r="L40" i="8"/>
  <c r="M35" i="8"/>
  <c r="N35" i="8"/>
  <c r="O35" i="8"/>
  <c r="P35" i="8"/>
  <c r="Q35" i="8"/>
  <c r="R35" i="8"/>
  <c r="S35" i="8"/>
  <c r="T35" i="8"/>
  <c r="U35" i="8"/>
  <c r="M36" i="8"/>
  <c r="N36" i="8"/>
  <c r="O36" i="8"/>
  <c r="P36" i="8"/>
  <c r="Q36" i="8"/>
  <c r="R36" i="8"/>
  <c r="S36" i="8"/>
  <c r="T36" i="8"/>
  <c r="U36" i="8"/>
  <c r="M37" i="8"/>
  <c r="N37" i="8"/>
  <c r="O37" i="8"/>
  <c r="P37" i="8"/>
  <c r="Q37" i="8"/>
  <c r="R37" i="8"/>
  <c r="S37" i="8"/>
  <c r="T37" i="8"/>
  <c r="U37" i="8"/>
  <c r="L36" i="8"/>
  <c r="L37" i="8"/>
  <c r="L35" i="8"/>
  <c r="M30" i="8"/>
  <c r="N30" i="8"/>
  <c r="O30" i="8"/>
  <c r="P30" i="8"/>
  <c r="Q30" i="8"/>
  <c r="R30" i="8"/>
  <c r="S30" i="8"/>
  <c r="T30" i="8"/>
  <c r="U30" i="8"/>
  <c r="M31" i="8"/>
  <c r="N31" i="8"/>
  <c r="O31" i="8"/>
  <c r="P31" i="8"/>
  <c r="Q31" i="8"/>
  <c r="R31" i="8"/>
  <c r="S31" i="8"/>
  <c r="T31" i="8"/>
  <c r="U31" i="8"/>
  <c r="M32" i="8"/>
  <c r="N32" i="8"/>
  <c r="O32" i="8"/>
  <c r="P32" i="8"/>
  <c r="Q32" i="8"/>
  <c r="R32" i="8"/>
  <c r="S32" i="8"/>
  <c r="T32" i="8"/>
  <c r="U32" i="8"/>
  <c r="L31" i="8"/>
  <c r="L32" i="8"/>
  <c r="L30" i="8"/>
  <c r="M25" i="8"/>
  <c r="N25" i="8"/>
  <c r="O25" i="8"/>
  <c r="P25" i="8"/>
  <c r="Q25" i="8"/>
  <c r="R25" i="8"/>
  <c r="S25" i="8"/>
  <c r="T25" i="8"/>
  <c r="U25" i="8"/>
  <c r="M26" i="8"/>
  <c r="M53" i="8" s="1"/>
  <c r="N26" i="8"/>
  <c r="N53" i="8" s="1"/>
  <c r="O26" i="8"/>
  <c r="O53" i="8" s="1"/>
  <c r="P26" i="8"/>
  <c r="P53" i="8" s="1"/>
  <c r="Q26" i="8"/>
  <c r="Q53" i="8" s="1"/>
  <c r="R26" i="8"/>
  <c r="R53" i="8" s="1"/>
  <c r="S26" i="8"/>
  <c r="T26" i="8"/>
  <c r="U26" i="8"/>
  <c r="U53" i="8" s="1"/>
  <c r="M27" i="8"/>
  <c r="M54" i="8" s="1"/>
  <c r="N27" i="8"/>
  <c r="N54" i="8" s="1"/>
  <c r="O27" i="8"/>
  <c r="O54" i="8" s="1"/>
  <c r="P27" i="8"/>
  <c r="P54" i="8" s="1"/>
  <c r="Q27" i="8"/>
  <c r="Q54" i="8" s="1"/>
  <c r="R27" i="8"/>
  <c r="R54" i="8" s="1"/>
  <c r="S27" i="8"/>
  <c r="S54" i="8" s="1"/>
  <c r="T27" i="8"/>
  <c r="T54" i="8" s="1"/>
  <c r="U27" i="8"/>
  <c r="U54" i="8" s="1"/>
  <c r="L26" i="8"/>
  <c r="L27" i="8"/>
  <c r="L54" i="8" s="1"/>
  <c r="L25" i="8"/>
  <c r="M414" i="3"/>
  <c r="N414" i="3"/>
  <c r="O414" i="3"/>
  <c r="P414" i="3"/>
  <c r="Q414" i="3"/>
  <c r="R414" i="3"/>
  <c r="S414" i="3"/>
  <c r="T414" i="3"/>
  <c r="L414" i="3"/>
  <c r="M410" i="3"/>
  <c r="N410" i="3"/>
  <c r="O410" i="3"/>
  <c r="P410" i="3"/>
  <c r="Q410" i="3"/>
  <c r="R410" i="3"/>
  <c r="S410" i="3"/>
  <c r="T410" i="3"/>
  <c r="L410" i="3"/>
  <c r="M407" i="3"/>
  <c r="N407" i="3"/>
  <c r="O407" i="3"/>
  <c r="P407" i="3"/>
  <c r="Q407" i="3"/>
  <c r="R407" i="3"/>
  <c r="S407" i="3"/>
  <c r="T407" i="3"/>
  <c r="L407" i="3"/>
  <c r="M396" i="3"/>
  <c r="N396" i="3"/>
  <c r="O396" i="3"/>
  <c r="P396" i="3"/>
  <c r="Q396" i="3"/>
  <c r="R396" i="3"/>
  <c r="S396" i="3"/>
  <c r="T396" i="3"/>
  <c r="M397" i="3"/>
  <c r="N397" i="3"/>
  <c r="O397" i="3"/>
  <c r="P397" i="3"/>
  <c r="Q397" i="3"/>
  <c r="R397" i="3"/>
  <c r="S397" i="3"/>
  <c r="T397" i="3"/>
  <c r="M398" i="3"/>
  <c r="N398" i="3"/>
  <c r="O398" i="3"/>
  <c r="P398" i="3"/>
  <c r="Q398" i="3"/>
  <c r="R398" i="3"/>
  <c r="S398" i="3"/>
  <c r="T398" i="3"/>
  <c r="M399" i="3"/>
  <c r="N399" i="3"/>
  <c r="O399" i="3"/>
  <c r="P399" i="3"/>
  <c r="Q399" i="3"/>
  <c r="R399" i="3"/>
  <c r="S399" i="3"/>
  <c r="T399" i="3"/>
  <c r="M400" i="3"/>
  <c r="N400" i="3"/>
  <c r="O400" i="3"/>
  <c r="P400" i="3"/>
  <c r="Q400" i="3"/>
  <c r="R400" i="3"/>
  <c r="S400" i="3"/>
  <c r="T400" i="3"/>
  <c r="M401" i="3"/>
  <c r="N401" i="3"/>
  <c r="O401" i="3"/>
  <c r="P401" i="3"/>
  <c r="Q401" i="3"/>
  <c r="R401" i="3"/>
  <c r="S401" i="3"/>
  <c r="T401" i="3"/>
  <c r="M402" i="3"/>
  <c r="N402" i="3"/>
  <c r="O402" i="3"/>
  <c r="P402" i="3"/>
  <c r="Q402" i="3"/>
  <c r="R402" i="3"/>
  <c r="S402" i="3"/>
  <c r="T402" i="3"/>
  <c r="M403" i="3"/>
  <c r="N403" i="3"/>
  <c r="O403" i="3"/>
  <c r="P403" i="3"/>
  <c r="Q403" i="3"/>
  <c r="R403" i="3"/>
  <c r="S403" i="3"/>
  <c r="T403" i="3"/>
  <c r="M404" i="3"/>
  <c r="N404" i="3"/>
  <c r="O404" i="3"/>
  <c r="P404" i="3"/>
  <c r="Q404" i="3"/>
  <c r="R404" i="3"/>
  <c r="S404" i="3"/>
  <c r="T404" i="3"/>
  <c r="L397" i="3"/>
  <c r="L398" i="3"/>
  <c r="L399" i="3"/>
  <c r="L400" i="3"/>
  <c r="L401" i="3"/>
  <c r="L402" i="3"/>
  <c r="L403" i="3"/>
  <c r="L404" i="3"/>
  <c r="L396" i="3"/>
  <c r="M359" i="3"/>
  <c r="N359" i="3"/>
  <c r="N435" i="3" s="1"/>
  <c r="O359" i="3"/>
  <c r="P359" i="3"/>
  <c r="P435" i="3" s="1"/>
  <c r="Q359" i="3"/>
  <c r="R359" i="3"/>
  <c r="R435" i="3" s="1"/>
  <c r="S359" i="3"/>
  <c r="T359" i="3"/>
  <c r="T435" i="3" s="1"/>
  <c r="M360" i="3"/>
  <c r="M436" i="3" s="1"/>
  <c r="N360" i="3"/>
  <c r="N436" i="3" s="1"/>
  <c r="O360" i="3"/>
  <c r="P360" i="3"/>
  <c r="P436" i="3" s="1"/>
  <c r="Q360" i="3"/>
  <c r="R360" i="3"/>
  <c r="R436" i="3" s="1"/>
  <c r="S360" i="3"/>
  <c r="S436" i="3" s="1"/>
  <c r="T360" i="3"/>
  <c r="T436" i="3" s="1"/>
  <c r="M361" i="3"/>
  <c r="N361" i="3"/>
  <c r="N437" i="3" s="1"/>
  <c r="O361" i="3"/>
  <c r="P361" i="3"/>
  <c r="P437" i="3" s="1"/>
  <c r="Q361" i="3"/>
  <c r="R361" i="3"/>
  <c r="R437" i="3" s="1"/>
  <c r="S361" i="3"/>
  <c r="S437" i="3" s="1"/>
  <c r="T361" i="3"/>
  <c r="T437" i="3" s="1"/>
  <c r="M362" i="3"/>
  <c r="N362" i="3"/>
  <c r="N438" i="3" s="1"/>
  <c r="O362" i="3"/>
  <c r="O438" i="3" s="1"/>
  <c r="P362" i="3"/>
  <c r="P438" i="3" s="1"/>
  <c r="Q362" i="3"/>
  <c r="R362" i="3"/>
  <c r="R438" i="3" s="1"/>
  <c r="S362" i="3"/>
  <c r="T362" i="3"/>
  <c r="T438" i="3" s="1"/>
  <c r="L360" i="3"/>
  <c r="L436" i="3" s="1"/>
  <c r="L361" i="3"/>
  <c r="L437" i="3" s="1"/>
  <c r="L362" i="3"/>
  <c r="L438" i="3" s="1"/>
  <c r="L359" i="3"/>
  <c r="L435" i="3" s="1"/>
  <c r="M355" i="3"/>
  <c r="M431" i="3" s="1"/>
  <c r="N355" i="3"/>
  <c r="N431" i="3" s="1"/>
  <c r="O355" i="3"/>
  <c r="P355" i="3"/>
  <c r="P431" i="3" s="1"/>
  <c r="Q355" i="3"/>
  <c r="Q431" i="3" s="1"/>
  <c r="R355" i="3"/>
  <c r="R431" i="3" s="1"/>
  <c r="S355" i="3"/>
  <c r="T355" i="3"/>
  <c r="T431" i="3" s="1"/>
  <c r="M356" i="3"/>
  <c r="M432" i="3" s="1"/>
  <c r="N356" i="3"/>
  <c r="N432" i="3" s="1"/>
  <c r="O356" i="3"/>
  <c r="P356" i="3"/>
  <c r="P432" i="3" s="1"/>
  <c r="P446" i="3" s="1"/>
  <c r="P41" i="18" s="1"/>
  <c r="Q356" i="3"/>
  <c r="Q432" i="3" s="1"/>
  <c r="Q446" i="3" s="1"/>
  <c r="Q41" i="18" s="1"/>
  <c r="R356" i="3"/>
  <c r="R432" i="3" s="1"/>
  <c r="S356" i="3"/>
  <c r="T356" i="3"/>
  <c r="L356" i="3"/>
  <c r="L432" i="3" s="1"/>
  <c r="M350" i="3"/>
  <c r="N350" i="3"/>
  <c r="O350" i="3"/>
  <c r="P350" i="3"/>
  <c r="Q350" i="3"/>
  <c r="R350" i="3"/>
  <c r="S350" i="3"/>
  <c r="M351" i="3"/>
  <c r="M427" i="3" s="1"/>
  <c r="N351" i="3"/>
  <c r="N427" i="3" s="1"/>
  <c r="O351" i="3"/>
  <c r="P351" i="3"/>
  <c r="P427" i="3" s="1"/>
  <c r="Q351" i="3"/>
  <c r="R351" i="3"/>
  <c r="R427" i="3" s="1"/>
  <c r="S351" i="3"/>
  <c r="M352" i="3"/>
  <c r="M428" i="3" s="1"/>
  <c r="N352" i="3"/>
  <c r="N428" i="3" s="1"/>
  <c r="O352" i="3"/>
  <c r="O428" i="3" s="1"/>
  <c r="P352" i="3"/>
  <c r="P428" i="3" s="1"/>
  <c r="Q352" i="3"/>
  <c r="Q428" i="3" s="1"/>
  <c r="R352" i="3"/>
  <c r="S352" i="3"/>
  <c r="S428" i="3" s="1"/>
  <c r="L351" i="3"/>
  <c r="L427" i="3" s="1"/>
  <c r="L352" i="3"/>
  <c r="L428" i="3" s="1"/>
  <c r="L350" i="3"/>
  <c r="M344" i="3"/>
  <c r="M420" i="3" s="1"/>
  <c r="N344" i="3"/>
  <c r="O344" i="3"/>
  <c r="O420" i="3" s="1"/>
  <c r="P344" i="3"/>
  <c r="Q344" i="3"/>
  <c r="Q420" i="3" s="1"/>
  <c r="R344" i="3"/>
  <c r="S344" i="3"/>
  <c r="S420" i="3" s="1"/>
  <c r="M345" i="3"/>
  <c r="M421" i="3" s="1"/>
  <c r="N345" i="3"/>
  <c r="N421" i="3" s="1"/>
  <c r="O345" i="3"/>
  <c r="O421" i="3" s="1"/>
  <c r="P345" i="3"/>
  <c r="P421" i="3" s="1"/>
  <c r="Q345" i="3"/>
  <c r="R345" i="3"/>
  <c r="R421" i="3" s="1"/>
  <c r="S345" i="3"/>
  <c r="S421" i="3" s="1"/>
  <c r="M346" i="3"/>
  <c r="N346" i="3"/>
  <c r="O346" i="3"/>
  <c r="O422" i="3" s="1"/>
  <c r="P346" i="3"/>
  <c r="Q346" i="3"/>
  <c r="R346" i="3"/>
  <c r="S346" i="3"/>
  <c r="M347" i="3"/>
  <c r="M423" i="3" s="1"/>
  <c r="N347" i="3"/>
  <c r="N423" i="3" s="1"/>
  <c r="O347" i="3"/>
  <c r="O423" i="3" s="1"/>
  <c r="P347" i="3"/>
  <c r="P423" i="3" s="1"/>
  <c r="Q347" i="3"/>
  <c r="R347" i="3"/>
  <c r="R423" i="3" s="1"/>
  <c r="S347" i="3"/>
  <c r="L345" i="3"/>
  <c r="L346" i="3"/>
  <c r="L347" i="3"/>
  <c r="L423" i="3" s="1"/>
  <c r="L344" i="3"/>
  <c r="L280" i="3"/>
  <c r="M298" i="3"/>
  <c r="N298" i="3"/>
  <c r="O298" i="3"/>
  <c r="P298" i="3"/>
  <c r="Q298" i="3"/>
  <c r="R298" i="3"/>
  <c r="S298" i="3"/>
  <c r="T298" i="3"/>
  <c r="U298" i="3"/>
  <c r="L298" i="3"/>
  <c r="M294" i="3"/>
  <c r="N294" i="3"/>
  <c r="O294" i="3"/>
  <c r="P294" i="3"/>
  <c r="Q294" i="3"/>
  <c r="R294" i="3"/>
  <c r="S294" i="3"/>
  <c r="T294" i="3"/>
  <c r="U294" i="3"/>
  <c r="L294" i="3"/>
  <c r="M291" i="3"/>
  <c r="N291" i="3"/>
  <c r="O291" i="3"/>
  <c r="P291" i="3"/>
  <c r="Q291" i="3"/>
  <c r="R291" i="3"/>
  <c r="S291" i="3"/>
  <c r="T291" i="3"/>
  <c r="U291" i="3"/>
  <c r="L291" i="3"/>
  <c r="M280" i="3"/>
  <c r="N280" i="3"/>
  <c r="O280" i="3"/>
  <c r="P280" i="3"/>
  <c r="Q280" i="3"/>
  <c r="R280" i="3"/>
  <c r="S280" i="3"/>
  <c r="T280" i="3"/>
  <c r="U280" i="3"/>
  <c r="M281" i="3"/>
  <c r="N281" i="3"/>
  <c r="O281" i="3"/>
  <c r="P281" i="3"/>
  <c r="Q281" i="3"/>
  <c r="R281" i="3"/>
  <c r="S281" i="3"/>
  <c r="T281" i="3"/>
  <c r="U281" i="3"/>
  <c r="M282" i="3"/>
  <c r="N282" i="3"/>
  <c r="O282" i="3"/>
  <c r="P282" i="3"/>
  <c r="Q282" i="3"/>
  <c r="R282" i="3"/>
  <c r="S282" i="3"/>
  <c r="T282" i="3"/>
  <c r="U282" i="3"/>
  <c r="M283" i="3"/>
  <c r="N283" i="3"/>
  <c r="O283" i="3"/>
  <c r="P283" i="3"/>
  <c r="Q283" i="3"/>
  <c r="R283" i="3"/>
  <c r="S283" i="3"/>
  <c r="T283" i="3"/>
  <c r="U283" i="3"/>
  <c r="M284" i="3"/>
  <c r="N284" i="3"/>
  <c r="O284" i="3"/>
  <c r="P284" i="3"/>
  <c r="Q284" i="3"/>
  <c r="R284" i="3"/>
  <c r="S284" i="3"/>
  <c r="T284" i="3"/>
  <c r="U284" i="3"/>
  <c r="M285" i="3"/>
  <c r="N285" i="3"/>
  <c r="O285" i="3"/>
  <c r="P285" i="3"/>
  <c r="Q285" i="3"/>
  <c r="R285" i="3"/>
  <c r="S285" i="3"/>
  <c r="T285" i="3"/>
  <c r="U285" i="3"/>
  <c r="M286" i="3"/>
  <c r="N286" i="3"/>
  <c r="O286" i="3"/>
  <c r="P286" i="3"/>
  <c r="Q286" i="3"/>
  <c r="R286" i="3"/>
  <c r="S286" i="3"/>
  <c r="T286" i="3"/>
  <c r="U286" i="3"/>
  <c r="M287" i="3"/>
  <c r="N287" i="3"/>
  <c r="O287" i="3"/>
  <c r="P287" i="3"/>
  <c r="Q287" i="3"/>
  <c r="R287" i="3"/>
  <c r="S287" i="3"/>
  <c r="T287" i="3"/>
  <c r="U287" i="3"/>
  <c r="M288" i="3"/>
  <c r="N288" i="3"/>
  <c r="O288" i="3"/>
  <c r="P288" i="3"/>
  <c r="Q288" i="3"/>
  <c r="R288" i="3"/>
  <c r="S288" i="3"/>
  <c r="T288" i="3"/>
  <c r="U288" i="3"/>
  <c r="L281" i="3"/>
  <c r="L282" i="3"/>
  <c r="L283" i="3"/>
  <c r="L284" i="3"/>
  <c r="L285" i="3"/>
  <c r="L286" i="3"/>
  <c r="L287" i="3"/>
  <c r="L288" i="3"/>
  <c r="M243" i="3"/>
  <c r="M319" i="3" s="1"/>
  <c r="N243" i="3"/>
  <c r="N319" i="3" s="1"/>
  <c r="O243" i="3"/>
  <c r="O319" i="3" s="1"/>
  <c r="P243" i="3"/>
  <c r="Q243" i="3"/>
  <c r="Q319" i="3" s="1"/>
  <c r="R243" i="3"/>
  <c r="S243" i="3"/>
  <c r="S319" i="3" s="1"/>
  <c r="T243" i="3"/>
  <c r="U243" i="3"/>
  <c r="U319" i="3" s="1"/>
  <c r="M244" i="3"/>
  <c r="N244" i="3"/>
  <c r="N320" i="3" s="1"/>
  <c r="O244" i="3"/>
  <c r="P244" i="3"/>
  <c r="P320" i="3" s="1"/>
  <c r="Q244" i="3"/>
  <c r="R244" i="3"/>
  <c r="R320" i="3" s="1"/>
  <c r="S244" i="3"/>
  <c r="T244" i="3"/>
  <c r="T320" i="3" s="1"/>
  <c r="U244" i="3"/>
  <c r="M245" i="3"/>
  <c r="M321" i="3" s="1"/>
  <c r="N245" i="3"/>
  <c r="N321" i="3" s="1"/>
  <c r="O245" i="3"/>
  <c r="O321" i="3" s="1"/>
  <c r="P245" i="3"/>
  <c r="Q245" i="3"/>
  <c r="Q321" i="3" s="1"/>
  <c r="R245" i="3"/>
  <c r="J245" i="3" s="1"/>
  <c r="S245" i="3"/>
  <c r="S321" i="3" s="1"/>
  <c r="T245" i="3"/>
  <c r="U245" i="3"/>
  <c r="U321" i="3" s="1"/>
  <c r="M246" i="3"/>
  <c r="N246" i="3"/>
  <c r="N322" i="3" s="1"/>
  <c r="O246" i="3"/>
  <c r="P246" i="3"/>
  <c r="P322" i="3" s="1"/>
  <c r="Q246" i="3"/>
  <c r="R246" i="3"/>
  <c r="R322" i="3" s="1"/>
  <c r="S246" i="3"/>
  <c r="T246" i="3"/>
  <c r="T322" i="3" s="1"/>
  <c r="U246" i="3"/>
  <c r="L244" i="3"/>
  <c r="L320" i="3" s="1"/>
  <c r="L245" i="3"/>
  <c r="L246" i="3"/>
  <c r="L243" i="3"/>
  <c r="L319" i="3" s="1"/>
  <c r="M239" i="3"/>
  <c r="M315" i="3" s="1"/>
  <c r="N239" i="3"/>
  <c r="N315" i="3" s="1"/>
  <c r="O239" i="3"/>
  <c r="O315" i="3" s="1"/>
  <c r="P239" i="3"/>
  <c r="Q239" i="3"/>
  <c r="Q315" i="3" s="1"/>
  <c r="R239" i="3"/>
  <c r="S239" i="3"/>
  <c r="S315" i="3" s="1"/>
  <c r="T239" i="3"/>
  <c r="U239" i="3"/>
  <c r="U315" i="3" s="1"/>
  <c r="M240" i="3"/>
  <c r="N240" i="3"/>
  <c r="N316" i="3" s="1"/>
  <c r="O240" i="3"/>
  <c r="P240" i="3"/>
  <c r="P316" i="3" s="1"/>
  <c r="Q240" i="3"/>
  <c r="R240" i="3"/>
  <c r="R316" i="3" s="1"/>
  <c r="S240" i="3"/>
  <c r="S316" i="3" s="1"/>
  <c r="T240" i="3"/>
  <c r="T316" i="3" s="1"/>
  <c r="U240" i="3"/>
  <c r="L240" i="3"/>
  <c r="L316" i="3" s="1"/>
  <c r="L239" i="3"/>
  <c r="M234" i="3"/>
  <c r="N234" i="3"/>
  <c r="O234" i="3"/>
  <c r="P234" i="3"/>
  <c r="Q234" i="3"/>
  <c r="R234" i="3"/>
  <c r="S234" i="3"/>
  <c r="T234" i="3"/>
  <c r="U234" i="3"/>
  <c r="M235" i="3"/>
  <c r="M311" i="3" s="1"/>
  <c r="N235" i="3"/>
  <c r="N311" i="3" s="1"/>
  <c r="O235" i="3"/>
  <c r="O311" i="3" s="1"/>
  <c r="P235" i="3"/>
  <c r="Q235" i="3"/>
  <c r="Q311" i="3" s="1"/>
  <c r="R235" i="3"/>
  <c r="R311" i="3" s="1"/>
  <c r="S235" i="3"/>
  <c r="S311" i="3" s="1"/>
  <c r="T235" i="3"/>
  <c r="T311" i="3" s="1"/>
  <c r="U235" i="3"/>
  <c r="M236" i="3"/>
  <c r="M312" i="3" s="1"/>
  <c r="N236" i="3"/>
  <c r="N312" i="3" s="1"/>
  <c r="O236" i="3"/>
  <c r="O312" i="3" s="1"/>
  <c r="P236" i="3"/>
  <c r="Q236" i="3"/>
  <c r="Q312" i="3" s="1"/>
  <c r="R236" i="3"/>
  <c r="S236" i="3"/>
  <c r="S312" i="3" s="1"/>
  <c r="T236" i="3"/>
  <c r="T312" i="3" s="1"/>
  <c r="U236" i="3"/>
  <c r="U312" i="3" s="1"/>
  <c r="L235" i="3"/>
  <c r="L236" i="3"/>
  <c r="L312" i="3" s="1"/>
  <c r="L234" i="3"/>
  <c r="M228" i="3"/>
  <c r="M304" i="3" s="1"/>
  <c r="N228" i="3"/>
  <c r="N304" i="3" s="1"/>
  <c r="O228" i="3"/>
  <c r="P228" i="3"/>
  <c r="P304" i="3" s="1"/>
  <c r="Q228" i="3"/>
  <c r="Q304" i="3" s="1"/>
  <c r="R228" i="3"/>
  <c r="R304" i="3" s="1"/>
  <c r="S228" i="3"/>
  <c r="S304" i="3" s="1"/>
  <c r="T228" i="3"/>
  <c r="T304" i="3" s="1"/>
  <c r="U228" i="3"/>
  <c r="U304" i="3" s="1"/>
  <c r="M229" i="3"/>
  <c r="M305" i="3" s="1"/>
  <c r="N229" i="3"/>
  <c r="N305" i="3" s="1"/>
  <c r="O229" i="3"/>
  <c r="O305" i="3" s="1"/>
  <c r="P229" i="3"/>
  <c r="P305" i="3" s="1"/>
  <c r="Q229" i="3"/>
  <c r="Q305" i="3" s="1"/>
  <c r="R229" i="3"/>
  <c r="R305" i="3" s="1"/>
  <c r="S229" i="3"/>
  <c r="S305" i="3" s="1"/>
  <c r="T229" i="3"/>
  <c r="T305" i="3" s="1"/>
  <c r="U229" i="3"/>
  <c r="M230" i="3"/>
  <c r="N230" i="3"/>
  <c r="O230" i="3"/>
  <c r="P230" i="3"/>
  <c r="Q230" i="3"/>
  <c r="R230" i="3"/>
  <c r="S230" i="3"/>
  <c r="T230" i="3"/>
  <c r="U230" i="3"/>
  <c r="M231" i="3"/>
  <c r="N231" i="3"/>
  <c r="N307" i="3" s="1"/>
  <c r="O231" i="3"/>
  <c r="O307" i="3" s="1"/>
  <c r="P231" i="3"/>
  <c r="P307" i="3" s="1"/>
  <c r="Q231" i="3"/>
  <c r="Q307" i="3" s="1"/>
  <c r="R231" i="3"/>
  <c r="R307" i="3" s="1"/>
  <c r="S231" i="3"/>
  <c r="S307" i="3" s="1"/>
  <c r="T231" i="3"/>
  <c r="T307" i="3" s="1"/>
  <c r="U231" i="3"/>
  <c r="U307" i="3" s="1"/>
  <c r="L229" i="3"/>
  <c r="L230" i="3"/>
  <c r="L231" i="3"/>
  <c r="L307" i="3" s="1"/>
  <c r="L228" i="3"/>
  <c r="M182" i="3"/>
  <c r="N182" i="3"/>
  <c r="O182" i="3"/>
  <c r="P182" i="3"/>
  <c r="Q182" i="3"/>
  <c r="R182" i="3"/>
  <c r="S182" i="3"/>
  <c r="T182" i="3"/>
  <c r="U182" i="3"/>
  <c r="L182" i="3"/>
  <c r="M179" i="3"/>
  <c r="N179" i="3"/>
  <c r="O179" i="3"/>
  <c r="P179" i="3"/>
  <c r="Q179" i="3"/>
  <c r="R179" i="3"/>
  <c r="S179" i="3"/>
  <c r="T179" i="3"/>
  <c r="U179" i="3"/>
  <c r="L179" i="3"/>
  <c r="M168" i="3"/>
  <c r="N168" i="3"/>
  <c r="O168" i="3"/>
  <c r="P168" i="3"/>
  <c r="Q168" i="3"/>
  <c r="R168" i="3"/>
  <c r="S168" i="3"/>
  <c r="T168" i="3"/>
  <c r="U168" i="3"/>
  <c r="M169" i="3"/>
  <c r="N169" i="3"/>
  <c r="O169" i="3"/>
  <c r="P169" i="3"/>
  <c r="Q169" i="3"/>
  <c r="R169" i="3"/>
  <c r="S169" i="3"/>
  <c r="T169" i="3"/>
  <c r="U169" i="3"/>
  <c r="M170" i="3"/>
  <c r="N170" i="3"/>
  <c r="O170" i="3"/>
  <c r="P170" i="3"/>
  <c r="Q170" i="3"/>
  <c r="R170" i="3"/>
  <c r="S170" i="3"/>
  <c r="T170" i="3"/>
  <c r="U170" i="3"/>
  <c r="M171" i="3"/>
  <c r="N171" i="3"/>
  <c r="O171" i="3"/>
  <c r="P171" i="3"/>
  <c r="Q171" i="3"/>
  <c r="R171" i="3"/>
  <c r="S171" i="3"/>
  <c r="T171" i="3"/>
  <c r="U171" i="3"/>
  <c r="M172" i="3"/>
  <c r="N172" i="3"/>
  <c r="O172" i="3"/>
  <c r="P172" i="3"/>
  <c r="Q172" i="3"/>
  <c r="R172" i="3"/>
  <c r="S172" i="3"/>
  <c r="T172" i="3"/>
  <c r="U172" i="3"/>
  <c r="M173" i="3"/>
  <c r="N173" i="3"/>
  <c r="O173" i="3"/>
  <c r="P173" i="3"/>
  <c r="Q173" i="3"/>
  <c r="R173" i="3"/>
  <c r="S173" i="3"/>
  <c r="T173" i="3"/>
  <c r="U173" i="3"/>
  <c r="M174" i="3"/>
  <c r="N174" i="3"/>
  <c r="O174" i="3"/>
  <c r="P174" i="3"/>
  <c r="Q174" i="3"/>
  <c r="R174" i="3"/>
  <c r="S174" i="3"/>
  <c r="T174" i="3"/>
  <c r="U174" i="3"/>
  <c r="M175" i="3"/>
  <c r="N175" i="3"/>
  <c r="O175" i="3"/>
  <c r="P175" i="3"/>
  <c r="Q175" i="3"/>
  <c r="R175" i="3"/>
  <c r="S175" i="3"/>
  <c r="T175" i="3"/>
  <c r="U175" i="3"/>
  <c r="M176" i="3"/>
  <c r="N176" i="3"/>
  <c r="O176" i="3"/>
  <c r="P176" i="3"/>
  <c r="Q176" i="3"/>
  <c r="R176" i="3"/>
  <c r="S176" i="3"/>
  <c r="T176" i="3"/>
  <c r="U176" i="3"/>
  <c r="L169" i="3"/>
  <c r="L170" i="3"/>
  <c r="L171" i="3"/>
  <c r="L172" i="3"/>
  <c r="L173" i="3"/>
  <c r="L174" i="3"/>
  <c r="L175" i="3"/>
  <c r="L176" i="3"/>
  <c r="L168" i="3"/>
  <c r="M132" i="3"/>
  <c r="M206" i="3" s="1"/>
  <c r="N132" i="3"/>
  <c r="O132" i="3"/>
  <c r="O206" i="3" s="1"/>
  <c r="P132" i="3"/>
  <c r="Q132" i="3"/>
  <c r="Q206" i="3" s="1"/>
  <c r="R132" i="3"/>
  <c r="S132" i="3"/>
  <c r="S206" i="3" s="1"/>
  <c r="T132" i="3"/>
  <c r="T206" i="3" s="1"/>
  <c r="U132" i="3"/>
  <c r="U206" i="3" s="1"/>
  <c r="M133" i="3"/>
  <c r="N133" i="3"/>
  <c r="N207" i="3" s="1"/>
  <c r="O133" i="3"/>
  <c r="P133" i="3"/>
  <c r="P207" i="3" s="1"/>
  <c r="Q133" i="3"/>
  <c r="R133" i="3"/>
  <c r="R207" i="3" s="1"/>
  <c r="S133" i="3"/>
  <c r="T133" i="3"/>
  <c r="T207" i="3" s="1"/>
  <c r="U133" i="3"/>
  <c r="U207" i="3" s="1"/>
  <c r="M134" i="3"/>
  <c r="M208" i="3" s="1"/>
  <c r="N134" i="3"/>
  <c r="O134" i="3"/>
  <c r="O208" i="3" s="1"/>
  <c r="P134" i="3"/>
  <c r="Q134" i="3"/>
  <c r="Q208" i="3" s="1"/>
  <c r="R134" i="3"/>
  <c r="S134" i="3"/>
  <c r="S208" i="3" s="1"/>
  <c r="T134" i="3"/>
  <c r="T208" i="3" s="1"/>
  <c r="U134" i="3"/>
  <c r="U208" i="3" s="1"/>
  <c r="M135" i="3"/>
  <c r="N135" i="3"/>
  <c r="N209" i="3" s="1"/>
  <c r="O135" i="3"/>
  <c r="P135" i="3"/>
  <c r="P209" i="3" s="1"/>
  <c r="Q135" i="3"/>
  <c r="R135" i="3"/>
  <c r="R209" i="3" s="1"/>
  <c r="S135" i="3"/>
  <c r="T135" i="3"/>
  <c r="T209" i="3" s="1"/>
  <c r="U135" i="3"/>
  <c r="U209" i="3" s="1"/>
  <c r="L133" i="3"/>
  <c r="L207" i="3" s="1"/>
  <c r="L134" i="3"/>
  <c r="L135" i="3"/>
  <c r="L209" i="3" s="1"/>
  <c r="L132" i="3"/>
  <c r="L206" i="3" s="1"/>
  <c r="M128" i="3"/>
  <c r="M202" i="3" s="1"/>
  <c r="N128" i="3"/>
  <c r="O128" i="3"/>
  <c r="O202" i="3" s="1"/>
  <c r="P128" i="3"/>
  <c r="Q128" i="3"/>
  <c r="Q202" i="3" s="1"/>
  <c r="R128" i="3"/>
  <c r="S128" i="3"/>
  <c r="S202" i="3" s="1"/>
  <c r="T128" i="3"/>
  <c r="T202" i="3" s="1"/>
  <c r="U128" i="3"/>
  <c r="U202" i="3" s="1"/>
  <c r="M129" i="3"/>
  <c r="N129" i="3"/>
  <c r="N203" i="3" s="1"/>
  <c r="O129" i="3"/>
  <c r="P129" i="3"/>
  <c r="P203" i="3" s="1"/>
  <c r="Q129" i="3"/>
  <c r="R129" i="3"/>
  <c r="R203" i="3" s="1"/>
  <c r="S129" i="3"/>
  <c r="T129" i="3"/>
  <c r="T203" i="3" s="1"/>
  <c r="U129" i="3"/>
  <c r="U203" i="3" s="1"/>
  <c r="L129" i="3"/>
  <c r="L203" i="3" s="1"/>
  <c r="L128" i="3"/>
  <c r="M124" i="3"/>
  <c r="N124" i="3"/>
  <c r="O124" i="3"/>
  <c r="P124" i="3"/>
  <c r="Q124" i="3"/>
  <c r="R124" i="3"/>
  <c r="S124" i="3"/>
  <c r="T124" i="3"/>
  <c r="U124" i="3"/>
  <c r="M125" i="3"/>
  <c r="M199" i="3" s="1"/>
  <c r="N125" i="3"/>
  <c r="N199" i="3" s="1"/>
  <c r="O125" i="3"/>
  <c r="O199" i="3" s="1"/>
  <c r="P125" i="3"/>
  <c r="P199" i="3" s="1"/>
  <c r="Q125" i="3"/>
  <c r="Q199" i="3" s="1"/>
  <c r="R125" i="3"/>
  <c r="S125" i="3"/>
  <c r="S199" i="3" s="1"/>
  <c r="T125" i="3"/>
  <c r="U125" i="3"/>
  <c r="U199" i="3" s="1"/>
  <c r="L125" i="3"/>
  <c r="L199" i="3" s="1"/>
  <c r="L124" i="3"/>
  <c r="M118" i="3"/>
  <c r="M192" i="3" s="1"/>
  <c r="N118" i="3"/>
  <c r="N192" i="3" s="1"/>
  <c r="O118" i="3"/>
  <c r="O192" i="3" s="1"/>
  <c r="P118" i="3"/>
  <c r="Q118" i="3"/>
  <c r="Q192" i="3" s="1"/>
  <c r="R118" i="3"/>
  <c r="S118" i="3"/>
  <c r="S192" i="3" s="1"/>
  <c r="T118" i="3"/>
  <c r="T192" i="3" s="1"/>
  <c r="U118" i="3"/>
  <c r="M119" i="3"/>
  <c r="N119" i="3"/>
  <c r="N193" i="3" s="1"/>
  <c r="O119" i="3"/>
  <c r="P119" i="3"/>
  <c r="P193" i="3" s="1"/>
  <c r="Q119" i="3"/>
  <c r="R119" i="3"/>
  <c r="R193" i="3" s="1"/>
  <c r="S119" i="3"/>
  <c r="T119" i="3"/>
  <c r="U119" i="3"/>
  <c r="M120" i="3"/>
  <c r="N120" i="3"/>
  <c r="O120" i="3"/>
  <c r="O194" i="3" s="1"/>
  <c r="P120" i="3"/>
  <c r="Q120" i="3"/>
  <c r="Q194" i="3" s="1"/>
  <c r="R120" i="3"/>
  <c r="S120" i="3"/>
  <c r="T120" i="3"/>
  <c r="U120" i="3"/>
  <c r="M121" i="3"/>
  <c r="M195" i="3" s="1"/>
  <c r="N121" i="3"/>
  <c r="N195" i="3" s="1"/>
  <c r="O121" i="3"/>
  <c r="O195" i="3" s="1"/>
  <c r="P121" i="3"/>
  <c r="P195" i="3" s="1"/>
  <c r="Q121" i="3"/>
  <c r="Q195" i="3" s="1"/>
  <c r="R121" i="3"/>
  <c r="S121" i="3"/>
  <c r="T121" i="3"/>
  <c r="T195" i="3" s="1"/>
  <c r="U121" i="3"/>
  <c r="U195" i="3" s="1"/>
  <c r="L119" i="3"/>
  <c r="L193" i="3" s="1"/>
  <c r="L120" i="3"/>
  <c r="L121" i="3"/>
  <c r="L195" i="3" s="1"/>
  <c r="L118" i="3"/>
  <c r="L192" i="3" s="1"/>
  <c r="M81" i="3"/>
  <c r="N81" i="3"/>
  <c r="O81" i="3"/>
  <c r="P81" i="3"/>
  <c r="Q81" i="3"/>
  <c r="R81" i="3"/>
  <c r="S81" i="3"/>
  <c r="T81" i="3"/>
  <c r="L81" i="3"/>
  <c r="M77" i="3"/>
  <c r="N77" i="3"/>
  <c r="O77" i="3"/>
  <c r="P77" i="3"/>
  <c r="Q77" i="3"/>
  <c r="R77" i="3"/>
  <c r="S77" i="3"/>
  <c r="T77" i="3"/>
  <c r="L77" i="3"/>
  <c r="M74" i="3"/>
  <c r="N74" i="3"/>
  <c r="O74" i="3"/>
  <c r="P74" i="3"/>
  <c r="Q74" i="3"/>
  <c r="R74" i="3"/>
  <c r="S74" i="3"/>
  <c r="T74" i="3"/>
  <c r="L74" i="3"/>
  <c r="M62" i="3"/>
  <c r="N62" i="3"/>
  <c r="O62" i="3"/>
  <c r="P62" i="3"/>
  <c r="Q62" i="3"/>
  <c r="R62" i="3"/>
  <c r="S62" i="3"/>
  <c r="T62" i="3"/>
  <c r="M63" i="3"/>
  <c r="N63" i="3"/>
  <c r="O63" i="3"/>
  <c r="P63" i="3"/>
  <c r="Q63" i="3"/>
  <c r="R63" i="3"/>
  <c r="S63" i="3"/>
  <c r="T63" i="3"/>
  <c r="M64" i="3"/>
  <c r="N64" i="3"/>
  <c r="O64" i="3"/>
  <c r="P64" i="3"/>
  <c r="Q64" i="3"/>
  <c r="R64" i="3"/>
  <c r="S64" i="3"/>
  <c r="T64" i="3"/>
  <c r="M65" i="3"/>
  <c r="N65" i="3"/>
  <c r="O65" i="3"/>
  <c r="P65" i="3"/>
  <c r="Q65" i="3"/>
  <c r="R65" i="3"/>
  <c r="S65" i="3"/>
  <c r="T65" i="3"/>
  <c r="M66" i="3"/>
  <c r="N66" i="3"/>
  <c r="O66" i="3"/>
  <c r="P66" i="3"/>
  <c r="Q66" i="3"/>
  <c r="R66" i="3"/>
  <c r="S66" i="3"/>
  <c r="T66" i="3"/>
  <c r="M67" i="3"/>
  <c r="N67" i="3"/>
  <c r="O67" i="3"/>
  <c r="P67" i="3"/>
  <c r="Q67" i="3"/>
  <c r="R67" i="3"/>
  <c r="S67" i="3"/>
  <c r="T67" i="3"/>
  <c r="M68" i="3"/>
  <c r="N68" i="3"/>
  <c r="O68" i="3"/>
  <c r="P68" i="3"/>
  <c r="Q68" i="3"/>
  <c r="R68" i="3"/>
  <c r="S68" i="3"/>
  <c r="T68" i="3"/>
  <c r="M69" i="3"/>
  <c r="N69" i="3"/>
  <c r="O69" i="3"/>
  <c r="P69" i="3"/>
  <c r="Q69" i="3"/>
  <c r="R69" i="3"/>
  <c r="S69" i="3"/>
  <c r="T69" i="3"/>
  <c r="M70" i="3"/>
  <c r="N70" i="3"/>
  <c r="O70" i="3"/>
  <c r="P70" i="3"/>
  <c r="Q70" i="3"/>
  <c r="R70" i="3"/>
  <c r="S70" i="3"/>
  <c r="T70" i="3"/>
  <c r="M71" i="3"/>
  <c r="N71" i="3"/>
  <c r="O71" i="3"/>
  <c r="P71" i="3"/>
  <c r="Q71" i="3"/>
  <c r="R71" i="3"/>
  <c r="S71" i="3"/>
  <c r="T71" i="3"/>
  <c r="L63" i="3"/>
  <c r="L64" i="3"/>
  <c r="L65" i="3"/>
  <c r="L66" i="3"/>
  <c r="L67" i="3"/>
  <c r="L68" i="3"/>
  <c r="L69" i="3"/>
  <c r="L70" i="3"/>
  <c r="L71" i="3"/>
  <c r="L62" i="3"/>
  <c r="M28" i="3"/>
  <c r="N28" i="3"/>
  <c r="N101" i="3" s="1"/>
  <c r="O28" i="3"/>
  <c r="P28" i="3"/>
  <c r="P101" i="3" s="1"/>
  <c r="Q28" i="3"/>
  <c r="R28" i="3"/>
  <c r="R101" i="3" s="1"/>
  <c r="S28" i="3"/>
  <c r="T28" i="3"/>
  <c r="T101" i="3" s="1"/>
  <c r="M29" i="3"/>
  <c r="R29" i="3"/>
  <c r="R102" i="3" s="1"/>
  <c r="T29" i="3"/>
  <c r="M30" i="3"/>
  <c r="N30" i="3"/>
  <c r="O30" i="3"/>
  <c r="P30" i="3"/>
  <c r="Q30" i="3"/>
  <c r="R30" i="3"/>
  <c r="S30" i="3"/>
  <c r="T30" i="3"/>
  <c r="M31" i="3"/>
  <c r="M104" i="3" s="1"/>
  <c r="N31" i="3"/>
  <c r="O31" i="3"/>
  <c r="O104" i="3" s="1"/>
  <c r="P31" i="3"/>
  <c r="Q31" i="3"/>
  <c r="Q104" i="3" s="1"/>
  <c r="R31" i="3"/>
  <c r="S31" i="3"/>
  <c r="S104" i="3" s="1"/>
  <c r="T31" i="3"/>
  <c r="L30" i="3"/>
  <c r="L103" i="3" s="1"/>
  <c r="L31" i="3"/>
  <c r="L104" i="3" s="1"/>
  <c r="L28" i="3"/>
  <c r="L101" i="3" s="1"/>
  <c r="M24" i="3"/>
  <c r="N24" i="3"/>
  <c r="N97" i="3" s="1"/>
  <c r="O24" i="3"/>
  <c r="P24" i="3"/>
  <c r="P97" i="3" s="1"/>
  <c r="Q24" i="3"/>
  <c r="R24" i="3"/>
  <c r="R97" i="3" s="1"/>
  <c r="S24" i="3"/>
  <c r="T24" i="3"/>
  <c r="T97" i="3" s="1"/>
  <c r="M25" i="3"/>
  <c r="N25" i="3"/>
  <c r="O25" i="3"/>
  <c r="P25" i="3"/>
  <c r="P98" i="3" s="1"/>
  <c r="Q25" i="3"/>
  <c r="R25" i="3"/>
  <c r="R98" i="3" s="1"/>
  <c r="S25" i="3"/>
  <c r="T25" i="3"/>
  <c r="T98" i="3" s="1"/>
  <c r="L25" i="3"/>
  <c r="L98" i="3" s="1"/>
  <c r="L24" i="3"/>
  <c r="L97" i="3" s="1"/>
  <c r="M20" i="3"/>
  <c r="N20" i="3"/>
  <c r="O20" i="3"/>
  <c r="P20" i="3"/>
  <c r="Q20" i="3"/>
  <c r="R20" i="3"/>
  <c r="S20" i="3"/>
  <c r="T20" i="3"/>
  <c r="M21" i="3"/>
  <c r="N21" i="3"/>
  <c r="N94" i="3" s="1"/>
  <c r="O21" i="3"/>
  <c r="P21" i="3"/>
  <c r="P94" i="3" s="1"/>
  <c r="Q21" i="3"/>
  <c r="R21" i="3"/>
  <c r="R94" i="3" s="1"/>
  <c r="S21" i="3"/>
  <c r="T21" i="3"/>
  <c r="T94" i="3" s="1"/>
  <c r="L21" i="3"/>
  <c r="L20" i="3"/>
  <c r="L15" i="3"/>
  <c r="L88" i="3" s="1"/>
  <c r="M15" i="3"/>
  <c r="M88" i="3" s="1"/>
  <c r="N15" i="3"/>
  <c r="O15" i="3"/>
  <c r="O88" i="3" s="1"/>
  <c r="P15" i="3"/>
  <c r="Q15" i="3"/>
  <c r="Q88" i="3" s="1"/>
  <c r="R15" i="3"/>
  <c r="S15" i="3"/>
  <c r="S88" i="3" s="1"/>
  <c r="T15" i="3"/>
  <c r="L16" i="3"/>
  <c r="M16" i="3"/>
  <c r="N16" i="3"/>
  <c r="O16" i="3"/>
  <c r="P16" i="3"/>
  <c r="Q16" i="3"/>
  <c r="R16" i="3"/>
  <c r="S16" i="3"/>
  <c r="T16" i="3"/>
  <c r="L17" i="3"/>
  <c r="L90" i="3" s="1"/>
  <c r="M17" i="3"/>
  <c r="N17" i="3"/>
  <c r="O17" i="3"/>
  <c r="O90" i="3" s="1"/>
  <c r="P17" i="3"/>
  <c r="Q17" i="3"/>
  <c r="Q90" i="3" s="1"/>
  <c r="R17" i="3"/>
  <c r="S17" i="3"/>
  <c r="S90" i="3" s="1"/>
  <c r="T17" i="3"/>
  <c r="T90" i="3" s="1"/>
  <c r="M14" i="3"/>
  <c r="M87" i="3" s="1"/>
  <c r="N14" i="3"/>
  <c r="O14" i="3"/>
  <c r="O87" i="3" s="1"/>
  <c r="P14" i="3"/>
  <c r="Q14" i="3"/>
  <c r="Q87" i="3" s="1"/>
  <c r="R14" i="3"/>
  <c r="S14" i="3"/>
  <c r="S87" i="3" s="1"/>
  <c r="T14" i="3"/>
  <c r="T87" i="3" s="1"/>
  <c r="L14" i="3"/>
  <c r="L87" i="3" s="1"/>
  <c r="M222" i="15"/>
  <c r="S222" i="15"/>
  <c r="N222" i="15"/>
  <c r="O222" i="15"/>
  <c r="P222" i="15"/>
  <c r="Q222" i="15"/>
  <c r="R222" i="15"/>
  <c r="U222" i="15"/>
  <c r="V222" i="15"/>
  <c r="L222" i="15"/>
  <c r="S152" i="15"/>
  <c r="S295" i="3" s="1"/>
  <c r="M110" i="15"/>
  <c r="S110" i="15"/>
  <c r="N110" i="15"/>
  <c r="O110" i="15"/>
  <c r="P110" i="15"/>
  <c r="Q110" i="15"/>
  <c r="R110" i="15"/>
  <c r="U110" i="15"/>
  <c r="V110" i="15"/>
  <c r="L110" i="15"/>
  <c r="N96" i="15"/>
  <c r="N183" i="3" s="1"/>
  <c r="M54" i="15"/>
  <c r="S54" i="15"/>
  <c r="N54" i="15"/>
  <c r="O54" i="15"/>
  <c r="P54" i="15"/>
  <c r="Q54" i="15"/>
  <c r="R54" i="15"/>
  <c r="U54" i="15"/>
  <c r="V54" i="15"/>
  <c r="L54" i="15"/>
  <c r="V107" i="14"/>
  <c r="T352" i="3"/>
  <c r="T428" i="3" s="1"/>
  <c r="T351" i="3"/>
  <c r="T427" i="3" s="1"/>
  <c r="T350" i="3"/>
  <c r="T347" i="3"/>
  <c r="T423" i="3" s="1"/>
  <c r="T346" i="3"/>
  <c r="T345" i="3"/>
  <c r="T421" i="3" s="1"/>
  <c r="T344" i="3"/>
  <c r="T420" i="3" s="1"/>
  <c r="O29" i="3"/>
  <c r="O102" i="3" s="1"/>
  <c r="P29" i="3"/>
  <c r="Q29" i="3"/>
  <c r="Q102" i="3" s="1"/>
  <c r="L29" i="3"/>
  <c r="K29" i="16"/>
  <c r="L102" i="3"/>
  <c r="K28" i="16"/>
  <c r="U119" i="8"/>
  <c r="U118" i="8"/>
  <c r="U201" i="8"/>
  <c r="U344" i="3"/>
  <c r="U420" i="3" s="1"/>
  <c r="U345" i="3"/>
  <c r="U421" i="3" s="1"/>
  <c r="U346" i="3"/>
  <c r="U347" i="3"/>
  <c r="U423" i="3" s="1"/>
  <c r="U350" i="3"/>
  <c r="U351" i="3"/>
  <c r="U427" i="3" s="1"/>
  <c r="U352" i="3"/>
  <c r="U428" i="3" s="1"/>
  <c r="U355" i="3"/>
  <c r="U431" i="3" s="1"/>
  <c r="U356" i="3"/>
  <c r="U432" i="3" s="1"/>
  <c r="U359" i="3"/>
  <c r="U435" i="3" s="1"/>
  <c r="U360" i="3"/>
  <c r="U436" i="3" s="1"/>
  <c r="U361" i="3"/>
  <c r="U437" i="3" s="1"/>
  <c r="U362" i="3"/>
  <c r="U438" i="3" s="1"/>
  <c r="U396" i="3"/>
  <c r="U397" i="3"/>
  <c r="U398" i="3"/>
  <c r="U399" i="3"/>
  <c r="U400" i="3"/>
  <c r="U401" i="3"/>
  <c r="U402" i="3"/>
  <c r="U403" i="3"/>
  <c r="U404" i="3"/>
  <c r="U407" i="3"/>
  <c r="U410" i="3"/>
  <c r="U414" i="3"/>
  <c r="U192" i="3"/>
  <c r="U305" i="3"/>
  <c r="U311" i="3"/>
  <c r="U316" i="3"/>
  <c r="U320" i="3"/>
  <c r="U322" i="3"/>
  <c r="V103" i="6"/>
  <c r="V102" i="6"/>
  <c r="V101" i="6"/>
  <c r="V37" i="6"/>
  <c r="V38" i="6"/>
  <c r="V39" i="6"/>
  <c r="V208" i="15"/>
  <c r="V192" i="15"/>
  <c r="V152" i="15"/>
  <c r="V136" i="15"/>
  <c r="V96" i="15"/>
  <c r="U183" i="3" s="1"/>
  <c r="V80" i="15"/>
  <c r="U78" i="3"/>
  <c r="U107" i="14"/>
  <c r="U81" i="14"/>
  <c r="V81" i="14"/>
  <c r="U55" i="14"/>
  <c r="V55" i="14"/>
  <c r="U30" i="14"/>
  <c r="U295" i="3"/>
  <c r="U276" i="8"/>
  <c r="U110" i="8"/>
  <c r="U214" i="8"/>
  <c r="U296" i="8"/>
  <c r="U131" i="8"/>
  <c r="U193" i="3"/>
  <c r="L294" i="8"/>
  <c r="J294" i="8" s="1"/>
  <c r="L291" i="8"/>
  <c r="L296" i="8" s="1"/>
  <c r="L212" i="8"/>
  <c r="J212" i="8" s="1"/>
  <c r="L209" i="8"/>
  <c r="L210" i="8"/>
  <c r="L129" i="8"/>
  <c r="L127" i="8"/>
  <c r="J127" i="8" s="1"/>
  <c r="L126" i="8"/>
  <c r="L62" i="8"/>
  <c r="J62" i="8" s="1"/>
  <c r="L355" i="3"/>
  <c r="L431" i="3" s="1"/>
  <c r="M30" i="16"/>
  <c r="J57" i="5" s="1"/>
  <c r="N30" i="16"/>
  <c r="J76" i="5"/>
  <c r="K30" i="16"/>
  <c r="J14" i="5" s="1"/>
  <c r="N25" i="16"/>
  <c r="M25" i="16"/>
  <c r="L25" i="16"/>
  <c r="K25" i="16"/>
  <c r="J25" i="16"/>
  <c r="I25" i="16"/>
  <c r="H25" i="16"/>
  <c r="G25" i="16"/>
  <c r="O24" i="16"/>
  <c r="O25" i="16"/>
  <c r="L30" i="16"/>
  <c r="J34" i="5"/>
  <c r="N28" i="16"/>
  <c r="J261" i="3"/>
  <c r="U208" i="15"/>
  <c r="T411" i="3" s="1"/>
  <c r="R208" i="15"/>
  <c r="R411" i="3" s="1"/>
  <c r="Q208" i="15"/>
  <c r="Q411" i="3" s="1"/>
  <c r="P208" i="15"/>
  <c r="P411" i="3" s="1"/>
  <c r="O208" i="15"/>
  <c r="O411" i="3" s="1"/>
  <c r="N208" i="15"/>
  <c r="S208" i="15"/>
  <c r="S411" i="3" s="1"/>
  <c r="M208" i="15"/>
  <c r="M411" i="3" s="1"/>
  <c r="L411" i="3"/>
  <c r="U192" i="15"/>
  <c r="R192" i="15"/>
  <c r="Q192" i="15"/>
  <c r="P192" i="15"/>
  <c r="O192" i="15"/>
  <c r="N192" i="15"/>
  <c r="S192" i="15"/>
  <c r="M192" i="15"/>
  <c r="L192" i="15"/>
  <c r="U152" i="15"/>
  <c r="T295" i="3" s="1"/>
  <c r="R152" i="15"/>
  <c r="R295" i="3" s="1"/>
  <c r="Q152" i="15"/>
  <c r="Q295" i="3" s="1"/>
  <c r="P152" i="15"/>
  <c r="P295" i="3" s="1"/>
  <c r="O152" i="15"/>
  <c r="O295" i="3" s="1"/>
  <c r="N152" i="15"/>
  <c r="M152" i="15"/>
  <c r="M295" i="3" s="1"/>
  <c r="U136" i="15"/>
  <c r="R136" i="15"/>
  <c r="Q136" i="15"/>
  <c r="P136" i="15"/>
  <c r="O136" i="15"/>
  <c r="N136" i="15"/>
  <c r="S136" i="15"/>
  <c r="M136" i="15"/>
  <c r="L136" i="15"/>
  <c r="U96" i="15"/>
  <c r="R96" i="15"/>
  <c r="Q96" i="15"/>
  <c r="P96" i="15"/>
  <c r="O96" i="15"/>
  <c r="S96" i="15"/>
  <c r="M96" i="15"/>
  <c r="M183" i="3" s="1"/>
  <c r="L96" i="15"/>
  <c r="L183" i="3" s="1"/>
  <c r="U80" i="15"/>
  <c r="R80" i="15"/>
  <c r="Q80" i="15"/>
  <c r="P80" i="15"/>
  <c r="O80" i="15"/>
  <c r="N80" i="15"/>
  <c r="S80" i="15"/>
  <c r="M80" i="15"/>
  <c r="L80" i="15"/>
  <c r="U39" i="15"/>
  <c r="T78" i="3" s="1"/>
  <c r="R39" i="15"/>
  <c r="Q39" i="15"/>
  <c r="P39" i="15"/>
  <c r="O39" i="15"/>
  <c r="O78" i="3" s="1"/>
  <c r="N39" i="15"/>
  <c r="S39" i="15"/>
  <c r="S78" i="3"/>
  <c r="M39" i="15"/>
  <c r="L39" i="15"/>
  <c r="L78" i="3" s="1"/>
  <c r="U23" i="15"/>
  <c r="R23" i="15"/>
  <c r="Q23" i="15"/>
  <c r="P23" i="15"/>
  <c r="O23" i="15"/>
  <c r="N23" i="15"/>
  <c r="S23" i="15"/>
  <c r="M23" i="15"/>
  <c r="L23" i="15"/>
  <c r="T183" i="3"/>
  <c r="S183" i="3"/>
  <c r="R183" i="3"/>
  <c r="Q183" i="3"/>
  <c r="P183" i="3"/>
  <c r="O183" i="3"/>
  <c r="N78" i="3"/>
  <c r="P78" i="3"/>
  <c r="Q78" i="3"/>
  <c r="R78" i="3"/>
  <c r="R107" i="14"/>
  <c r="Q107" i="14"/>
  <c r="P107" i="14"/>
  <c r="O107" i="14"/>
  <c r="N107" i="14"/>
  <c r="S107" i="14"/>
  <c r="M107" i="14"/>
  <c r="L107" i="14"/>
  <c r="R81" i="14"/>
  <c r="Q81" i="14"/>
  <c r="P81" i="14"/>
  <c r="O81" i="14"/>
  <c r="N81" i="14"/>
  <c r="S81" i="14"/>
  <c r="M81" i="14"/>
  <c r="L81" i="14"/>
  <c r="R55" i="14"/>
  <c r="Q55" i="14"/>
  <c r="P55" i="14"/>
  <c r="O55" i="14"/>
  <c r="N55" i="14"/>
  <c r="S55" i="14"/>
  <c r="L55" i="14"/>
  <c r="J55" i="14" s="1"/>
  <c r="R30" i="14"/>
  <c r="Q30" i="14"/>
  <c r="P30" i="14"/>
  <c r="O30" i="14"/>
  <c r="N30" i="14"/>
  <c r="M30" i="14"/>
  <c r="L30" i="14"/>
  <c r="T102" i="3"/>
  <c r="T103" i="3"/>
  <c r="T104" i="3"/>
  <c r="T88" i="3"/>
  <c r="T199" i="3"/>
  <c r="T315" i="3"/>
  <c r="T319" i="3"/>
  <c r="T321" i="3"/>
  <c r="T432" i="3"/>
  <c r="T202" i="8"/>
  <c r="T283" i="8"/>
  <c r="T118" i="8"/>
  <c r="T53" i="8"/>
  <c r="T276" i="8"/>
  <c r="T64" i="8"/>
  <c r="T214" i="8"/>
  <c r="M435" i="3"/>
  <c r="O435" i="3"/>
  <c r="Q435" i="3"/>
  <c r="S435" i="3"/>
  <c r="O436" i="3"/>
  <c r="Q436" i="3"/>
  <c r="M437" i="3"/>
  <c r="O437" i="3"/>
  <c r="Q437" i="3"/>
  <c r="M438" i="3"/>
  <c r="Q438" i="3"/>
  <c r="S438" i="3"/>
  <c r="O431" i="3"/>
  <c r="S431" i="3"/>
  <c r="O432" i="3"/>
  <c r="S432" i="3"/>
  <c r="O427" i="3"/>
  <c r="Q427" i="3"/>
  <c r="S427" i="3"/>
  <c r="R428" i="3"/>
  <c r="N420" i="3"/>
  <c r="P420" i="3"/>
  <c r="R420" i="3"/>
  <c r="Q421" i="3"/>
  <c r="Q423" i="3"/>
  <c r="S423" i="3"/>
  <c r="P319" i="3"/>
  <c r="R319" i="3"/>
  <c r="M320" i="3"/>
  <c r="O320" i="3"/>
  <c r="Q320" i="3"/>
  <c r="S320" i="3"/>
  <c r="P321" i="3"/>
  <c r="R321" i="3"/>
  <c r="M322" i="3"/>
  <c r="O322" i="3"/>
  <c r="Q322" i="3"/>
  <c r="S322" i="3"/>
  <c r="P315" i="3"/>
  <c r="R315" i="3"/>
  <c r="M316" i="3"/>
  <c r="O316" i="3"/>
  <c r="Q316" i="3"/>
  <c r="L315" i="3"/>
  <c r="P311" i="3"/>
  <c r="P312" i="3"/>
  <c r="R312" i="3"/>
  <c r="L311" i="3"/>
  <c r="O304" i="3"/>
  <c r="O329" i="3" s="1"/>
  <c r="M307" i="3"/>
  <c r="N206" i="3"/>
  <c r="P206" i="3"/>
  <c r="R206" i="3"/>
  <c r="M207" i="3"/>
  <c r="O207" i="3"/>
  <c r="Q207" i="3"/>
  <c r="S207" i="3"/>
  <c r="N208" i="3"/>
  <c r="P208" i="3"/>
  <c r="R208" i="3"/>
  <c r="M209" i="3"/>
  <c r="O209" i="3"/>
  <c r="Q209" i="3"/>
  <c r="S209" i="3"/>
  <c r="L208" i="3"/>
  <c r="N202" i="3"/>
  <c r="P202" i="3"/>
  <c r="R202" i="3"/>
  <c r="M203" i="3"/>
  <c r="O203" i="3"/>
  <c r="Q203" i="3"/>
  <c r="S203" i="3"/>
  <c r="L202" i="3"/>
  <c r="R199" i="3"/>
  <c r="P192" i="3"/>
  <c r="R192" i="3"/>
  <c r="M193" i="3"/>
  <c r="O193" i="3"/>
  <c r="Q193" i="3"/>
  <c r="S193" i="3"/>
  <c r="R195" i="3"/>
  <c r="S195" i="3"/>
  <c r="M101" i="3"/>
  <c r="O101" i="3"/>
  <c r="Q101" i="3"/>
  <c r="S101" i="3"/>
  <c r="M102" i="3"/>
  <c r="P102" i="3"/>
  <c r="M103" i="3"/>
  <c r="N103" i="3"/>
  <c r="O103" i="3"/>
  <c r="P103" i="3"/>
  <c r="Q103" i="3"/>
  <c r="R103" i="3"/>
  <c r="S103" i="3"/>
  <c r="N104" i="3"/>
  <c r="P104" i="3"/>
  <c r="R104" i="3"/>
  <c r="M97" i="3"/>
  <c r="O97" i="3"/>
  <c r="Q97" i="3"/>
  <c r="S97" i="3"/>
  <c r="M98" i="3"/>
  <c r="O98" i="3"/>
  <c r="Q98" i="3"/>
  <c r="S98" i="3"/>
  <c r="L94" i="3"/>
  <c r="L53" i="8"/>
  <c r="S53" i="8"/>
  <c r="L92" i="8"/>
  <c r="L118" i="8"/>
  <c r="N118" i="8"/>
  <c r="O118" i="8"/>
  <c r="P118" i="8"/>
  <c r="Q118" i="8"/>
  <c r="R118" i="8"/>
  <c r="S118" i="8"/>
  <c r="M119" i="8"/>
  <c r="S119" i="8"/>
  <c r="S120" i="8" s="1"/>
  <c r="L97" i="8"/>
  <c r="L102" i="8"/>
  <c r="P110" i="8"/>
  <c r="S111" i="8"/>
  <c r="L165" i="8"/>
  <c r="L170" i="8"/>
  <c r="L175" i="8"/>
  <c r="L201" i="8"/>
  <c r="N201" i="8"/>
  <c r="N204" i="8" s="1"/>
  <c r="R201" i="8"/>
  <c r="R204" i="8" s="1"/>
  <c r="R227" i="8" s="1"/>
  <c r="R31" i="18" s="1"/>
  <c r="M202" i="8"/>
  <c r="N202" i="8"/>
  <c r="O202" i="8"/>
  <c r="P202" i="8"/>
  <c r="Q202" i="8"/>
  <c r="R202" i="8"/>
  <c r="S202" i="8"/>
  <c r="L180" i="8"/>
  <c r="L185" i="8"/>
  <c r="N194" i="8"/>
  <c r="Q193" i="8"/>
  <c r="L248" i="8"/>
  <c r="L253" i="8"/>
  <c r="L258" i="8"/>
  <c r="M283" i="8"/>
  <c r="O283" i="8"/>
  <c r="S283" i="8"/>
  <c r="N284" i="8"/>
  <c r="R284" i="8"/>
  <c r="L263" i="8"/>
  <c r="L268" i="8"/>
  <c r="O276" i="8"/>
  <c r="O277" i="8"/>
  <c r="P193" i="8"/>
  <c r="S194" i="8"/>
  <c r="L119" i="8"/>
  <c r="N296" i="8"/>
  <c r="Q296" i="8"/>
  <c r="O296" i="8"/>
  <c r="S214" i="8"/>
  <c r="O214" i="8"/>
  <c r="M214" i="8"/>
  <c r="R296" i="8"/>
  <c r="R214" i="8"/>
  <c r="L214" i="8"/>
  <c r="R203" i="8"/>
  <c r="R226" i="8" s="1"/>
  <c r="N203" i="8"/>
  <c r="L131" i="8"/>
  <c r="R131" i="8"/>
  <c r="P131" i="8"/>
  <c r="N131" i="8"/>
  <c r="M131" i="8"/>
  <c r="S64" i="8"/>
  <c r="O64" i="8"/>
  <c r="R64" i="8"/>
  <c r="L64" i="8"/>
  <c r="M101" i="6"/>
  <c r="N101" i="6"/>
  <c r="O101" i="6"/>
  <c r="P101" i="6"/>
  <c r="Q101" i="6"/>
  <c r="R101" i="6"/>
  <c r="S101" i="6"/>
  <c r="M102" i="6"/>
  <c r="N102" i="6"/>
  <c r="O102" i="6"/>
  <c r="P102" i="6"/>
  <c r="Q102" i="6"/>
  <c r="R102" i="6"/>
  <c r="S102" i="6"/>
  <c r="M103" i="6"/>
  <c r="N103" i="6"/>
  <c r="O103" i="6"/>
  <c r="P103" i="6"/>
  <c r="Q103" i="6"/>
  <c r="R103" i="6"/>
  <c r="S103" i="6"/>
  <c r="L102" i="6"/>
  <c r="L103" i="6"/>
  <c r="L101" i="6"/>
  <c r="J101" i="6" s="1"/>
  <c r="O37" i="6"/>
  <c r="P37" i="6"/>
  <c r="Q37" i="6"/>
  <c r="R37" i="6"/>
  <c r="S37" i="6"/>
  <c r="O38" i="6"/>
  <c r="P38" i="6"/>
  <c r="Q38" i="6"/>
  <c r="R38" i="6"/>
  <c r="S38" i="6"/>
  <c r="O39" i="6"/>
  <c r="P39" i="6"/>
  <c r="Q39" i="6"/>
  <c r="R39" i="6"/>
  <c r="S39" i="6"/>
  <c r="J130" i="6"/>
  <c r="J129" i="6"/>
  <c r="J128" i="6"/>
  <c r="J125" i="6"/>
  <c r="J124" i="6"/>
  <c r="J123" i="6"/>
  <c r="J120" i="6"/>
  <c r="J119" i="6"/>
  <c r="J118" i="6"/>
  <c r="J115" i="6"/>
  <c r="J114" i="6"/>
  <c r="J113" i="6"/>
  <c r="J110" i="6"/>
  <c r="J109" i="6"/>
  <c r="J108" i="6"/>
  <c r="J98" i="6"/>
  <c r="J97" i="6"/>
  <c r="J96" i="6"/>
  <c r="J93" i="6"/>
  <c r="J92" i="6"/>
  <c r="J91" i="6"/>
  <c r="J88" i="6"/>
  <c r="J87" i="6"/>
  <c r="J86" i="6"/>
  <c r="J83" i="6"/>
  <c r="J82" i="6"/>
  <c r="J81" i="6"/>
  <c r="J78" i="6"/>
  <c r="J77" i="6"/>
  <c r="J76" i="6"/>
  <c r="J66" i="6"/>
  <c r="J65" i="6"/>
  <c r="J64" i="6"/>
  <c r="J61" i="6"/>
  <c r="J60" i="6"/>
  <c r="J59" i="6"/>
  <c r="J56" i="6"/>
  <c r="J55" i="6"/>
  <c r="J54" i="6"/>
  <c r="J51" i="6"/>
  <c r="J50" i="6"/>
  <c r="J49" i="6"/>
  <c r="J46" i="6"/>
  <c r="J45" i="6"/>
  <c r="J44" i="6"/>
  <c r="J34" i="6"/>
  <c r="J33" i="6"/>
  <c r="J32" i="6"/>
  <c r="J29" i="6"/>
  <c r="J28" i="6"/>
  <c r="J27" i="6"/>
  <c r="J24" i="6"/>
  <c r="J23" i="6"/>
  <c r="J22" i="6"/>
  <c r="J19" i="6"/>
  <c r="J18" i="6"/>
  <c r="J17" i="6"/>
  <c r="J13" i="6"/>
  <c r="J14" i="6"/>
  <c r="J12" i="6"/>
  <c r="J143" i="3"/>
  <c r="J144" i="3"/>
  <c r="J145" i="3"/>
  <c r="J146" i="3"/>
  <c r="J149" i="3"/>
  <c r="J150" i="3"/>
  <c r="J153" i="3"/>
  <c r="J154" i="3"/>
  <c r="J157" i="3"/>
  <c r="J158" i="3"/>
  <c r="J159" i="3"/>
  <c r="J160" i="3"/>
  <c r="J170" i="3"/>
  <c r="J129" i="3"/>
  <c r="J125" i="3"/>
  <c r="S137" i="3"/>
  <c r="J128" i="3"/>
  <c r="J173" i="3"/>
  <c r="J179" i="3"/>
  <c r="J182" i="3"/>
  <c r="M94" i="3"/>
  <c r="O94" i="3"/>
  <c r="Q94" i="3"/>
  <c r="S94" i="3"/>
  <c r="N88" i="3"/>
  <c r="P88" i="3"/>
  <c r="R88" i="3"/>
  <c r="N90" i="3"/>
  <c r="P90" i="3"/>
  <c r="R90" i="3"/>
  <c r="N87" i="3"/>
  <c r="P87" i="3"/>
  <c r="R87" i="3"/>
  <c r="J402" i="3"/>
  <c r="J388" i="3"/>
  <c r="J387" i="3"/>
  <c r="J386" i="3"/>
  <c r="J385" i="3"/>
  <c r="J382" i="3"/>
  <c r="J381" i="3"/>
  <c r="J378" i="3"/>
  <c r="J376" i="3"/>
  <c r="J373" i="3"/>
  <c r="J372" i="3"/>
  <c r="J371" i="3"/>
  <c r="J370" i="3"/>
  <c r="J272" i="3"/>
  <c r="J271" i="3"/>
  <c r="J270" i="3"/>
  <c r="J269" i="3"/>
  <c r="J266" i="3"/>
  <c r="J265" i="3"/>
  <c r="J262" i="3"/>
  <c r="J260" i="3"/>
  <c r="J257" i="3"/>
  <c r="J256" i="3"/>
  <c r="J255" i="3"/>
  <c r="J254" i="3"/>
  <c r="J234" i="3"/>
  <c r="J77" i="3"/>
  <c r="J65" i="3"/>
  <c r="J56" i="3"/>
  <c r="J55" i="3"/>
  <c r="J54" i="3"/>
  <c r="J53" i="3"/>
  <c r="J50" i="3"/>
  <c r="J49" i="3"/>
  <c r="J46" i="3"/>
  <c r="J45" i="3"/>
  <c r="J42" i="3"/>
  <c r="J41" i="3"/>
  <c r="J40" i="3"/>
  <c r="J39" i="3"/>
  <c r="J28" i="3"/>
  <c r="J14" i="3"/>
  <c r="U279" i="8" l="1"/>
  <c r="U280" i="8"/>
  <c r="U303" i="8" s="1"/>
  <c r="J133" i="6"/>
  <c r="Q120" i="8"/>
  <c r="Q143" i="8" s="1"/>
  <c r="Q16" i="18" s="1"/>
  <c r="U55" i="8"/>
  <c r="T55" i="8"/>
  <c r="T69" i="8" s="1"/>
  <c r="O74" i="8" s="1"/>
  <c r="L55" i="8"/>
  <c r="L69" i="8" s="1"/>
  <c r="S55" i="8"/>
  <c r="S69" i="8" s="1"/>
  <c r="O55" i="8"/>
  <c r="P55" i="8"/>
  <c r="P69" i="8" s="1"/>
  <c r="P74" i="8" s="1"/>
  <c r="P12" i="5" s="1"/>
  <c r="Q55" i="8"/>
  <c r="Q69" i="8" s="1"/>
  <c r="J39" i="6"/>
  <c r="U286" i="8"/>
  <c r="U285" i="8"/>
  <c r="U278" i="8"/>
  <c r="U301" i="8" s="1"/>
  <c r="T279" i="8"/>
  <c r="T285" i="8"/>
  <c r="S276" i="8"/>
  <c r="N286" i="8"/>
  <c r="S278" i="8"/>
  <c r="S301" i="8" s="1"/>
  <c r="J268" i="8"/>
  <c r="R286" i="8"/>
  <c r="R308" i="8" s="1"/>
  <c r="R45" i="18" s="1"/>
  <c r="Q276" i="8"/>
  <c r="M276" i="8"/>
  <c r="Q277" i="8"/>
  <c r="M277" i="8"/>
  <c r="J135" i="6"/>
  <c r="O278" i="8"/>
  <c r="O301" i="8" s="1"/>
  <c r="L286" i="8"/>
  <c r="P286" i="8"/>
  <c r="P308" i="8" s="1"/>
  <c r="P45" i="18" s="1"/>
  <c r="P49" i="18" s="1"/>
  <c r="J253" i="8"/>
  <c r="J270" i="8"/>
  <c r="J134" i="6"/>
  <c r="R285" i="8"/>
  <c r="R307" i="8" s="1"/>
  <c r="R44" i="18" s="1"/>
  <c r="P285" i="8"/>
  <c r="P307" i="8" s="1"/>
  <c r="P44" i="18" s="1"/>
  <c r="N285" i="8"/>
  <c r="L285" i="8"/>
  <c r="L307" i="8" s="1"/>
  <c r="L44" i="18" s="1"/>
  <c r="L277" i="8"/>
  <c r="R276" i="8"/>
  <c r="P276" i="8"/>
  <c r="N276" i="8"/>
  <c r="J254" i="8"/>
  <c r="R277" i="8"/>
  <c r="P277" i="8"/>
  <c r="P278" i="8" s="1"/>
  <c r="P301" i="8" s="1"/>
  <c r="P310" i="8" s="1"/>
  <c r="P68" i="5" s="1"/>
  <c r="N277" i="8"/>
  <c r="J260" i="8"/>
  <c r="Q286" i="8"/>
  <c r="Q308" i="8" s="1"/>
  <c r="Q45" i="18" s="1"/>
  <c r="Q49" i="18" s="1"/>
  <c r="Q66" i="5" s="1"/>
  <c r="J264" i="8"/>
  <c r="S279" i="8"/>
  <c r="S302" i="8" s="1"/>
  <c r="O279" i="8"/>
  <c r="O302" i="8" s="1"/>
  <c r="R280" i="8"/>
  <c r="R303" i="8" s="1"/>
  <c r="R316" i="8" s="1"/>
  <c r="R74" i="5" s="1"/>
  <c r="R278" i="8"/>
  <c r="R301" i="8" s="1"/>
  <c r="R310" i="8" s="1"/>
  <c r="R68" i="5" s="1"/>
  <c r="N279" i="8"/>
  <c r="N278" i="8"/>
  <c r="N301" i="8" s="1"/>
  <c r="O286" i="8"/>
  <c r="O308" i="8" s="1"/>
  <c r="O45" i="18" s="1"/>
  <c r="O285" i="8"/>
  <c r="M286" i="8"/>
  <c r="M308" i="8" s="1"/>
  <c r="M45" i="18" s="1"/>
  <c r="M285" i="8"/>
  <c r="M307" i="8" s="1"/>
  <c r="M44" i="18" s="1"/>
  <c r="L276" i="8"/>
  <c r="J263" i="8"/>
  <c r="J258" i="8"/>
  <c r="J248" i="8"/>
  <c r="J249" i="8"/>
  <c r="J255" i="8"/>
  <c r="J259" i="8"/>
  <c r="J265" i="8"/>
  <c r="J269" i="8"/>
  <c r="N198" i="8"/>
  <c r="P194" i="8"/>
  <c r="O193" i="8"/>
  <c r="O197" i="8" s="1"/>
  <c r="O221" i="8" s="1"/>
  <c r="M193" i="8"/>
  <c r="L194" i="8"/>
  <c r="L195" i="8" s="1"/>
  <c r="L219" i="8" s="1"/>
  <c r="L229" i="8" s="1"/>
  <c r="L45" i="5" s="1"/>
  <c r="Q194" i="8"/>
  <c r="O194" i="8"/>
  <c r="M194" i="8"/>
  <c r="S195" i="8"/>
  <c r="S219" i="8" s="1"/>
  <c r="N229" i="8" s="1"/>
  <c r="N45" i="5" s="1"/>
  <c r="N197" i="8"/>
  <c r="P204" i="8"/>
  <c r="P227" i="8" s="1"/>
  <c r="P31" i="18" s="1"/>
  <c r="L204" i="8"/>
  <c r="L227" i="8" s="1"/>
  <c r="L31" i="18" s="1"/>
  <c r="P196" i="8"/>
  <c r="R193" i="8"/>
  <c r="R198" i="8" s="1"/>
  <c r="R222" i="8" s="1"/>
  <c r="R239" i="8" s="1"/>
  <c r="R55" i="5" s="1"/>
  <c r="O195" i="8"/>
  <c r="O219" i="8" s="1"/>
  <c r="M197" i="8"/>
  <c r="M221" i="8" s="1"/>
  <c r="M235" i="8" s="1"/>
  <c r="M51" i="5" s="1"/>
  <c r="M195" i="8"/>
  <c r="M219" i="8" s="1"/>
  <c r="M229" i="8" s="1"/>
  <c r="M45" i="5" s="1"/>
  <c r="M198" i="8"/>
  <c r="M196" i="8"/>
  <c r="M220" i="8" s="1"/>
  <c r="M230" i="8" s="1"/>
  <c r="M46" i="5" s="1"/>
  <c r="R195" i="8"/>
  <c r="R219" i="8" s="1"/>
  <c r="R229" i="8" s="1"/>
  <c r="R45" i="5" s="1"/>
  <c r="S204" i="8"/>
  <c r="N227" i="8" s="1"/>
  <c r="N31" i="18" s="1"/>
  <c r="S203" i="8"/>
  <c r="Q203" i="8"/>
  <c r="Q226" i="8" s="1"/>
  <c r="Q30" i="18" s="1"/>
  <c r="Q204" i="8"/>
  <c r="Q227" i="8" s="1"/>
  <c r="O204" i="8"/>
  <c r="O203" i="8"/>
  <c r="M203" i="8"/>
  <c r="M226" i="8" s="1"/>
  <c r="M30" i="18" s="1"/>
  <c r="M204" i="8"/>
  <c r="M227" i="8" s="1"/>
  <c r="M31" i="18" s="1"/>
  <c r="P198" i="8"/>
  <c r="Q196" i="8"/>
  <c r="Q195" i="8"/>
  <c r="N196" i="8"/>
  <c r="S197" i="8"/>
  <c r="S221" i="8" s="1"/>
  <c r="N195" i="8"/>
  <c r="R30" i="18"/>
  <c r="U120" i="8"/>
  <c r="U111" i="8"/>
  <c r="U115" i="8" s="1"/>
  <c r="U139" i="8" s="1"/>
  <c r="Q156" i="8" s="1"/>
  <c r="Q32" i="5" s="1"/>
  <c r="T110" i="8"/>
  <c r="T120" i="8"/>
  <c r="T111" i="8"/>
  <c r="T113" i="8"/>
  <c r="T137" i="8" s="1"/>
  <c r="T115" i="8"/>
  <c r="T121" i="8"/>
  <c r="T114" i="8"/>
  <c r="T112" i="8"/>
  <c r="T136" i="8" s="1"/>
  <c r="U121" i="8"/>
  <c r="U112" i="8"/>
  <c r="U136" i="8" s="1"/>
  <c r="U114" i="8"/>
  <c r="U138" i="8" s="1"/>
  <c r="Q152" i="8" s="1"/>
  <c r="Q31" i="5" s="1"/>
  <c r="P115" i="8"/>
  <c r="J71" i="6"/>
  <c r="S121" i="8"/>
  <c r="Q121" i="8"/>
  <c r="Q144" i="8" s="1"/>
  <c r="Q17" i="18" s="1"/>
  <c r="L120" i="8"/>
  <c r="L143" i="8" s="1"/>
  <c r="J84" i="8"/>
  <c r="Q111" i="8"/>
  <c r="M111" i="8"/>
  <c r="R110" i="8"/>
  <c r="N110" i="8"/>
  <c r="N113" i="8" s="1"/>
  <c r="N137" i="8" s="1"/>
  <c r="J89" i="8"/>
  <c r="J93" i="8"/>
  <c r="N121" i="8"/>
  <c r="J99" i="8"/>
  <c r="J103" i="8"/>
  <c r="N111" i="8"/>
  <c r="Q110" i="8"/>
  <c r="Q113" i="8" s="1"/>
  <c r="M110" i="8"/>
  <c r="M115" i="8" s="1"/>
  <c r="M139" i="8" s="1"/>
  <c r="M156" i="8" s="1"/>
  <c r="M32" i="5" s="1"/>
  <c r="J47" i="8"/>
  <c r="J37" i="6"/>
  <c r="R55" i="8"/>
  <c r="R69" i="8" s="1"/>
  <c r="R74" i="8" s="1"/>
  <c r="R12" i="5" s="1"/>
  <c r="T138" i="8"/>
  <c r="O152" i="8" s="1"/>
  <c r="T139" i="8"/>
  <c r="O156" i="8" s="1"/>
  <c r="J126" i="8"/>
  <c r="M306" i="3"/>
  <c r="N445" i="3"/>
  <c r="Q248" i="3"/>
  <c r="O445" i="3"/>
  <c r="O64" i="5" s="1"/>
  <c r="J186" i="3"/>
  <c r="S306" i="3"/>
  <c r="N220" i="8"/>
  <c r="U302" i="8"/>
  <c r="J398" i="3"/>
  <c r="M296" i="8"/>
  <c r="J284" i="3"/>
  <c r="J294" i="3"/>
  <c r="N219" i="8"/>
  <c r="J350" i="3"/>
  <c r="O69" i="8"/>
  <c r="J250" i="8"/>
  <c r="S286" i="8"/>
  <c r="N308" i="8" s="1"/>
  <c r="N45" i="18" s="1"/>
  <c r="S285" i="8"/>
  <c r="T203" i="8"/>
  <c r="T193" i="8"/>
  <c r="J102" i="6"/>
  <c r="P197" i="8"/>
  <c r="P195" i="8"/>
  <c r="N226" i="8"/>
  <c r="N30" i="18" s="1"/>
  <c r="N221" i="8"/>
  <c r="S198" i="8"/>
  <c r="S222" i="8" s="1"/>
  <c r="O226" i="8"/>
  <c r="O30" i="18" s="1"/>
  <c r="J185" i="8"/>
  <c r="J175" i="8"/>
  <c r="J165" i="8"/>
  <c r="T204" i="8"/>
  <c r="J167" i="8"/>
  <c r="U194" i="8"/>
  <c r="J171" i="8"/>
  <c r="T194" i="8"/>
  <c r="T198" i="8" s="1"/>
  <c r="T222" i="8" s="1"/>
  <c r="O239" i="8" s="1"/>
  <c r="U193" i="8"/>
  <c r="J177" i="8"/>
  <c r="J181" i="8"/>
  <c r="J187" i="8"/>
  <c r="U203" i="8"/>
  <c r="U204" i="8"/>
  <c r="J180" i="8"/>
  <c r="J170" i="8"/>
  <c r="J172" i="8"/>
  <c r="J176" i="8"/>
  <c r="J182" i="8"/>
  <c r="J186" i="8"/>
  <c r="J103" i="6"/>
  <c r="U113" i="8"/>
  <c r="U137" i="8" s="1"/>
  <c r="O121" i="8"/>
  <c r="O120" i="8"/>
  <c r="J102" i="8"/>
  <c r="O111" i="8"/>
  <c r="O115" i="8" s="1"/>
  <c r="O139" i="8" s="1"/>
  <c r="O32" i="5" s="1"/>
  <c r="J69" i="6"/>
  <c r="J70" i="6"/>
  <c r="R143" i="8"/>
  <c r="R16" i="18" s="1"/>
  <c r="R120" i="8"/>
  <c r="R144" i="8" s="1"/>
  <c r="R17" i="18" s="1"/>
  <c r="R121" i="8"/>
  <c r="P120" i="8"/>
  <c r="P143" i="8" s="1"/>
  <c r="P16" i="18" s="1"/>
  <c r="P121" i="8"/>
  <c r="P144" i="8" s="1"/>
  <c r="P17" i="18" s="1"/>
  <c r="Q115" i="8"/>
  <c r="Q112" i="8"/>
  <c r="P114" i="8"/>
  <c r="P138" i="8" s="1"/>
  <c r="P152" i="8" s="1"/>
  <c r="P31" i="5" s="1"/>
  <c r="P113" i="8"/>
  <c r="R111" i="8"/>
  <c r="S110" i="8"/>
  <c r="M114" i="8"/>
  <c r="M138" i="8" s="1"/>
  <c r="M152" i="8" s="1"/>
  <c r="M31" i="5" s="1"/>
  <c r="M113" i="8"/>
  <c r="M137" i="8" s="1"/>
  <c r="M147" i="8" s="1"/>
  <c r="M26" i="5" s="1"/>
  <c r="N114" i="8"/>
  <c r="N138" i="8" s="1"/>
  <c r="N112" i="8"/>
  <c r="M121" i="8"/>
  <c r="M144" i="8" s="1"/>
  <c r="M120" i="8"/>
  <c r="M143" i="8" s="1"/>
  <c r="M16" i="18" s="1"/>
  <c r="N120" i="8"/>
  <c r="N143" i="8" s="1"/>
  <c r="N16" i="18" s="1"/>
  <c r="L121" i="8"/>
  <c r="L144" i="8" s="1"/>
  <c r="L17" i="18" s="1"/>
  <c r="J119" i="8"/>
  <c r="L111" i="8"/>
  <c r="L110" i="8"/>
  <c r="J97" i="8"/>
  <c r="J92" i="8"/>
  <c r="J82" i="8"/>
  <c r="J83" i="8"/>
  <c r="J87" i="8"/>
  <c r="J88" i="8"/>
  <c r="J94" i="8"/>
  <c r="J98" i="8"/>
  <c r="J104" i="8"/>
  <c r="N136" i="8"/>
  <c r="N55" i="8"/>
  <c r="N69" i="8" s="1"/>
  <c r="N74" i="8" s="1"/>
  <c r="N12" i="5" s="1"/>
  <c r="M55" i="8"/>
  <c r="J25" i="8"/>
  <c r="J26" i="8"/>
  <c r="J30" i="8"/>
  <c r="J31" i="8"/>
  <c r="J35" i="8"/>
  <c r="J36" i="8"/>
  <c r="J40" i="8"/>
  <c r="J41" i="8"/>
  <c r="J45" i="8"/>
  <c r="J46" i="8"/>
  <c r="P139" i="8"/>
  <c r="P156" i="8" s="1"/>
  <c r="P32" i="5" s="1"/>
  <c r="P89" i="3"/>
  <c r="J20" i="3"/>
  <c r="J69" i="3"/>
  <c r="J120" i="3"/>
  <c r="Q216" i="3"/>
  <c r="Q21" i="5" s="1"/>
  <c r="J172" i="3"/>
  <c r="J169" i="3"/>
  <c r="O330" i="3"/>
  <c r="J281" i="3"/>
  <c r="J288" i="3"/>
  <c r="J400" i="3"/>
  <c r="J410" i="3"/>
  <c r="O446" i="3"/>
  <c r="O41" i="18" s="1"/>
  <c r="O41" i="5"/>
  <c r="T302" i="8"/>
  <c r="T303" i="8"/>
  <c r="O316" i="8" s="1"/>
  <c r="L217" i="3"/>
  <c r="L13" i="18" s="1"/>
  <c r="Q217" i="3"/>
  <c r="Q13" i="18" s="1"/>
  <c r="O217" i="3"/>
  <c r="Q33" i="3"/>
  <c r="J228" i="3"/>
  <c r="J236" i="3"/>
  <c r="N248" i="3"/>
  <c r="J344" i="3"/>
  <c r="P364" i="3"/>
  <c r="J118" i="3"/>
  <c r="J132" i="3"/>
  <c r="O137" i="3"/>
  <c r="R137" i="3"/>
  <c r="J119" i="3"/>
  <c r="T248" i="3"/>
  <c r="M89" i="3"/>
  <c r="O113" i="8"/>
  <c r="O137" i="8" s="1"/>
  <c r="J38" i="6"/>
  <c r="P216" i="3"/>
  <c r="P21" i="5" s="1"/>
  <c r="P217" i="3"/>
  <c r="P13" i="18" s="1"/>
  <c r="J208" i="3"/>
  <c r="T89" i="3"/>
  <c r="R89" i="3"/>
  <c r="P33" i="3"/>
  <c r="N89" i="3"/>
  <c r="L89" i="3"/>
  <c r="J62" i="3"/>
  <c r="J70" i="3"/>
  <c r="J68" i="3"/>
  <c r="J66" i="3"/>
  <c r="J64" i="3"/>
  <c r="J74" i="3"/>
  <c r="S89" i="3"/>
  <c r="Q89" i="3"/>
  <c r="O89" i="3"/>
  <c r="J81" i="3"/>
  <c r="J176" i="3"/>
  <c r="J174" i="3"/>
  <c r="J291" i="3"/>
  <c r="J298" i="3"/>
  <c r="J401" i="3"/>
  <c r="J399" i="3"/>
  <c r="P93" i="3"/>
  <c r="N93" i="3"/>
  <c r="J71" i="3"/>
  <c r="J67" i="3"/>
  <c r="J63" i="3"/>
  <c r="P137" i="3"/>
  <c r="N137" i="3"/>
  <c r="Q137" i="3"/>
  <c r="M216" i="3"/>
  <c r="M21" i="5" s="1"/>
  <c r="J124" i="3"/>
  <c r="M217" i="3"/>
  <c r="M13" i="18" s="1"/>
  <c r="J175" i="3"/>
  <c r="J171" i="3"/>
  <c r="P194" i="3"/>
  <c r="J168" i="3"/>
  <c r="P248" i="3"/>
  <c r="J286" i="3"/>
  <c r="J282" i="3"/>
  <c r="R306" i="3"/>
  <c r="N306" i="3"/>
  <c r="J280" i="3"/>
  <c r="J346" i="3"/>
  <c r="P445" i="3"/>
  <c r="P64" i="5" s="1"/>
  <c r="Q445" i="3"/>
  <c r="Q64" i="5" s="1"/>
  <c r="R422" i="3"/>
  <c r="J407" i="3"/>
  <c r="O280" i="8"/>
  <c r="O303" i="8" s="1"/>
  <c r="Q198" i="8"/>
  <c r="T278" i="8"/>
  <c r="T301" i="8" s="1"/>
  <c r="J17" i="3"/>
  <c r="J25" i="3"/>
  <c r="T137" i="3"/>
  <c r="J16" i="3"/>
  <c r="J24" i="3"/>
  <c r="J31" i="3"/>
  <c r="J230" i="3"/>
  <c r="J235" i="3"/>
  <c r="J243" i="3"/>
  <c r="M248" i="3"/>
  <c r="L364" i="3"/>
  <c r="Q364" i="3"/>
  <c r="M33" i="3"/>
  <c r="M90" i="3"/>
  <c r="J90" i="3" s="1"/>
  <c r="L137" i="3"/>
  <c r="J121" i="3"/>
  <c r="J134" i="3"/>
  <c r="M137" i="3"/>
  <c r="J133" i="3"/>
  <c r="J135" i="3"/>
  <c r="J202" i="3"/>
  <c r="N98" i="3"/>
  <c r="J98" i="3" s="1"/>
  <c r="T193" i="3"/>
  <c r="R93" i="3"/>
  <c r="O93" i="3"/>
  <c r="U364" i="3"/>
  <c r="O198" i="3"/>
  <c r="Q198" i="3"/>
  <c r="Q220" i="3" s="1"/>
  <c r="S198" i="3"/>
  <c r="P426" i="3"/>
  <c r="R426" i="3"/>
  <c r="R444" i="3" s="1"/>
  <c r="R63" i="5" s="1"/>
  <c r="U310" i="3"/>
  <c r="T194" i="3"/>
  <c r="R194" i="3"/>
  <c r="R220" i="3" s="1"/>
  <c r="R30" i="5" s="1"/>
  <c r="N194" i="3"/>
  <c r="U194" i="3"/>
  <c r="S194" i="3"/>
  <c r="M194" i="3"/>
  <c r="T306" i="3"/>
  <c r="P306" i="3"/>
  <c r="U306" i="3"/>
  <c r="O306" i="3"/>
  <c r="N422" i="3"/>
  <c r="S422" i="3"/>
  <c r="M422" i="3"/>
  <c r="J94" i="3"/>
  <c r="J15" i="3"/>
  <c r="J21" i="3"/>
  <c r="J30" i="3"/>
  <c r="M330" i="3"/>
  <c r="M27" i="18" s="1"/>
  <c r="T33" i="3"/>
  <c r="U137" i="3"/>
  <c r="U248" i="3"/>
  <c r="J311" i="3"/>
  <c r="T422" i="3"/>
  <c r="R216" i="3"/>
  <c r="R21" i="5" s="1"/>
  <c r="J203" i="3"/>
  <c r="R217" i="3"/>
  <c r="R13" i="18" s="1"/>
  <c r="N217" i="3"/>
  <c r="N13" i="18" s="1"/>
  <c r="O13" i="18"/>
  <c r="J207" i="3"/>
  <c r="P330" i="3"/>
  <c r="P27" i="18" s="1"/>
  <c r="P35" i="18" s="1"/>
  <c r="Q330" i="3"/>
  <c r="Q27" i="18" s="1"/>
  <c r="M446" i="3"/>
  <c r="M41" i="18" s="1"/>
  <c r="P198" i="3"/>
  <c r="R198" i="3"/>
  <c r="T198" i="3"/>
  <c r="L93" i="3"/>
  <c r="L110" i="3" s="1"/>
  <c r="S93" i="3"/>
  <c r="M198" i="3"/>
  <c r="M310" i="3"/>
  <c r="M333" i="3" s="1"/>
  <c r="M50" i="5" s="1"/>
  <c r="O310" i="3"/>
  <c r="T310" i="3"/>
  <c r="O426" i="3"/>
  <c r="T426" i="3"/>
  <c r="U93" i="3"/>
  <c r="U198" i="3"/>
  <c r="N198" i="3"/>
  <c r="U89" i="3"/>
  <c r="Q93" i="3"/>
  <c r="Q110" i="3" s="1"/>
  <c r="Q11" i="5" s="1"/>
  <c r="T93" i="3"/>
  <c r="L33" i="3"/>
  <c r="T364" i="3"/>
  <c r="R364" i="3"/>
  <c r="J87" i="3"/>
  <c r="Q329" i="3"/>
  <c r="Q41" i="5" s="1"/>
  <c r="J97" i="3"/>
  <c r="J101" i="3"/>
  <c r="J103" i="3"/>
  <c r="J206" i="3"/>
  <c r="U33" i="3"/>
  <c r="J88" i="3"/>
  <c r="J104" i="3"/>
  <c r="J199" i="3"/>
  <c r="J209" i="3"/>
  <c r="L30" i="18"/>
  <c r="S280" i="8"/>
  <c r="S303" i="8" s="1"/>
  <c r="J27" i="8"/>
  <c r="J32" i="8"/>
  <c r="P136" i="8"/>
  <c r="P146" i="8" s="1"/>
  <c r="P25" i="5" s="1"/>
  <c r="S220" i="8"/>
  <c r="N230" i="8" s="1"/>
  <c r="N46" i="5" s="1"/>
  <c r="N302" i="8"/>
  <c r="L198" i="3"/>
  <c r="L215" i="3" s="1"/>
  <c r="J183" i="3"/>
  <c r="J23" i="15"/>
  <c r="J39" i="15"/>
  <c r="J80" i="15"/>
  <c r="J54" i="15"/>
  <c r="J110" i="15"/>
  <c r="J96" i="15"/>
  <c r="U426" i="3"/>
  <c r="U422" i="3"/>
  <c r="P137" i="8"/>
  <c r="P147" i="8" s="1"/>
  <c r="P26" i="5" s="1"/>
  <c r="Q131" i="8"/>
  <c r="R33" i="3"/>
  <c r="N216" i="3"/>
  <c r="N21" i="5" s="1"/>
  <c r="R329" i="3"/>
  <c r="R41" i="5" s="1"/>
  <c r="L306" i="3"/>
  <c r="J195" i="3"/>
  <c r="J193" i="3"/>
  <c r="Q422" i="3"/>
  <c r="P296" i="8"/>
  <c r="P422" i="3"/>
  <c r="J291" i="8"/>
  <c r="J414" i="3"/>
  <c r="J404" i="3"/>
  <c r="R310" i="3"/>
  <c r="R328" i="3" s="1"/>
  <c r="R40" i="5" s="1"/>
  <c r="Q306" i="3"/>
  <c r="J210" i="8"/>
  <c r="Q214" i="8"/>
  <c r="Q220" i="8" s="1"/>
  <c r="Q230" i="8" s="1"/>
  <c r="Q46" i="5" s="1"/>
  <c r="P214" i="8"/>
  <c r="M222" i="8"/>
  <c r="M239" i="8" s="1"/>
  <c r="M55" i="5" s="1"/>
  <c r="S310" i="3"/>
  <c r="R446" i="3"/>
  <c r="R41" i="18" s="1"/>
  <c r="R445" i="3"/>
  <c r="R64" i="5" s="1"/>
  <c r="J435" i="3"/>
  <c r="O33" i="3"/>
  <c r="O364" i="3"/>
  <c r="J356" i="3"/>
  <c r="J355" i="3"/>
  <c r="J352" i="3"/>
  <c r="M364" i="3"/>
  <c r="J359" i="3"/>
  <c r="J361" i="3"/>
  <c r="N446" i="3"/>
  <c r="N41" i="18" s="1"/>
  <c r="S364" i="3"/>
  <c r="J345" i="3"/>
  <c r="J351" i="3"/>
  <c r="J246" i="3"/>
  <c r="R330" i="3"/>
  <c r="R27" i="18" s="1"/>
  <c r="R248" i="3"/>
  <c r="P329" i="3"/>
  <c r="P41" i="5" s="1"/>
  <c r="M329" i="3"/>
  <c r="M41" i="5" s="1"/>
  <c r="L330" i="3"/>
  <c r="L27" i="18" s="1"/>
  <c r="J231" i="3"/>
  <c r="L248" i="3"/>
  <c r="L329" i="3"/>
  <c r="L41" i="5" s="1"/>
  <c r="U69" i="8"/>
  <c r="Q74" i="8" s="1"/>
  <c r="Q12" i="5" s="1"/>
  <c r="Q426" i="3"/>
  <c r="J292" i="8"/>
  <c r="J397" i="3"/>
  <c r="J403" i="3"/>
  <c r="J396" i="3"/>
  <c r="S426" i="3"/>
  <c r="J296" i="8"/>
  <c r="M426" i="3"/>
  <c r="J222" i="15"/>
  <c r="J208" i="15"/>
  <c r="L426" i="3"/>
  <c r="J192" i="15"/>
  <c r="J287" i="3"/>
  <c r="Q310" i="3"/>
  <c r="J285" i="3"/>
  <c r="P310" i="3"/>
  <c r="P219" i="8"/>
  <c r="P229" i="8" s="1"/>
  <c r="P45" i="5" s="1"/>
  <c r="J209" i="8"/>
  <c r="J152" i="15"/>
  <c r="N222" i="8"/>
  <c r="J167" i="15"/>
  <c r="J283" i="3"/>
  <c r="J136" i="15"/>
  <c r="J360" i="3"/>
  <c r="J432" i="3"/>
  <c r="N102" i="3"/>
  <c r="N33" i="3"/>
  <c r="N364" i="3"/>
  <c r="N64" i="5"/>
  <c r="J427" i="3"/>
  <c r="J438" i="3"/>
  <c r="J437" i="3"/>
  <c r="J436" i="3"/>
  <c r="J428" i="3"/>
  <c r="M445" i="3"/>
  <c r="M64" i="5" s="1"/>
  <c r="J421" i="3"/>
  <c r="J107" i="14"/>
  <c r="J362" i="3"/>
  <c r="J431" i="3"/>
  <c r="L446" i="3"/>
  <c r="J347" i="3"/>
  <c r="J26" i="14"/>
  <c r="J321" i="3"/>
  <c r="J312" i="3"/>
  <c r="O27" i="18"/>
  <c r="J239" i="3"/>
  <c r="J307" i="3"/>
  <c r="O248" i="3"/>
  <c r="J322" i="3"/>
  <c r="S102" i="3"/>
  <c r="S33" i="3"/>
  <c r="J29" i="3"/>
  <c r="S30" i="14"/>
  <c r="J30" i="14" s="1"/>
  <c r="N330" i="3"/>
  <c r="N27" i="18" s="1"/>
  <c r="J240" i="3"/>
  <c r="J315" i="3"/>
  <c r="J229" i="3"/>
  <c r="S248" i="3"/>
  <c r="N329" i="3"/>
  <c r="J320" i="3"/>
  <c r="J316" i="3"/>
  <c r="J305" i="3"/>
  <c r="J81" i="14"/>
  <c r="J244" i="3"/>
  <c r="J319" i="3"/>
  <c r="J166" i="8"/>
  <c r="L197" i="8"/>
  <c r="L221" i="8" s="1"/>
  <c r="L235" i="8" s="1"/>
  <c r="L51" i="5" s="1"/>
  <c r="Q197" i="8"/>
  <c r="Q285" i="8"/>
  <c r="Q307" i="8" s="1"/>
  <c r="Q44" i="18" s="1"/>
  <c r="Q48" i="18" s="1"/>
  <c r="Q65" i="5" s="1"/>
  <c r="J37" i="8"/>
  <c r="M17" i="18"/>
  <c r="Q31" i="18"/>
  <c r="L16" i="18"/>
  <c r="L20" i="18" s="1"/>
  <c r="L22" i="5" s="1"/>
  <c r="N144" i="8"/>
  <c r="N17" i="18" s="1"/>
  <c r="J202" i="8"/>
  <c r="J201" i="8"/>
  <c r="J118" i="8"/>
  <c r="J284" i="8"/>
  <c r="J283" i="8"/>
  <c r="J54" i="8"/>
  <c r="J53" i="8"/>
  <c r="J42" i="8"/>
  <c r="L21" i="18"/>
  <c r="L23" i="5" s="1"/>
  <c r="O12" i="5"/>
  <c r="L308" i="8"/>
  <c r="J129" i="8"/>
  <c r="Q136" i="8"/>
  <c r="Q146" i="8" s="1"/>
  <c r="Q25" i="5" s="1"/>
  <c r="J64" i="8"/>
  <c r="N215" i="3"/>
  <c r="N20" i="5" s="1"/>
  <c r="M78" i="3"/>
  <c r="N295" i="3"/>
  <c r="N411" i="3"/>
  <c r="P34" i="18"/>
  <c r="P48" i="18"/>
  <c r="L216" i="3"/>
  <c r="J192" i="3"/>
  <c r="J423" i="3"/>
  <c r="R20" i="18"/>
  <c r="R22" i="5" s="1"/>
  <c r="J420" i="3"/>
  <c r="J120" i="8" l="1"/>
  <c r="J110" i="8"/>
  <c r="Q114" i="8"/>
  <c r="Q138" i="8" s="1"/>
  <c r="Q137" i="8"/>
  <c r="Q147" i="8" s="1"/>
  <c r="Q26" i="5" s="1"/>
  <c r="M21" i="18"/>
  <c r="P20" i="18"/>
  <c r="P22" i="5" s="1"/>
  <c r="O307" i="8"/>
  <c r="O44" i="18" s="1"/>
  <c r="O48" i="18" s="1"/>
  <c r="O65" i="5" s="1"/>
  <c r="N307" i="8"/>
  <c r="Q278" i="8"/>
  <c r="Q301" i="8" s="1"/>
  <c r="Q310" i="8" s="1"/>
  <c r="Q68" i="5" s="1"/>
  <c r="P279" i="8"/>
  <c r="J276" i="8"/>
  <c r="Q280" i="8"/>
  <c r="Q303" i="8" s="1"/>
  <c r="M48" i="18"/>
  <c r="M65" i="5" s="1"/>
  <c r="M279" i="8"/>
  <c r="M302" i="8" s="1"/>
  <c r="M311" i="8" s="1"/>
  <c r="M69" i="5" s="1"/>
  <c r="R49" i="18"/>
  <c r="R66" i="5" s="1"/>
  <c r="P302" i="8"/>
  <c r="P311" i="8" s="1"/>
  <c r="P69" i="5" s="1"/>
  <c r="M280" i="8"/>
  <c r="M303" i="8" s="1"/>
  <c r="M316" i="8" s="1"/>
  <c r="M74" i="5" s="1"/>
  <c r="M278" i="8"/>
  <c r="M301" i="8" s="1"/>
  <c r="M310" i="8" s="1"/>
  <c r="M68" i="5" s="1"/>
  <c r="Q279" i="8"/>
  <c r="Q302" i="8" s="1"/>
  <c r="Q311" i="8" s="1"/>
  <c r="Q69" i="5" s="1"/>
  <c r="J277" i="8"/>
  <c r="N280" i="8"/>
  <c r="N303" i="8" s="1"/>
  <c r="N316" i="8" s="1"/>
  <c r="N74" i="5" s="1"/>
  <c r="R279" i="8"/>
  <c r="R302" i="8" s="1"/>
  <c r="R311" i="8" s="1"/>
  <c r="R69" i="5" s="1"/>
  <c r="P280" i="8"/>
  <c r="P303" i="8" s="1"/>
  <c r="P316" i="8" s="1"/>
  <c r="P74" i="5" s="1"/>
  <c r="L280" i="8"/>
  <c r="L279" i="8"/>
  <c r="L278" i="8"/>
  <c r="J285" i="8"/>
  <c r="J286" i="8"/>
  <c r="N310" i="8"/>
  <c r="N68" i="5" s="1"/>
  <c r="T196" i="8"/>
  <c r="T220" i="8" s="1"/>
  <c r="T197" i="8"/>
  <c r="T221" i="8" s="1"/>
  <c r="O235" i="8" s="1"/>
  <c r="O51" i="5" s="1"/>
  <c r="U196" i="8"/>
  <c r="U220" i="8" s="1"/>
  <c r="J193" i="8"/>
  <c r="L198" i="8"/>
  <c r="L222" i="8" s="1"/>
  <c r="L239" i="8" s="1"/>
  <c r="L55" i="5" s="1"/>
  <c r="O198" i="8"/>
  <c r="O222" i="8" s="1"/>
  <c r="R34" i="18"/>
  <c r="R42" i="5" s="1"/>
  <c r="P221" i="8"/>
  <c r="P235" i="8" s="1"/>
  <c r="P51" i="5" s="1"/>
  <c r="Q34" i="18"/>
  <c r="Q42" i="5" s="1"/>
  <c r="M34" i="18"/>
  <c r="M42" i="5" s="1"/>
  <c r="L196" i="8"/>
  <c r="L220" i="8" s="1"/>
  <c r="L230" i="8" s="1"/>
  <c r="L46" i="5" s="1"/>
  <c r="R197" i="8"/>
  <c r="R221" i="8" s="1"/>
  <c r="R235" i="8" s="1"/>
  <c r="R51" i="5" s="1"/>
  <c r="O196" i="8"/>
  <c r="O220" i="8" s="1"/>
  <c r="R196" i="8"/>
  <c r="R220" i="8" s="1"/>
  <c r="R230" i="8" s="1"/>
  <c r="R46" i="5" s="1"/>
  <c r="J203" i="8"/>
  <c r="N35" i="18"/>
  <c r="N43" i="5" s="1"/>
  <c r="J30" i="18"/>
  <c r="O230" i="8"/>
  <c r="O46" i="5" s="1"/>
  <c r="O227" i="8"/>
  <c r="O144" i="8"/>
  <c r="O17" i="18" s="1"/>
  <c r="O21" i="18" s="1"/>
  <c r="O23" i="5" s="1"/>
  <c r="O114" i="8"/>
  <c r="O138" i="8" s="1"/>
  <c r="O31" i="5" s="1"/>
  <c r="Q21" i="18"/>
  <c r="Q23" i="5" s="1"/>
  <c r="M112" i="8"/>
  <c r="M136" i="8" s="1"/>
  <c r="M146" i="8" s="1"/>
  <c r="M25" i="5" s="1"/>
  <c r="N115" i="8"/>
  <c r="N139" i="8" s="1"/>
  <c r="M69" i="8"/>
  <c r="M74" i="8" s="1"/>
  <c r="M12" i="5" s="1"/>
  <c r="J55" i="8"/>
  <c r="P21" i="18"/>
  <c r="P23" i="5" s="1"/>
  <c r="R21" i="18"/>
  <c r="R23" i="5" s="1"/>
  <c r="O74" i="5"/>
  <c r="M444" i="3"/>
  <c r="M63" i="5" s="1"/>
  <c r="R35" i="18"/>
  <c r="R43" i="5" s="1"/>
  <c r="L220" i="3"/>
  <c r="Q20" i="5"/>
  <c r="P220" i="3"/>
  <c r="P30" i="5" s="1"/>
  <c r="O216" i="3"/>
  <c r="O21" i="5" s="1"/>
  <c r="R449" i="3"/>
  <c r="R73" i="5" s="1"/>
  <c r="P110" i="3"/>
  <c r="P11" i="5" s="1"/>
  <c r="M20" i="18"/>
  <c r="M22" i="5" s="1"/>
  <c r="O110" i="3"/>
  <c r="O11" i="5" s="1"/>
  <c r="L444" i="3"/>
  <c r="L63" i="5" s="1"/>
  <c r="P333" i="3"/>
  <c r="P50" i="5" s="1"/>
  <c r="O336" i="3"/>
  <c r="O54" i="5" s="1"/>
  <c r="J194" i="3"/>
  <c r="R110" i="3"/>
  <c r="R11" i="5" s="1"/>
  <c r="J89" i="3"/>
  <c r="N311" i="8"/>
  <c r="N69" i="5" s="1"/>
  <c r="J306" i="3"/>
  <c r="N235" i="8"/>
  <c r="N51" i="5" s="1"/>
  <c r="M336" i="3"/>
  <c r="M54" i="5" s="1"/>
  <c r="N239" i="8"/>
  <c r="N55" i="5" s="1"/>
  <c r="O49" i="18"/>
  <c r="O66" i="5" s="1"/>
  <c r="M49" i="18"/>
  <c r="M66" i="5" s="1"/>
  <c r="L449" i="3"/>
  <c r="L73" i="5" s="1"/>
  <c r="M328" i="3"/>
  <c r="M40" i="5" s="1"/>
  <c r="Q316" i="8"/>
  <c r="Q74" i="5" s="1"/>
  <c r="O31" i="18"/>
  <c r="J31" i="18" s="1"/>
  <c r="J227" i="8"/>
  <c r="J194" i="8"/>
  <c r="J204" i="8"/>
  <c r="O34" i="18"/>
  <c r="O42" i="5" s="1"/>
  <c r="J226" i="8"/>
  <c r="U197" i="8"/>
  <c r="U221" i="8" s="1"/>
  <c r="Q235" i="8" s="1"/>
  <c r="Q51" i="5" s="1"/>
  <c r="U198" i="8"/>
  <c r="U222" i="8" s="1"/>
  <c r="O55" i="5"/>
  <c r="T195" i="8"/>
  <c r="U195" i="8"/>
  <c r="U219" i="8" s="1"/>
  <c r="L34" i="18"/>
  <c r="L42" i="5" s="1"/>
  <c r="O143" i="8"/>
  <c r="O16" i="18" s="1"/>
  <c r="O112" i="8"/>
  <c r="O136" i="8" s="1"/>
  <c r="O146" i="8" s="1"/>
  <c r="O25" i="5" s="1"/>
  <c r="J111" i="8"/>
  <c r="S115" i="8"/>
  <c r="S139" i="8" s="1"/>
  <c r="N156" i="8" s="1"/>
  <c r="N32" i="5" s="1"/>
  <c r="S114" i="8"/>
  <c r="S138" i="8" s="1"/>
  <c r="N152" i="8" s="1"/>
  <c r="N31" i="5" s="1"/>
  <c r="S112" i="8"/>
  <c r="S136" i="8" s="1"/>
  <c r="N146" i="8" s="1"/>
  <c r="N25" i="5" s="1"/>
  <c r="S113" i="8"/>
  <c r="S137" i="8" s="1"/>
  <c r="N147" i="8" s="1"/>
  <c r="N26" i="5" s="1"/>
  <c r="R115" i="8"/>
  <c r="R139" i="8" s="1"/>
  <c r="R156" i="8" s="1"/>
  <c r="R32" i="5" s="1"/>
  <c r="R113" i="8"/>
  <c r="R137" i="8" s="1"/>
  <c r="R147" i="8" s="1"/>
  <c r="R26" i="5" s="1"/>
  <c r="R114" i="8"/>
  <c r="R138" i="8" s="1"/>
  <c r="R152" i="8" s="1"/>
  <c r="R31" i="5" s="1"/>
  <c r="R112" i="8"/>
  <c r="R136" i="8" s="1"/>
  <c r="R146" i="8" s="1"/>
  <c r="R25" i="5" s="1"/>
  <c r="J121" i="8"/>
  <c r="L115" i="8"/>
  <c r="L113" i="8"/>
  <c r="L112" i="8"/>
  <c r="L114" i="8"/>
  <c r="J13" i="18"/>
  <c r="O328" i="3"/>
  <c r="O40" i="5" s="1"/>
  <c r="M215" i="3"/>
  <c r="M20" i="5" s="1"/>
  <c r="O449" i="3"/>
  <c r="O73" i="5" s="1"/>
  <c r="O444" i="3"/>
  <c r="O63" i="5" s="1"/>
  <c r="O310" i="8"/>
  <c r="O68" i="5" s="1"/>
  <c r="O311" i="8"/>
  <c r="O69" i="5" s="1"/>
  <c r="Q219" i="8"/>
  <c r="Q229" i="8" s="1"/>
  <c r="Q45" i="5" s="1"/>
  <c r="Q139" i="8"/>
  <c r="O147" i="8"/>
  <c r="O26" i="5" s="1"/>
  <c r="R48" i="18"/>
  <c r="R65" i="5" s="1"/>
  <c r="Q449" i="3"/>
  <c r="Q73" i="5" s="1"/>
  <c r="O215" i="3"/>
  <c r="O20" i="5" s="1"/>
  <c r="Q30" i="5"/>
  <c r="O220" i="3"/>
  <c r="O30" i="5" s="1"/>
  <c r="Q333" i="3"/>
  <c r="Q50" i="5" s="1"/>
  <c r="O333" i="3"/>
  <c r="O50" i="5" s="1"/>
  <c r="M220" i="3"/>
  <c r="M30" i="5" s="1"/>
  <c r="R215" i="3"/>
  <c r="R20" i="5" s="1"/>
  <c r="J131" i="8"/>
  <c r="P220" i="8"/>
  <c r="P230" i="8" s="1"/>
  <c r="P46" i="5" s="1"/>
  <c r="Q35" i="18"/>
  <c r="Q43" i="5" s="1"/>
  <c r="R333" i="3"/>
  <c r="R50" i="5" s="1"/>
  <c r="P215" i="3"/>
  <c r="P20" i="5" s="1"/>
  <c r="O35" i="18"/>
  <c r="O43" i="5" s="1"/>
  <c r="N49" i="18"/>
  <c r="N66" i="5" s="1"/>
  <c r="L328" i="3"/>
  <c r="L40" i="5" s="1"/>
  <c r="P328" i="3"/>
  <c r="P40" i="5" s="1"/>
  <c r="P444" i="3"/>
  <c r="P63" i="5" s="1"/>
  <c r="Q20" i="18"/>
  <c r="Q22" i="5" s="1"/>
  <c r="J217" i="3"/>
  <c r="J137" i="3"/>
  <c r="P449" i="3"/>
  <c r="P73" i="5" s="1"/>
  <c r="N220" i="3"/>
  <c r="N30" i="5" s="1"/>
  <c r="N20" i="18"/>
  <c r="N22" i="5" s="1"/>
  <c r="N21" i="18"/>
  <c r="N23" i="5" s="1"/>
  <c r="L35" i="18"/>
  <c r="L43" i="5" s="1"/>
  <c r="J422" i="3"/>
  <c r="Q444" i="3"/>
  <c r="Q63" i="5" s="1"/>
  <c r="J198" i="3"/>
  <c r="M449" i="3"/>
  <c r="M73" i="5" s="1"/>
  <c r="R336" i="3"/>
  <c r="R54" i="5" s="1"/>
  <c r="Q221" i="8"/>
  <c r="J221" i="8" s="1"/>
  <c r="J214" i="8"/>
  <c r="Q222" i="8"/>
  <c r="Q239" i="8" s="1"/>
  <c r="Q55" i="5" s="1"/>
  <c r="P222" i="8"/>
  <c r="P239" i="8" s="1"/>
  <c r="P55" i="5" s="1"/>
  <c r="L333" i="3"/>
  <c r="L50" i="5" s="1"/>
  <c r="J364" i="3"/>
  <c r="Q40" i="5"/>
  <c r="J329" i="3"/>
  <c r="N41" i="5"/>
  <c r="J41" i="5" s="1"/>
  <c r="Q336" i="3"/>
  <c r="Q54" i="5" s="1"/>
  <c r="P336" i="3"/>
  <c r="P54" i="5" s="1"/>
  <c r="L336" i="3"/>
  <c r="L54" i="5" s="1"/>
  <c r="J33" i="3"/>
  <c r="J446" i="3"/>
  <c r="L41" i="18"/>
  <c r="J248" i="3"/>
  <c r="N34" i="18"/>
  <c r="N42" i="5" s="1"/>
  <c r="N110" i="3"/>
  <c r="N11" i="5" s="1"/>
  <c r="J102" i="3"/>
  <c r="J330" i="3"/>
  <c r="J27" i="18"/>
  <c r="M35" i="18"/>
  <c r="M43" i="5" s="1"/>
  <c r="J198" i="8"/>
  <c r="N44" i="18"/>
  <c r="J307" i="8"/>
  <c r="J144" i="8"/>
  <c r="L45" i="18"/>
  <c r="J308" i="8"/>
  <c r="N310" i="3"/>
  <c r="J295" i="3"/>
  <c r="N426" i="3"/>
  <c r="J411" i="3"/>
  <c r="M93" i="3"/>
  <c r="J78" i="3"/>
  <c r="J69" i="8"/>
  <c r="L74" i="8"/>
  <c r="L11" i="5"/>
  <c r="L20" i="5"/>
  <c r="L64" i="5"/>
  <c r="J64" i="5" s="1"/>
  <c r="J445" i="3"/>
  <c r="M23" i="5"/>
  <c r="L30" i="5"/>
  <c r="P66" i="5"/>
  <c r="P42" i="5"/>
  <c r="L21" i="5"/>
  <c r="P65" i="5"/>
  <c r="P43" i="5"/>
  <c r="L302" i="8" l="1"/>
  <c r="J279" i="8"/>
  <c r="L301" i="8"/>
  <c r="J278" i="8"/>
  <c r="J280" i="8"/>
  <c r="L303" i="8"/>
  <c r="J220" i="8"/>
  <c r="J197" i="8"/>
  <c r="J196" i="8"/>
  <c r="J46" i="5"/>
  <c r="J43" i="5"/>
  <c r="J42" i="5"/>
  <c r="J17" i="18"/>
  <c r="J51" i="5"/>
  <c r="J216" i="3"/>
  <c r="J21" i="5"/>
  <c r="J220" i="3"/>
  <c r="J215" i="3"/>
  <c r="J235" i="8"/>
  <c r="T219" i="8"/>
  <c r="J195" i="8"/>
  <c r="J143" i="8"/>
  <c r="O20" i="18"/>
  <c r="O22" i="5" s="1"/>
  <c r="J22" i="5" s="1"/>
  <c r="J16" i="18"/>
  <c r="J114" i="8"/>
  <c r="L138" i="8"/>
  <c r="L137" i="8"/>
  <c r="J113" i="8"/>
  <c r="L136" i="8"/>
  <c r="J112" i="8"/>
  <c r="L139" i="8"/>
  <c r="L156" i="8" s="1"/>
  <c r="J115" i="8"/>
  <c r="J55" i="5"/>
  <c r="J23" i="5"/>
  <c r="J20" i="5"/>
  <c r="J239" i="8"/>
  <c r="J230" i="8"/>
  <c r="J30" i="5"/>
  <c r="J21" i="18"/>
  <c r="J222" i="8"/>
  <c r="J35" i="18"/>
  <c r="J41" i="18"/>
  <c r="L48" i="18"/>
  <c r="L65" i="5" s="1"/>
  <c r="J34" i="18"/>
  <c r="N48" i="18"/>
  <c r="J44" i="18"/>
  <c r="L49" i="18"/>
  <c r="J45" i="18"/>
  <c r="N444" i="3"/>
  <c r="N449" i="3"/>
  <c r="J426" i="3"/>
  <c r="L12" i="5"/>
  <c r="J12" i="5" s="1"/>
  <c r="J74" i="8"/>
  <c r="M110" i="3"/>
  <c r="J93" i="3"/>
  <c r="N333" i="3"/>
  <c r="N328" i="3"/>
  <c r="N336" i="3"/>
  <c r="J310" i="3"/>
  <c r="L310" i="8" l="1"/>
  <c r="J301" i="8"/>
  <c r="L316" i="8"/>
  <c r="J303" i="8"/>
  <c r="L311" i="8"/>
  <c r="J302" i="8"/>
  <c r="O229" i="8"/>
  <c r="J219" i="8"/>
  <c r="J20" i="18"/>
  <c r="J139" i="8"/>
  <c r="L152" i="8"/>
  <c r="J138" i="8"/>
  <c r="L32" i="5"/>
  <c r="J32" i="5" s="1"/>
  <c r="J156" i="8"/>
  <c r="L146" i="8"/>
  <c r="J136" i="8"/>
  <c r="L147" i="8"/>
  <c r="J137" i="8"/>
  <c r="N65" i="5"/>
  <c r="J65" i="5" s="1"/>
  <c r="J48" i="18"/>
  <c r="L66" i="5"/>
  <c r="J66" i="5" s="1"/>
  <c r="J49" i="18"/>
  <c r="J333" i="3"/>
  <c r="N50" i="5"/>
  <c r="J50" i="5" s="1"/>
  <c r="N40" i="5"/>
  <c r="J40" i="5" s="1"/>
  <c r="J328" i="3"/>
  <c r="N63" i="5"/>
  <c r="J63" i="5" s="1"/>
  <c r="J444" i="3"/>
  <c r="N54" i="5"/>
  <c r="J54" i="5" s="1"/>
  <c r="J336" i="3"/>
  <c r="M11" i="5"/>
  <c r="J11" i="5" s="1"/>
  <c r="J110" i="3"/>
  <c r="N73" i="5"/>
  <c r="J73" i="5" s="1"/>
  <c r="J449" i="3"/>
  <c r="L69" i="5" l="1"/>
  <c r="J69" i="5" s="1"/>
  <c r="J311" i="8"/>
  <c r="L74" i="5"/>
  <c r="J74" i="5" s="1"/>
  <c r="J316" i="8"/>
  <c r="L68" i="5"/>
  <c r="J68" i="5" s="1"/>
  <c r="J310" i="8"/>
  <c r="O45" i="5"/>
  <c r="J45" i="5" s="1"/>
  <c r="J229" i="8"/>
  <c r="L26" i="5"/>
  <c r="J26" i="5" s="1"/>
  <c r="J147" i="8"/>
  <c r="L25" i="5"/>
  <c r="J25" i="5" s="1"/>
  <c r="J146" i="8"/>
  <c r="L31" i="5"/>
  <c r="J31" i="5" s="1"/>
  <c r="J152" i="8"/>
</calcChain>
</file>

<file path=xl/comments1.xml><?xml version="1.0" encoding="utf-8"?>
<comments xmlns="http://schemas.openxmlformats.org/spreadsheetml/2006/main">
  <authors>
    <author>Auteur</author>
  </authors>
  <commentList>
    <comment ref="L26" authorId="0">
      <text>
        <r>
          <rPr>
            <sz val="8"/>
            <color indexed="81"/>
            <rFont val="Tahoma"/>
            <family val="2"/>
          </rPr>
          <t>Schatting wegens het veranderingen van het format. 
Schatting gedaan door gemiddelde van 2013,2014 en 2015 te pakken.</t>
        </r>
      </text>
    </comment>
    <comment ref="N93" authorId="0">
      <text>
        <r>
          <rPr>
            <sz val="8"/>
            <color indexed="81"/>
            <rFont val="Tahoma"/>
            <family val="2"/>
          </rPr>
          <t>Aangepaste data aangeleverd op 17 november 2017 en 19 november 2018</t>
        </r>
      </text>
    </comment>
    <comment ref="Q93" authorId="0">
      <text>
        <r>
          <rPr>
            <sz val="8"/>
            <color indexed="81"/>
            <rFont val="Tahoma"/>
            <family val="2"/>
          </rPr>
          <t>Aangepaste data aangeleverd op 19 mei 2017</t>
        </r>
      </text>
    </comment>
  </commentList>
</comments>
</file>

<file path=xl/comments2.xml><?xml version="1.0" encoding="utf-8"?>
<comments xmlns="http://schemas.openxmlformats.org/spreadsheetml/2006/main">
  <authors>
    <author>Auteur</author>
  </authors>
  <commentList>
    <comment ref="O13" authorId="0">
      <text>
        <r>
          <rPr>
            <sz val="8"/>
            <color indexed="81"/>
            <rFont val="Tahoma"/>
            <family val="2"/>
          </rPr>
          <t>Aangepaste data aangeleverd in RD 2015-traject.</t>
        </r>
      </text>
    </comment>
    <comment ref="O18" authorId="0">
      <text>
        <r>
          <rPr>
            <sz val="8"/>
            <color indexed="81"/>
            <rFont val="Tahoma"/>
            <family val="2"/>
          </rPr>
          <t>Aangepaste data aangeleverd in RD 2015-traject.</t>
        </r>
      </text>
    </comment>
    <comment ref="O29" authorId="0">
      <text>
        <r>
          <rPr>
            <sz val="8"/>
            <color indexed="81"/>
            <rFont val="Tahoma"/>
            <family val="2"/>
          </rPr>
          <t>Aangepaste data aangeleverd in RD 2015-traject.</t>
        </r>
      </text>
    </comment>
  </commentList>
</comments>
</file>

<file path=xl/comments3.xml><?xml version="1.0" encoding="utf-8"?>
<comments xmlns="http://schemas.openxmlformats.org/spreadsheetml/2006/main">
  <authors>
    <author>Auteur</author>
  </authors>
  <commentList>
    <comment ref="O7" authorId="0">
      <text>
        <r>
          <rPr>
            <sz val="8"/>
            <color indexed="81"/>
            <rFont val="Tahoma"/>
            <family val="2"/>
          </rPr>
          <t xml:space="preserve">Liander gebied voor toevoeging FNOP en na verwijdering Pampus
</t>
        </r>
      </text>
    </comment>
  </commentList>
</comments>
</file>

<file path=xl/comments4.xml><?xml version="1.0" encoding="utf-8"?>
<comments xmlns="http://schemas.openxmlformats.org/spreadsheetml/2006/main">
  <authors>
    <author>Auteur</author>
  </authors>
  <commentList>
    <comment ref="L23" authorId="0">
      <text>
        <r>
          <rPr>
            <sz val="8"/>
            <color indexed="81"/>
            <rFont val="Tahoma"/>
            <family val="2"/>
          </rPr>
          <t>Aangepast besparingsbedrag i.v.m. het later in werking treden van het leveranciersmodel.</t>
        </r>
      </text>
    </comment>
    <comment ref="O24" authorId="0">
      <text>
        <r>
          <rPr>
            <sz val="8"/>
            <color rgb="FF000000"/>
            <rFont val="Tahoma"/>
            <family val="2"/>
          </rPr>
          <t>125.000 uit rapportage Ecorys, minus 29.000 eenmalige kosten toe te wijzen aan 2017.</t>
        </r>
      </text>
    </comment>
    <comment ref="L29" authorId="0">
      <text>
        <r>
          <rPr>
            <sz val="8"/>
            <color indexed="81"/>
            <rFont val="Tahoma"/>
            <family val="2"/>
          </rPr>
          <t>Herschaling naar 7 maanden i.v.m. invoering nieuwe marktmodel per 1 augustus 2013</t>
        </r>
      </text>
    </comment>
  </commentList>
</comments>
</file>

<file path=xl/comments5.xml><?xml version="1.0" encoding="utf-8"?>
<comments xmlns="http://schemas.openxmlformats.org/spreadsheetml/2006/main">
  <authors>
    <author>Auteur</author>
  </authors>
  <commentList>
    <comment ref="N7" authorId="0">
      <text>
        <r>
          <rPr>
            <sz val="8"/>
            <color indexed="81"/>
            <rFont val="Tahoma"/>
            <family val="2"/>
          </rPr>
          <t xml:space="preserve">Dit is het oorspronkelijke Enexis, vóór verschuiving van FNOP
</t>
        </r>
      </text>
    </comment>
    <comment ref="O7" authorId="0">
      <text>
        <r>
          <rPr>
            <sz val="8"/>
            <color indexed="81"/>
            <rFont val="Tahoma"/>
            <family val="2"/>
          </rPr>
          <t xml:space="preserve">Dit is Liander zonder FNOP (vóór verschuiving)
</t>
        </r>
      </text>
    </comment>
    <comment ref="Q7" authorId="0">
      <text>
        <r>
          <rPr>
            <sz val="8"/>
            <color indexed="81"/>
            <rFont val="Tahoma"/>
            <family val="2"/>
          </rPr>
          <t xml:space="preserve">Gegevens voor Stedin inclusief HS voor de jaren 2012 t/m 2014. 2015 is exclusief HS.
</t>
        </r>
      </text>
    </comment>
    <comment ref="R53" authorId="0">
      <text>
        <r>
          <rPr>
            <sz val="8"/>
            <color indexed="81"/>
            <rFont val="Tahoma"/>
            <family val="2"/>
          </rPr>
          <t>Aanpassing  vanuit herstel x-factorbesluiten 2014-2016 dd 25 augustus 2016: Aangepast naar afgeboekt bedrag i.p.v. in rekening gebrachte kosten 2012.</t>
        </r>
      </text>
    </comment>
    <comment ref="S56" authorId="0">
      <text>
        <r>
          <rPr>
            <sz val="8"/>
            <color indexed="81"/>
            <rFont val="Tahoma"/>
            <family val="2"/>
          </rPr>
          <t>Wijziging aangebracht op basis van onderzoek naar dubbele opgave van voorzieningen in kostenbasis Endinet (zonder 2016, zie gewijzigd x-factorbesluit voor 2014-2016, zomer 2016).</t>
        </r>
        <r>
          <rPr>
            <b/>
            <sz val="8"/>
            <color indexed="81"/>
            <rFont val="Tahoma"/>
            <family val="2"/>
          </rPr>
          <t xml:space="preserve">
</t>
        </r>
      </text>
    </comment>
    <comment ref="O110" authorId="0">
      <text>
        <r>
          <rPr>
            <sz val="8"/>
            <color indexed="81"/>
            <rFont val="Tahoma"/>
            <family val="2"/>
          </rPr>
          <t>Voor PV-berekening wordt Liander incl. Pampus gebruikt .</t>
        </r>
      </text>
    </comment>
    <comment ref="N212" authorId="0">
      <text>
        <r>
          <rPr>
            <sz val="8"/>
            <color indexed="81"/>
            <rFont val="Tahoma"/>
            <family val="2"/>
          </rPr>
          <t xml:space="preserve">Na verschuiving FNOP en integratie Endinet
</t>
        </r>
      </text>
    </comment>
    <comment ref="O212" authorId="0">
      <text>
        <r>
          <rPr>
            <sz val="8"/>
            <color indexed="81"/>
            <rFont val="Tahoma"/>
            <family val="2"/>
          </rPr>
          <t>Incl. FNOP-gebied</t>
        </r>
      </text>
    </comment>
    <comment ref="Q216" authorId="0">
      <text>
        <r>
          <rPr>
            <sz val="8"/>
            <color indexed="81"/>
            <rFont val="Tahoma"/>
            <family val="2"/>
          </rPr>
          <t>In deze cel worden de nieuwe inkoopkosten transport van Stedin berekent, na de HS-overdracht. Deze komt tot stand door het toevoegen van een raming van de additionele inkoopkosten transport bij het oorspronkelijke bedrag.</t>
        </r>
      </text>
    </comment>
    <comment ref="O220" authorId="0">
      <text>
        <r>
          <rPr>
            <sz val="8"/>
            <color indexed="81"/>
            <rFont val="Tahoma"/>
            <family val="2"/>
          </rPr>
          <t xml:space="preserve">Voor PV-berekening wordt Liander incl. Pampus gebruikt </t>
        </r>
      </text>
    </comment>
    <comment ref="Q220" authorId="0">
      <text>
        <r>
          <rPr>
            <sz val="8"/>
            <color indexed="81"/>
            <rFont val="Tahoma"/>
            <family val="2"/>
          </rPr>
          <t xml:space="preserve">Wijkt voor stedin af van OPEX voor maatstaf (want voor maatstaf excl. HS, hier incl. HS)
</t>
        </r>
      </text>
    </comment>
    <comment ref="N325" authorId="0">
      <text>
        <r>
          <rPr>
            <sz val="8"/>
            <color indexed="81"/>
            <rFont val="Tahoma"/>
            <family val="2"/>
          </rPr>
          <t xml:space="preserve">Na verschuiving FNOP en integratie Endinet
</t>
        </r>
      </text>
    </comment>
    <comment ref="O325" authorId="0">
      <text>
        <r>
          <rPr>
            <sz val="8"/>
            <color indexed="81"/>
            <rFont val="Tahoma"/>
            <family val="2"/>
          </rPr>
          <t>Incl. FNOP-gebied</t>
        </r>
      </text>
    </comment>
    <comment ref="Q329" authorId="0">
      <text>
        <r>
          <rPr>
            <sz val="8"/>
            <color indexed="81"/>
            <rFont val="Tahoma"/>
            <family val="2"/>
          </rPr>
          <t>In deze cel worden de nieuwe inkoopkosten transport van Stedin berekent, na de HS-overdracht. Deze komt tot stand door het toevoegen van een raming van de additionele inkoopkosten transport bij het oorspronkelijke bedrag.</t>
        </r>
      </text>
    </comment>
    <comment ref="O333" authorId="0">
      <text>
        <r>
          <rPr>
            <sz val="8"/>
            <color indexed="81"/>
            <rFont val="Tahoma"/>
            <family val="2"/>
          </rPr>
          <t>Voor PV-berekening wordt Liander incl. Pampus gebruikt .</t>
        </r>
      </text>
    </comment>
    <comment ref="Q333" authorId="0">
      <text>
        <r>
          <rPr>
            <sz val="8"/>
            <color indexed="81"/>
            <rFont val="Tahoma"/>
            <family val="2"/>
          </rPr>
          <t xml:space="preserve">Wijkt voor stedin af van OPEX voor maatstaf (want voor maatstaf excl. HS, hier incl. HS)
</t>
        </r>
      </text>
    </comment>
    <comment ref="O336" authorId="0">
      <text>
        <r>
          <rPr>
            <sz val="8"/>
            <color indexed="81"/>
            <rFont val="Tahoma"/>
            <family val="2"/>
          </rPr>
          <t xml:space="preserve">Voor PV-berekening wordt Liander incl. Pampus gebruikt. </t>
        </r>
      </text>
    </comment>
    <comment ref="Q336" authorId="0">
      <text>
        <r>
          <rPr>
            <sz val="8"/>
            <color indexed="81"/>
            <rFont val="Tahoma"/>
            <family val="2"/>
          </rPr>
          <t>Excl. HS</t>
        </r>
      </text>
    </comment>
    <comment ref="N441" authorId="0">
      <text>
        <r>
          <rPr>
            <sz val="8"/>
            <color indexed="81"/>
            <rFont val="Tahoma"/>
            <family val="2"/>
          </rPr>
          <t xml:space="preserve">Na verschuiving FNOP en integratie Endinet
</t>
        </r>
      </text>
    </comment>
    <comment ref="O441" authorId="0">
      <text>
        <r>
          <rPr>
            <sz val="8"/>
            <color indexed="81"/>
            <rFont val="Tahoma"/>
            <family val="2"/>
          </rPr>
          <t>Incl. FNOP-gebied</t>
        </r>
      </text>
    </comment>
    <comment ref="Q441" authorId="0">
      <text>
        <r>
          <rPr>
            <sz val="8"/>
            <color indexed="81"/>
            <rFont val="Tahoma"/>
            <family val="2"/>
          </rPr>
          <t>Excl. HS</t>
        </r>
      </text>
    </comment>
    <comment ref="O449" authorId="0">
      <text>
        <r>
          <rPr>
            <sz val="8"/>
            <color indexed="81"/>
            <rFont val="Tahoma"/>
            <family val="2"/>
          </rPr>
          <t xml:space="preserve">Voor PV-berekening wordt Liander incl. Pampus gebruikt </t>
        </r>
      </text>
    </comment>
  </commentList>
</comments>
</file>

<file path=xl/comments6.xml><?xml version="1.0" encoding="utf-8"?>
<comments xmlns="http://schemas.openxmlformats.org/spreadsheetml/2006/main">
  <authors>
    <author>Auteur</author>
  </authors>
  <commentList>
    <comment ref="N7" authorId="0">
      <text>
        <r>
          <rPr>
            <sz val="8"/>
            <color indexed="81"/>
            <rFont val="Tahoma"/>
            <family val="2"/>
          </rPr>
          <t xml:space="preserve">Op dit blad wordt Enexis wisselend incl. en excl. FNOP en Endinet getoond. Waar relevant wordt dat steeds vermeld 
</t>
        </r>
      </text>
    </comment>
    <comment ref="O7" authorId="0">
      <text>
        <r>
          <rPr>
            <sz val="8"/>
            <color indexed="81"/>
            <rFont val="Tahoma"/>
            <family val="2"/>
          </rPr>
          <t xml:space="preserve">Op dit blad wordt Liander wisselend incl. en excl. FNOP getoond. Waar relevant wordt dat steeds vermeld. Dit betreft  Liander excl. Pampus.
</t>
        </r>
      </text>
    </comment>
    <comment ref="J16" authorId="0">
      <text>
        <r>
          <rPr>
            <sz val="8"/>
            <color indexed="81"/>
            <rFont val="Tahoma"/>
            <family val="2"/>
          </rPr>
          <t>Parameter gewijzigd n.a.v. ECLI:NL:CBB:2018:348;
vastgesteld in WACC bijlage gewijzigd methodebesluit 2017-2021 (d.d. 24 januari 2019)</t>
        </r>
      </text>
    </comment>
    <comment ref="J17" authorId="0">
      <text>
        <r>
          <rPr>
            <sz val="8"/>
            <color indexed="81"/>
            <rFont val="Tahoma"/>
            <family val="2"/>
          </rPr>
          <t>Parameter vastgesteld o.b.v. ECLI:NL:CBB:2019:634</t>
        </r>
      </text>
    </comment>
    <comment ref="O59" authorId="0">
      <text>
        <r>
          <rPr>
            <sz val="8"/>
            <color indexed="81"/>
            <rFont val="Tahoma"/>
            <family val="2"/>
          </rPr>
          <t xml:space="preserve">Verrekening: excl. Pampus
</t>
        </r>
      </text>
    </comment>
    <comment ref="Q59" authorId="0">
      <text>
        <r>
          <rPr>
            <sz val="8"/>
            <color indexed="81"/>
            <rFont val="Tahoma"/>
            <family val="2"/>
          </rPr>
          <t xml:space="preserve">Verrekening: excl. HS
</t>
        </r>
      </text>
    </comment>
    <comment ref="U59" authorId="0">
      <text>
        <r>
          <rPr>
            <sz val="8"/>
            <color indexed="81"/>
            <rFont val="Tahoma"/>
            <family val="2"/>
          </rPr>
          <t xml:space="preserve">Incl HS
</t>
        </r>
      </text>
    </comment>
    <comment ref="V59" authorId="0">
      <text>
        <r>
          <rPr>
            <sz val="8"/>
            <color indexed="81"/>
            <rFont val="Tahoma"/>
            <family val="2"/>
          </rPr>
          <t xml:space="preserve">Incl HS
</t>
        </r>
      </text>
    </comment>
    <comment ref="O62" authorId="0">
      <text>
        <r>
          <rPr>
            <sz val="8"/>
            <color indexed="81"/>
            <rFont val="Tahoma"/>
            <family val="2"/>
          </rPr>
          <t xml:space="preserve">Verrekening: excl. Pampus
</t>
        </r>
      </text>
    </comment>
    <comment ref="Q62" authorId="0">
      <text>
        <r>
          <rPr>
            <sz val="8"/>
            <color indexed="81"/>
            <rFont val="Tahoma"/>
            <family val="2"/>
          </rPr>
          <t xml:space="preserve">Verrekening: excl. HS
</t>
        </r>
      </text>
    </comment>
    <comment ref="O74" authorId="0">
      <text>
        <r>
          <rPr>
            <sz val="8"/>
            <color indexed="81"/>
            <rFont val="Tahoma"/>
            <family val="2"/>
          </rPr>
          <t xml:space="preserve">Voor de PV berekening wordt Liander incl. Pampus gebruikt 
</t>
        </r>
      </text>
    </comment>
    <comment ref="Q74" authorId="0">
      <text>
        <r>
          <rPr>
            <sz val="8"/>
            <color indexed="81"/>
            <rFont val="Tahoma"/>
            <family val="2"/>
          </rPr>
          <t xml:space="preserve">Incl HS.
</t>
        </r>
      </text>
    </comment>
    <comment ref="N126" authorId="0">
      <text>
        <r>
          <rPr>
            <sz val="8"/>
            <color indexed="81"/>
            <rFont val="Tahoma"/>
            <family val="2"/>
          </rPr>
          <t>Dit betreffen de opbrengsten PAV Maatwerk voor Enexis excl. FNOP.</t>
        </r>
      </text>
    </comment>
    <comment ref="O126" authorId="0">
      <text>
        <r>
          <rPr>
            <sz val="8"/>
            <color indexed="81"/>
            <rFont val="Tahoma"/>
            <family val="2"/>
          </rPr>
          <t xml:space="preserve">Verrekening: excl. Pampus
</t>
        </r>
      </text>
    </comment>
    <comment ref="Q126" authorId="0">
      <text>
        <r>
          <rPr>
            <sz val="8"/>
            <color indexed="81"/>
            <rFont val="Tahoma"/>
            <family val="2"/>
          </rPr>
          <t xml:space="preserve">Verrekening: excl. HS
</t>
        </r>
      </text>
    </comment>
    <comment ref="N143" authorId="0">
      <text>
        <r>
          <rPr>
            <sz val="8"/>
            <color indexed="81"/>
            <rFont val="Tahoma"/>
            <family val="2"/>
          </rPr>
          <t>Excl. FNOP en incl. Endinet. Let op; FNOP is al verwijderd in de gegevens die uit de GAW-sheet komen</t>
        </r>
      </text>
    </comment>
    <comment ref="O143" authorId="0">
      <text>
        <r>
          <rPr>
            <sz val="8"/>
            <color indexed="81"/>
            <rFont val="Tahoma"/>
            <family val="2"/>
          </rPr>
          <t>Incl FNOP</t>
        </r>
      </text>
    </comment>
    <comment ref="O152" authorId="0">
      <text>
        <r>
          <rPr>
            <sz val="8"/>
            <color indexed="81"/>
            <rFont val="Tahoma"/>
            <family val="2"/>
          </rPr>
          <t xml:space="preserve">Voor de PV berekening wordt Liander incl Pampus gebruikt 
</t>
        </r>
      </text>
    </comment>
    <comment ref="Q152" authorId="0">
      <text>
        <r>
          <rPr>
            <sz val="8"/>
            <color indexed="81"/>
            <rFont val="Tahoma"/>
            <family val="2"/>
          </rPr>
          <t xml:space="preserve">Incl. HS
</t>
        </r>
      </text>
    </comment>
    <comment ref="O156" authorId="0">
      <text>
        <r>
          <rPr>
            <sz val="8"/>
            <color indexed="81"/>
            <rFont val="Tahoma"/>
            <family val="2"/>
          </rPr>
          <t xml:space="preserve">Voor de PV berekening wordt Liander incl Pampus gebruikt 
</t>
        </r>
      </text>
    </comment>
    <comment ref="Q156" authorId="0">
      <text>
        <r>
          <rPr>
            <sz val="8"/>
            <color indexed="81"/>
            <rFont val="Tahoma"/>
            <family val="2"/>
          </rPr>
          <t xml:space="preserve">Incl. HS
</t>
        </r>
      </text>
    </comment>
    <comment ref="N209" authorId="0">
      <text>
        <r>
          <rPr>
            <sz val="8"/>
            <color indexed="81"/>
            <rFont val="Tahoma"/>
            <family val="2"/>
          </rPr>
          <t>Dit betreffen de opbrengsten PAV Maatwerk voor Enexis excl. FNOP.</t>
        </r>
      </text>
    </comment>
    <comment ref="O209" authorId="0">
      <text>
        <r>
          <rPr>
            <sz val="8"/>
            <color indexed="81"/>
            <rFont val="Tahoma"/>
            <family val="2"/>
          </rPr>
          <t xml:space="preserve">Verrekening: excl. Pampus
</t>
        </r>
      </text>
    </comment>
    <comment ref="Q209" authorId="0">
      <text>
        <r>
          <rPr>
            <sz val="8"/>
            <color indexed="81"/>
            <rFont val="Tahoma"/>
            <family val="2"/>
          </rPr>
          <t xml:space="preserve">Verrekening: excl. HS
</t>
        </r>
      </text>
    </comment>
    <comment ref="N226" authorId="0">
      <text>
        <r>
          <rPr>
            <sz val="8"/>
            <color indexed="81"/>
            <rFont val="Tahoma"/>
            <family val="2"/>
          </rPr>
          <t>Excl. FNOP en incl. Endinet. Let op; FNOP is al verwijderd in de gegevens die uit de GAW-sheet komen</t>
        </r>
      </text>
    </comment>
    <comment ref="O226" authorId="0">
      <text>
        <r>
          <rPr>
            <sz val="8"/>
            <color indexed="81"/>
            <rFont val="Tahoma"/>
            <family val="2"/>
          </rPr>
          <t>Incl FNOP</t>
        </r>
      </text>
    </comment>
    <comment ref="O235" authorId="0">
      <text>
        <r>
          <rPr>
            <sz val="8"/>
            <color indexed="81"/>
            <rFont val="Tahoma"/>
            <family val="2"/>
          </rPr>
          <t xml:space="preserve">Voor de PV berekening wordt Liander incl. Pampus gebruikt 
</t>
        </r>
      </text>
    </comment>
    <comment ref="Q235" authorId="0">
      <text>
        <r>
          <rPr>
            <sz val="8"/>
            <color indexed="81"/>
            <rFont val="Tahoma"/>
            <family val="2"/>
          </rPr>
          <t>Incl. HS</t>
        </r>
      </text>
    </comment>
    <comment ref="O239" authorId="0">
      <text>
        <r>
          <rPr>
            <sz val="8"/>
            <color indexed="81"/>
            <rFont val="Tahoma"/>
            <family val="2"/>
          </rPr>
          <t xml:space="preserve">Voor de PV berekening wordt Liander incl. Pampus gebruikt 
</t>
        </r>
      </text>
    </comment>
    <comment ref="Q239" authorId="0">
      <text>
        <r>
          <rPr>
            <sz val="10"/>
            <color indexed="81"/>
            <rFont val="Tahoma"/>
            <family val="2"/>
          </rPr>
          <t>Voor PV 2014 naar 2015 Kosten Stedin excl. HS</t>
        </r>
      </text>
    </comment>
    <comment ref="N291" authorId="0">
      <text>
        <r>
          <rPr>
            <sz val="8"/>
            <color indexed="81"/>
            <rFont val="Tahoma"/>
            <family val="2"/>
          </rPr>
          <t>Dit betreffen de opbrengsten PAV Maatwerk voor Enexis excl. FNOP.</t>
        </r>
      </text>
    </comment>
    <comment ref="O291" authorId="0">
      <text>
        <r>
          <rPr>
            <sz val="8"/>
            <color indexed="81"/>
            <rFont val="Tahoma"/>
            <family val="2"/>
          </rPr>
          <t xml:space="preserve">Verrekening: excl. Pampus
</t>
        </r>
      </text>
    </comment>
    <comment ref="Q291" authorId="0">
      <text>
        <r>
          <rPr>
            <sz val="8"/>
            <color indexed="81"/>
            <rFont val="Tahoma"/>
            <family val="2"/>
          </rPr>
          <t xml:space="preserve">Verrekening: excl. HS
</t>
        </r>
      </text>
    </comment>
    <comment ref="N307" authorId="0">
      <text>
        <r>
          <rPr>
            <sz val="8"/>
            <color indexed="81"/>
            <rFont val="Tahoma"/>
            <family val="2"/>
          </rPr>
          <t>Excl. FNOP en incl. Endinet. Let op; FNOP is al verwijderd in de gegevens die uit de GAW-sheet komen</t>
        </r>
      </text>
    </comment>
    <comment ref="O307" authorId="0">
      <text>
        <r>
          <rPr>
            <sz val="8"/>
            <color indexed="81"/>
            <rFont val="Tahoma"/>
            <family val="2"/>
          </rPr>
          <t>Incl FNOP</t>
        </r>
      </text>
    </comment>
    <comment ref="O316" authorId="0">
      <text>
        <r>
          <rPr>
            <sz val="8"/>
            <color indexed="81"/>
            <rFont val="Tahoma"/>
            <family val="2"/>
          </rPr>
          <t xml:space="preserve">Voor de PV berekening wordt Liander incl. Pampus gebruikt 
</t>
        </r>
      </text>
    </comment>
    <comment ref="Q316" authorId="0">
      <text>
        <r>
          <rPr>
            <sz val="8"/>
            <color indexed="81"/>
            <rFont val="Tahoma"/>
            <family val="2"/>
          </rPr>
          <t>Excl. HS</t>
        </r>
      </text>
    </comment>
  </commentList>
</comments>
</file>

<file path=xl/comments7.xml><?xml version="1.0" encoding="utf-8"?>
<comments xmlns="http://schemas.openxmlformats.org/spreadsheetml/2006/main">
  <authors>
    <author>Auteur</author>
  </authors>
  <commentList>
    <comment ref="O11" authorId="0">
      <text>
        <r>
          <rPr>
            <sz val="8"/>
            <color indexed="81"/>
            <rFont val="Tahoma"/>
            <family val="2"/>
          </rPr>
          <t>Voor PV Liander incl. HS</t>
        </r>
      </text>
    </comment>
    <comment ref="T12" authorId="0">
      <text>
        <r>
          <rPr>
            <sz val="8"/>
            <color indexed="81"/>
            <rFont val="Tahoma"/>
            <family val="2"/>
          </rPr>
          <t xml:space="preserve">Dit i.v.m. GAW sheet die ook aangepast is voor 2012. Op de sector maakt het qua totale  kosten niets uit dat er een verschuiving heeft plaatsgevonden. Dit komt door het niet meenemen van inkoopkosten transport. </t>
        </r>
      </text>
    </comment>
    <comment ref="O20" authorId="0">
      <text>
        <r>
          <rPr>
            <sz val="8"/>
            <color indexed="81"/>
            <rFont val="Tahoma"/>
            <family val="2"/>
          </rPr>
          <t xml:space="preserve">Voor maatstaf, Liander Excl HS
</t>
        </r>
      </text>
    </comment>
    <comment ref="Q20" authorId="0">
      <text>
        <r>
          <rPr>
            <sz val="8"/>
            <color indexed="81"/>
            <rFont val="Tahoma"/>
            <family val="2"/>
          </rPr>
          <t>Voor maatstaf kosten Stedin EXCL. HS</t>
        </r>
      </text>
    </comment>
    <comment ref="O30" authorId="0">
      <text>
        <r>
          <rPr>
            <sz val="8"/>
            <color indexed="81"/>
            <rFont val="Tahoma"/>
            <family val="2"/>
          </rPr>
          <t>Voor PV Liander incl. HS</t>
        </r>
      </text>
    </comment>
    <comment ref="Q30" authorId="0">
      <text>
        <r>
          <rPr>
            <sz val="8"/>
            <color indexed="81"/>
            <rFont val="Tahoma"/>
            <family val="2"/>
          </rPr>
          <t>Voor PV 2012 naar 2013 EN 2013 naar 2014 kosten Stedin INCL. HS</t>
        </r>
      </text>
    </comment>
    <comment ref="O40" authorId="0">
      <text>
        <r>
          <rPr>
            <sz val="8"/>
            <color indexed="81"/>
            <rFont val="Tahoma"/>
            <family val="2"/>
          </rPr>
          <t xml:space="preserve">Voor maatstaf, Liander Excl HS
</t>
        </r>
      </text>
    </comment>
    <comment ref="Q40" authorId="0">
      <text>
        <r>
          <rPr>
            <sz val="8"/>
            <color indexed="81"/>
            <rFont val="Tahoma"/>
            <family val="2"/>
          </rPr>
          <t>Voor maatstaf kosten Stedin excl. HS</t>
        </r>
      </text>
    </comment>
    <comment ref="O50" authorId="0">
      <text>
        <r>
          <rPr>
            <sz val="8"/>
            <color indexed="81"/>
            <rFont val="Tahoma"/>
            <family val="2"/>
          </rPr>
          <t>Voor PV Liander incl. HS</t>
        </r>
      </text>
    </comment>
    <comment ref="Q50" authorId="0">
      <text>
        <r>
          <rPr>
            <sz val="8"/>
            <color indexed="81"/>
            <rFont val="Tahoma"/>
            <family val="2"/>
          </rPr>
          <t>Voor PV van 2013 naar 2014 Kosten Stedin incl. HS</t>
        </r>
      </text>
    </comment>
    <comment ref="O54" authorId="0">
      <text>
        <r>
          <rPr>
            <sz val="8"/>
            <color indexed="81"/>
            <rFont val="Tahoma"/>
            <family val="2"/>
          </rPr>
          <t>Voor PV Liander incl. HS</t>
        </r>
      </text>
    </comment>
    <comment ref="Q54" authorId="0">
      <text>
        <r>
          <rPr>
            <sz val="8"/>
            <color indexed="81"/>
            <rFont val="Tahoma"/>
            <family val="2"/>
          </rPr>
          <t>Voor PV 2014 naar 2015 Kosten Stedin excl. HS</t>
        </r>
      </text>
    </comment>
    <comment ref="O63" authorId="0">
      <text>
        <r>
          <rPr>
            <sz val="8"/>
            <color indexed="81"/>
            <rFont val="Tahoma"/>
            <family val="2"/>
          </rPr>
          <t xml:space="preserve">Voor maatstaf, Liander Excl HS
</t>
        </r>
      </text>
    </comment>
    <comment ref="O73" authorId="0">
      <text>
        <r>
          <rPr>
            <sz val="8"/>
            <color indexed="81"/>
            <rFont val="Tahoma"/>
            <family val="2"/>
          </rPr>
          <t>Voor PV Liander incl. HS</t>
        </r>
      </text>
    </comment>
  </commentList>
</comments>
</file>

<file path=xl/sharedStrings.xml><?xml version="1.0" encoding="utf-8"?>
<sst xmlns="http://schemas.openxmlformats.org/spreadsheetml/2006/main" count="2164" uniqueCount="358">
  <si>
    <t>Eenheid</t>
  </si>
  <si>
    <t>Totaal/algemeen</t>
  </si>
  <si>
    <t>Enexis</t>
  </si>
  <si>
    <t>Liander</t>
  </si>
  <si>
    <t>RENDO</t>
  </si>
  <si>
    <t>Stedin</t>
  </si>
  <si>
    <t>Westland</t>
  </si>
  <si>
    <t>OPEX 2012</t>
  </si>
  <si>
    <t>Inkoop</t>
  </si>
  <si>
    <t>Inkoop transport bij landelijk netbeheerder</t>
  </si>
  <si>
    <t>Inkoop transport bij regionale netbeheerder(s)</t>
  </si>
  <si>
    <t xml:space="preserve">Inkoop energie en vermogen </t>
  </si>
  <si>
    <t>Overige inkoopkosten voor de gereguleerde activiteiten (artikel 16)</t>
  </si>
  <si>
    <t>Reguliere operationele kosten</t>
  </si>
  <si>
    <t>Personeelskosten, uitbesteed werk en andere externe kosten</t>
  </si>
  <si>
    <t>Overige kosten</t>
  </si>
  <si>
    <t>Lokale Heffingen</t>
  </si>
  <si>
    <t>Precario</t>
  </si>
  <si>
    <t>Gedoogbelastingen</t>
  </si>
  <si>
    <t>Voorzieningen</t>
  </si>
  <si>
    <t>Afschrijving debiteuren wegens fraude/leegstand </t>
  </si>
  <si>
    <t>Afschrijving debiteuren kleinverbruik overig</t>
  </si>
  <si>
    <t>Afschrijving debiteuren grootverbruik</t>
  </si>
  <si>
    <t>Totaal aan onttrekkingen uit voorzieningen</t>
  </si>
  <si>
    <t>Totaal operationele kosten uit gereguleerde activiteiten</t>
  </si>
  <si>
    <t>EUR, pp 2012</t>
  </si>
  <si>
    <t>Endinet</t>
  </si>
  <si>
    <t>OPEX 2013</t>
  </si>
  <si>
    <t>EUR, pp 2013</t>
  </si>
  <si>
    <t>OPEX 2014</t>
  </si>
  <si>
    <t>EUR, pp 2014</t>
  </si>
  <si>
    <t>OPEX 2015</t>
  </si>
  <si>
    <t>EUR, pp 2015</t>
  </si>
  <si>
    <t>Toezichtkosten ACM</t>
  </si>
  <si>
    <t>Input operationele kosten</t>
  </si>
  <si>
    <t>Berekening netto-OPEX</t>
  </si>
  <si>
    <t>Bewerking OPEX 2012</t>
  </si>
  <si>
    <t>OPHALEN RUWE OPEX</t>
  </si>
  <si>
    <t>AANPASSINGEN O.B.V. BEOORDELING ACM</t>
  </si>
  <si>
    <t>OVERIGE OPBRENGSTEN</t>
  </si>
  <si>
    <t>Opgegeven niet-tariefinkomsten uit tariefgereguleerde activiteiten</t>
  </si>
  <si>
    <t>Fraude en leegstand: In rekening gebrachte elektriciteit</t>
  </si>
  <si>
    <t>Fraude en leegstand: In rekening gebrachte transport- en aansluitvergoeding</t>
  </si>
  <si>
    <t>Fraude en leegstand: In rekening gebrachte overige kosten</t>
  </si>
  <si>
    <t>Opgegeven te salderen kosten niet-tariefgereguleerde activiteiten</t>
  </si>
  <si>
    <t>AD: Afsluiten en heraansluiten</t>
  </si>
  <si>
    <t>Totaal</t>
  </si>
  <si>
    <t>Opgegeven opbrengsten niet-tariefgereguleerde activiteiten</t>
  </si>
  <si>
    <t>TD + AD: In rekening gebrachte schades en storingen</t>
  </si>
  <si>
    <t>TD + AD: In rekening gebrachte incasso, administratie- en aanmaningskosten</t>
  </si>
  <si>
    <t>Diverse en overig 1 (zie toelichting in opmerking)</t>
  </si>
  <si>
    <t>Diverse en overig 2 (zie toelichting in opmerking)</t>
  </si>
  <si>
    <t>Diverse en overig 3 (zie toelichting in opmerking)</t>
  </si>
  <si>
    <t>Diverse en overig 4 (zie toelichting in opmerking)</t>
  </si>
  <si>
    <t>Diverse en overig 5 (zie toelichting in opmerking)</t>
  </si>
  <si>
    <t>NETTO-OPEX</t>
  </si>
  <si>
    <t>Bewerking OPEX 2013</t>
  </si>
  <si>
    <t>Bewerking OPEX 2014</t>
  </si>
  <si>
    <t>Bewerking OPEX 2015</t>
  </si>
  <si>
    <t>Enduris</t>
  </si>
  <si>
    <t>Input Overige opbrengsten</t>
  </si>
  <si>
    <t>Overige opbrengsten 2012</t>
  </si>
  <si>
    <t>TD: Uitgevoerde werkzaamheden transportdienst (bijv. verwijderingen)</t>
  </si>
  <si>
    <t>AD: Verplaatsen, wijzigen of verwijderen van aansluitingen</t>
  </si>
  <si>
    <t>AD: PAV Maatwerkaansluitingen</t>
  </si>
  <si>
    <t>AD: Tijdelijke aansluitingen</t>
  </si>
  <si>
    <t>TD + AD: Opbrengst uit verhuur en verkoop materialen e.d.</t>
  </si>
  <si>
    <t>Opgegeven opbrengsten uit desinvesteringen</t>
  </si>
  <si>
    <t>Opbrengsten uit desinvesteringen</t>
  </si>
  <si>
    <t>in EUR, pp 2012</t>
  </si>
  <si>
    <t>Overige opbrengsten 2013</t>
  </si>
  <si>
    <t>in EUR, pp 2013</t>
  </si>
  <si>
    <t>in EUR, pp 2014</t>
  </si>
  <si>
    <t>in EUR, pp 2015</t>
  </si>
  <si>
    <t>Overige opbrengsten 2014</t>
  </si>
  <si>
    <t>Overige opbrengsten 2015</t>
  </si>
  <si>
    <t>Toezichtskosten</t>
  </si>
  <si>
    <t>Toezichtkosten</t>
  </si>
  <si>
    <t>Totale kosten 2012</t>
  </si>
  <si>
    <t>Totale kosten 2013</t>
  </si>
  <si>
    <t>Totale kosten 2014</t>
  </si>
  <si>
    <t>Totale kosten 2015</t>
  </si>
  <si>
    <t>Input GAW</t>
  </si>
  <si>
    <t xml:space="preserve">GAW 2012 </t>
  </si>
  <si>
    <t>GAW 2013</t>
  </si>
  <si>
    <t>GAW 2014</t>
  </si>
  <si>
    <t>GAW 2015</t>
  </si>
  <si>
    <t>Afschrijvingen</t>
  </si>
  <si>
    <t>Berekening kapitaalkosten</t>
  </si>
  <si>
    <t xml:space="preserve">Kapitaalkosten 2012 </t>
  </si>
  <si>
    <t>WACC</t>
  </si>
  <si>
    <t>OPHALEN RUWE GEGEVENS (zoals berekend in GAW-sheet)</t>
  </si>
  <si>
    <t>Start-GAW (excl. bijzonderheden)</t>
  </si>
  <si>
    <t>Investeringsbedrag boekjaar Start-GAW</t>
  </si>
  <si>
    <t>Afschrijvingen Start-GAW</t>
  </si>
  <si>
    <t>Boekwaarde Start-GAW</t>
  </si>
  <si>
    <t>Nieuwe Investeringen (excl. Bijzonderheden)</t>
  </si>
  <si>
    <t>Investeringsbedrag boekjaar</t>
  </si>
  <si>
    <t>Boekwaarde</t>
  </si>
  <si>
    <t>Bijzonderheid: precario</t>
  </si>
  <si>
    <t>Investeringsbedrag boekjaar precario</t>
  </si>
  <si>
    <t>Afschrijvingen precario</t>
  </si>
  <si>
    <t>Boekwaarde precario</t>
  </si>
  <si>
    <t>Bijzonderheid: UI's</t>
  </si>
  <si>
    <t>Investeringsbedrag UI's</t>
  </si>
  <si>
    <t>Afschrijvingen UI's</t>
  </si>
  <si>
    <t>Boekwaarde UI's</t>
  </si>
  <si>
    <t>Bijzonderheid: overgenomen netten</t>
  </si>
  <si>
    <t>Investeringsbedrag overgenomen netten</t>
  </si>
  <si>
    <t>Afschrijvingen overgenomen netten</t>
  </si>
  <si>
    <t>Boekwaarde overgenomen netten</t>
  </si>
  <si>
    <t>BEREKENING RUWE KAPITAALKOSTEN</t>
  </si>
  <si>
    <t>Kapitaalkosten voor Maatstaf</t>
  </si>
  <si>
    <t>GAW</t>
  </si>
  <si>
    <t>Kapitaalkosten ORV Lokale Heffingen</t>
  </si>
  <si>
    <t>SALDERING OPBRENGSTEN EN OVERIGE AANPASSINGEN</t>
  </si>
  <si>
    <t>Overige met kapitaalkosten te salderen overige opbrengsten</t>
  </si>
  <si>
    <t>Te salderen opbrengsten uit desinvesteringen</t>
  </si>
  <si>
    <t>Overige aanpassingen op de Kapitaalkosten (n.a.v. beoordeling ACM)</t>
  </si>
  <si>
    <t>Totaal te salderen met kapitaalkosten (voor maatstaf)</t>
  </si>
  <si>
    <t>NETTO-KAPITAALKOSTEN T.B.V. REGULERING</t>
  </si>
  <si>
    <t xml:space="preserve">Kapitaalkosten 2013 </t>
  </si>
  <si>
    <t>Kapitaalkosten 2014</t>
  </si>
  <si>
    <t>Kapitaalkosten 2015</t>
  </si>
  <si>
    <t xml:space="preserve"> </t>
  </si>
  <si>
    <t>Totalen</t>
  </si>
  <si>
    <t>Investeringsbedrag</t>
  </si>
  <si>
    <t>Boekwaarde (ultimo jaar)</t>
  </si>
  <si>
    <t>Totale kosten</t>
  </si>
  <si>
    <t>Reguliere operationele kosten 2012</t>
  </si>
  <si>
    <t>Excl. IT en ORV</t>
  </si>
  <si>
    <t>Netto; WACC BI2016</t>
  </si>
  <si>
    <t>Netto; WACC EI2021</t>
  </si>
  <si>
    <t>Totale reguliere kapitaalkosten 2012</t>
  </si>
  <si>
    <t>Netto; WACC NE5R</t>
  </si>
  <si>
    <t>Netto; WACC NE5R/NE6R</t>
  </si>
  <si>
    <t>GAW Import</t>
  </si>
  <si>
    <t>%</t>
  </si>
  <si>
    <t>WACC BI2016</t>
  </si>
  <si>
    <t>WACC EI2021</t>
  </si>
  <si>
    <t>Overige opbrengsten uit PAV Maatwerk</t>
  </si>
  <si>
    <t>Totale inkoopkosten transport 2013</t>
  </si>
  <si>
    <t>Totale lokale heffingen 2013</t>
  </si>
  <si>
    <t>Totale reguliere kapitaalkosten 2013</t>
  </si>
  <si>
    <t>Reguliere operationele kosten 2014</t>
  </si>
  <si>
    <t>Totale inkoopkosten transport 2014</t>
  </si>
  <si>
    <t>Totale lokale heffingen 2014</t>
  </si>
  <si>
    <t>Totale reguliere kapitaalkosten 2014</t>
  </si>
  <si>
    <t>Reguliere operationele kosten 2015</t>
  </si>
  <si>
    <t>Totale inkoopkosten transport 2015</t>
  </si>
  <si>
    <t>Totale lokale heffingen 2015</t>
  </si>
  <si>
    <t>Totale reguliere kapitaalkosten 2015</t>
  </si>
  <si>
    <t>Totaal reguliere kapitaalkosten 2013</t>
  </si>
  <si>
    <t>Op basis van</t>
  </si>
  <si>
    <t>Bron</t>
  </si>
  <si>
    <t>Toelichting</t>
  </si>
  <si>
    <t>Schematische weergave van de werking van dit model</t>
  </si>
  <si>
    <t>Legenda celkleuren</t>
  </si>
  <si>
    <t>Datawaarde / parameter</t>
  </si>
  <si>
    <t>Celwaarde die gevuld wordt door het runnen van een macro (data, maar niet vrij in te vullen).</t>
  </si>
  <si>
    <t>Waarde die wordt opgehaald van een andere locatie (zonder berekening)</t>
  </si>
  <si>
    <t>Berekende waarde</t>
  </si>
  <si>
    <t>Celwaarde (uitkomst van een berekening) die een eindresultaat vormt</t>
  </si>
  <si>
    <t>Celwaarde (data of formule) die speciale aandacht vraagt</t>
  </si>
  <si>
    <t>Celwaarde (data of formule) niet juist of nog onduidelijk</t>
  </si>
  <si>
    <t>Cel(waarde) niet van toepassing</t>
  </si>
  <si>
    <t>2A.B.9</t>
  </si>
  <si>
    <t>Celwaarde / benaming die door MACRO als zoekterm gebruikt wordt (dus niet wijzigen!)</t>
  </si>
  <si>
    <t>FIN</t>
  </si>
  <si>
    <t>Kapitaalkosten BI2016</t>
  </si>
  <si>
    <t>Bruto, WACC BI2016</t>
  </si>
  <si>
    <t>Bruto, WACC EI2021</t>
  </si>
  <si>
    <t>Kapitaalkosten EI2021</t>
  </si>
  <si>
    <t>Bruto, WACC NE5R</t>
  </si>
  <si>
    <t>Bruto, WACC NE5R/NE6R</t>
  </si>
  <si>
    <t>Netto, WACC BI2016</t>
  </si>
  <si>
    <t>FNOP</t>
  </si>
  <si>
    <t xml:space="preserve">Op basis van </t>
  </si>
  <si>
    <t>Besparingen Marktmodel</t>
  </si>
  <si>
    <t>Bron: Tabel 2.2 (pag. 55) van rapport Ecorys</t>
  </si>
  <si>
    <t>Besparingen invoering nieuwe marktmodel elektriciteit</t>
  </si>
  <si>
    <t>pre 2009</t>
  </si>
  <si>
    <t>EUR, pp 2009</t>
  </si>
  <si>
    <t>EUR, pp 2010</t>
  </si>
  <si>
    <t>EUR, pp 2011</t>
  </si>
  <si>
    <t>Netto structurele besparing</t>
  </si>
  <si>
    <t>Eenmalige (incidentele) extra kosten</t>
  </si>
  <si>
    <t>Besparingssaldo</t>
  </si>
  <si>
    <t>Dit blad geeft een overzicht van de data met betrekking tot de kostenbesparingen van netbeheerders als gevolg van de invoering van het nieuwe marktmodel / leveranciersmodel.</t>
  </si>
  <si>
    <t>De data zijn per jaar de structurele kostenbesparingen voor de sector als geheel.</t>
  </si>
  <si>
    <t>Voor de jaren 2009 t/m 2012 zijn het de gerealiseerde besparingen. Voor de jaren 2013 t/m 2016 zijn het de verwachte besparingen.</t>
  </si>
  <si>
    <t>Besparingen t.o.v. 2016</t>
  </si>
  <si>
    <t xml:space="preserve">Correctie Marktmodel </t>
  </si>
  <si>
    <t>NB: aandachtspunt bij overnemen, in 2012 waren hier twee regels voor (overlap met hieronder)</t>
  </si>
  <si>
    <t>Bedrag in rekening gebrachte kosten n.a.v. fraude en leegstand</t>
  </si>
  <si>
    <t>FNOP-gebied</t>
  </si>
  <si>
    <t xml:space="preserve">Reguliere operationele kosten 2013 </t>
  </si>
  <si>
    <t xml:space="preserve">Reguliere operationele kosten 2014 </t>
  </si>
  <si>
    <t>In rekening gebrachte transport- en aansluitvergoeding fraude en leegstand</t>
  </si>
  <si>
    <t>HS-gebied Stedin</t>
  </si>
  <si>
    <t>Maatstaf</t>
  </si>
  <si>
    <t xml:space="preserve">Productiviteitsverandering </t>
  </si>
  <si>
    <t>Besparingen marktmodel</t>
  </si>
  <si>
    <t>cpi 2013</t>
  </si>
  <si>
    <t>cpi 2014</t>
  </si>
  <si>
    <t>cpi 2015</t>
  </si>
  <si>
    <t>Bron x-factormodel 2014-2016</t>
  </si>
  <si>
    <t>Productiviteitsverandering 2013 naar 2014</t>
  </si>
  <si>
    <t>Productiviteitsverandering 2014 naar 2015</t>
  </si>
  <si>
    <t>Kapitaalkosten voor PV 2012 naar 2013</t>
  </si>
  <si>
    <t>Kapitaalkosten voor PV 2013 naar 2014</t>
  </si>
  <si>
    <t>Met OPEX te salderen kosten niet-tariefgereguleerde activiteiten</t>
  </si>
  <si>
    <t>Opbrengsten niet-tariefgereguleerde activiteiten</t>
  </si>
  <si>
    <t>Niet-tariefinkomsten uit tariefgereguleerde activiteiten</t>
  </si>
  <si>
    <t>waarvan reeds met OPEX gesaldeerd (restant wordt gesaldeerd met KK)</t>
  </si>
  <si>
    <t>WACC NE5R/NE6R; voor PV van  2013 naar 2014</t>
  </si>
  <si>
    <t>WACC NE5R (2011-2013); voor PV van 2012 naar 2013</t>
  </si>
  <si>
    <t>WACC NE6R (2014-2016); voor PV van 2014 naar 2015</t>
  </si>
  <si>
    <t>Kapitaalkosten voor PV 2014 naar 2015</t>
  </si>
  <si>
    <t>Netto, WACC NE5R/NE6R</t>
  </si>
  <si>
    <t>Netto, WACC NE6R</t>
  </si>
  <si>
    <t>Netto, WACC NE5R</t>
  </si>
  <si>
    <t>Netto, WACC EI2021</t>
  </si>
  <si>
    <t>Bruto, WACC NE6R</t>
  </si>
  <si>
    <t>Kapitaalkosten LH, BI2016</t>
  </si>
  <si>
    <t>Kapitaalkosten LH, BI2021</t>
  </si>
  <si>
    <t>Ultimo</t>
  </si>
  <si>
    <t>Netto; WACC NE6R</t>
  </si>
  <si>
    <t>Enexis excl. FNOP</t>
  </si>
  <si>
    <t>Rendo</t>
  </si>
  <si>
    <t>Stedin excl. HS</t>
  </si>
  <si>
    <t>Stedin incl. HS</t>
  </si>
  <si>
    <t>Netto-kapitaalkosten voor berekening maatstaf</t>
  </si>
  <si>
    <t>Kapitaalkosten lokale heffingen 2013</t>
  </si>
  <si>
    <t>Netto-kapitaalkosten voor berekening productiviteitsverandering 2014-2015</t>
  </si>
  <si>
    <t>Kapitaalkosten lokale heffingen 2015</t>
  </si>
  <si>
    <t>Netto-kapitaalkosten voor berekening productiviteitsverandering 2013-2014</t>
  </si>
  <si>
    <t>Kapitaalkosten lokale heffingen 2014</t>
  </si>
  <si>
    <t>Netto-kapitaalkosten voor berekening productiviteitsverandering 2012-2013</t>
  </si>
  <si>
    <t>Berekening ORV Lokale Heffingen</t>
  </si>
  <si>
    <t>TOTAAL NETTO-OPEX T.B.V. REGULERING</t>
  </si>
  <si>
    <t>OPEX voor berekening maatstaf</t>
  </si>
  <si>
    <t>OPEX voor berekening productiviteitsverandering 2012-2013 en 2013-2014</t>
  </si>
  <si>
    <t>OPEX voor berekening productiviteitsverandering 2012-2013</t>
  </si>
  <si>
    <t>OPEX voor berekening productiviteitsverandering 2013-2014</t>
  </si>
  <si>
    <t>OPEX voor berekening productiviteitsverandering 2014-2015</t>
  </si>
  <si>
    <t xml:space="preserve">Operationele Kosten </t>
  </si>
  <si>
    <t xml:space="preserve">Kapitaalkosten </t>
  </si>
  <si>
    <t xml:space="preserve">Lokale heffingen </t>
  </si>
  <si>
    <t>WACC 2016</t>
  </si>
  <si>
    <t>WACC 2021</t>
  </si>
  <si>
    <t>Lokale heffingen 2013</t>
  </si>
  <si>
    <t xml:space="preserve">Lokale heffingen 2014 </t>
  </si>
  <si>
    <t xml:space="preserve">Lokale heffingen 2015 </t>
  </si>
  <si>
    <t>Totale lokale heffingen</t>
  </si>
  <si>
    <t>Opmerking</t>
  </si>
  <si>
    <t>Netbeheerders na ruilverkaveling en HS-overdracht</t>
  </si>
  <si>
    <t>Inschatting kosten dubieuze debiteuren kleinverbruik elektriciteit 2013</t>
  </si>
  <si>
    <t>Inschatting kosten dubieuze debiteuren kleinverbruik elektriciteit 2012</t>
  </si>
  <si>
    <t>Inschatting kosten dubieuze debiteuren kleinverbruik elektriciteit</t>
  </si>
  <si>
    <t>Excl. IT en LH</t>
  </si>
  <si>
    <t>Productiviteitsverandering 2012-2013 en 2013-2014</t>
  </si>
  <si>
    <t xml:space="preserve">Productiviteitsverandering  2012-2013 </t>
  </si>
  <si>
    <t>Op deze sheet worden de netto kapitaalkosten berekend. Dit betreft 4 stappen:</t>
  </si>
  <si>
    <t>FNOP informatieverzoek</t>
  </si>
  <si>
    <t>RD opgewekte data 2014</t>
  </si>
  <si>
    <t>RD opgewekte  2013</t>
  </si>
  <si>
    <t>Ingevoerde data x-factormodel 2014-2016</t>
  </si>
  <si>
    <t>Formule (11)</t>
  </si>
  <si>
    <t>Formule (10)</t>
  </si>
  <si>
    <t>Formule (7)</t>
  </si>
  <si>
    <t>Formule (5)</t>
  </si>
  <si>
    <t>Formule (24)</t>
  </si>
  <si>
    <t>Formule (26)</t>
  </si>
  <si>
    <t>Formule (28)</t>
  </si>
  <si>
    <t>Extra inkoopkosten transport van Stedin bij TenneT</t>
  </si>
  <si>
    <t>Extra PAV 2014 van Stedin aan TenneT</t>
  </si>
  <si>
    <t>Totaal aan extra inkooptkosten transport:</t>
  </si>
  <si>
    <t>Schatting van dit bedrag voor 2013:</t>
  </si>
  <si>
    <t>CPI van 2013 naar 2014</t>
  </si>
  <si>
    <t>Additionele inkoopkosten Transport voor Stedin (na overdracht HS netten)</t>
  </si>
  <si>
    <t xml:space="preserve">Dit tabblad betreft een berekening van de verandering van de inkoopkosten transport. Dit betreft 2 veranderingen. </t>
  </si>
  <si>
    <t>HS overdracht Stedin</t>
  </si>
  <si>
    <t>Ruilverkaveling Liander en Enexis</t>
  </si>
  <si>
    <t xml:space="preserve">Delta Inkoopkosten Transport voor Enexis en Liander </t>
  </si>
  <si>
    <t>Zie blad aanpassingen IT n.a.v. FNOP&amp;HS</t>
  </si>
  <si>
    <t>Restmutatie Liander</t>
  </si>
  <si>
    <t>RestmutatieEnexis</t>
  </si>
  <si>
    <t>Restsaldo landelijk 2013</t>
  </si>
  <si>
    <t>Restsaldo regionaal 2013</t>
  </si>
  <si>
    <t>Restsaldo landelijk 2014</t>
  </si>
  <si>
    <t>Restsaldo regionaal 2014</t>
  </si>
  <si>
    <t>Restsaldo landelijk 2015</t>
  </si>
  <si>
    <t>Restsaldo regionaal 2015</t>
  </si>
  <si>
    <t>Delta Inkoopkosten Transport voor Enexis en Liander</t>
  </si>
  <si>
    <t>Totaal restsaldo 2013</t>
  </si>
  <si>
    <t>Totaal restsaldo 2014</t>
  </si>
  <si>
    <t>Totaal restsaldo 2015</t>
  </si>
  <si>
    <t xml:space="preserve">Herstel x-factorbesluiten 2014-2016 Elektriciteit (NE6R) d.d. 11 september 2014, blad PRD OPEX </t>
  </si>
  <si>
    <t>RD opgewekte data 2013</t>
  </si>
  <si>
    <t>Dit bestand hoort bij de volgende besluiten: x-factorbesluiten RNB elektriciteit 2017-2021</t>
  </si>
  <si>
    <t>Herstel x-factorbesluiten 2014-2016 Elektriciteit (NE6R) d.d. 11 september 2014, blad PRD Overige opbrengsten</t>
  </si>
  <si>
    <t>Op basis van beantwoording van vragen n.a.v. Reguleringsdata 2013</t>
  </si>
  <si>
    <t>FNOP overdracht wel meegenomen in kapitaalkosten 2012</t>
  </si>
  <si>
    <t>Liander excl. FNOP</t>
  </si>
  <si>
    <t>Formule (8)</t>
  </si>
  <si>
    <t>Indeling veranderd voor opname in x-factormodel</t>
  </si>
  <si>
    <t>Gegevens WACC en CPI</t>
  </si>
  <si>
    <t xml:space="preserve">Op dit tabblad worden de benodigde WACC en CPI gegevens opgehaald. </t>
  </si>
  <si>
    <t>CPI</t>
  </si>
  <si>
    <t>CPI 2012</t>
  </si>
  <si>
    <t>CBS</t>
  </si>
  <si>
    <t>CPI 2013</t>
  </si>
  <si>
    <t>CPI 2014</t>
  </si>
  <si>
    <t>CPI 2015</t>
  </si>
  <si>
    <t>CPI 2016</t>
  </si>
  <si>
    <t>Van:</t>
  </si>
  <si>
    <t>Naar:</t>
  </si>
  <si>
    <t>HS-overdracht informatieverzoek Liander</t>
  </si>
  <si>
    <t>HS-overdracht informatieverzoek Stedin</t>
  </si>
  <si>
    <t>RD opgewerkte 2015</t>
  </si>
  <si>
    <t>Email 160729 Liander en Enexis</t>
  </si>
  <si>
    <t>Email 141119 Stedin</t>
  </si>
  <si>
    <t>Bron: RNB Elektriciteit 2017-2021 GAW-sheet (sep 2016)</t>
  </si>
  <si>
    <t xml:space="preserve">Kenmerk: ACM/DE/2016/205153 ACM/DE/2016/205154 ACM/DE/2016/205155 ACM/DE/2016/205156 ACM/DE/2016/205157 ACM/DE/2016/205158 ACM/DE/2016/205159
</t>
  </si>
  <si>
    <t xml:space="preserve">GAW: </t>
  </si>
  <si>
    <t>Gestandaardiseerde Activawaarde</t>
  </si>
  <si>
    <t>SO:</t>
  </si>
  <si>
    <t>Samengestelde Output</t>
  </si>
  <si>
    <r>
      <t xml:space="preserve">Controleregel: leeg is OK, waarschuwingen verschijnen in </t>
    </r>
    <r>
      <rPr>
        <b/>
        <sz val="11"/>
        <color rgb="FFFF0000"/>
        <rFont val="Arial"/>
        <family val="2"/>
      </rPr>
      <t>Rood</t>
    </r>
  </si>
  <si>
    <t>Liander - Pampus</t>
  </si>
  <si>
    <t>Liander Incl. Pampus</t>
  </si>
  <si>
    <t>Liander excl. P.</t>
  </si>
  <si>
    <t>Liander incl. Pampus</t>
  </si>
  <si>
    <t xml:space="preserve">1) Doordat HS van Stedin is overgedragen ontstaan er bij Stedin additionele inkoopkosten transport. Hiervoor heeft ACM ramingen gemaakt voor de tariefbesluiten van 2015 en 2016. Deze ramingen zal zij nu weer gebruiken.  </t>
  </si>
  <si>
    <t>Op dit blad staan alle gegevens over de operationele kosten die de netbeheerders per jaar  hebben opgegeven in de reguleringsdata . Aanpassingen aan de data staan in een roze kleur. Overige aanpassingen o.b.v. ACM staan in het tabblad 'Berekening netto-opex'.</t>
  </si>
  <si>
    <t xml:space="preserve">Het betreft de netbeheerders voor ruilverkaveling. In 2012, 2013 en 2014 is de HS overdracht van Stedin nog niet verwerkt. Om dit later te verwerken, halen we hier ook de losse gegevens van op. </t>
  </si>
  <si>
    <t>Op dit tabblad staan de gegevens die de netbeheerder hebben opgegeven in de reguleringsdata over de overige opbrengsten. Eventuele aanpassingen aan de data worden aangegeven in een roze kleur.</t>
  </si>
  <si>
    <t xml:space="preserve">In dit geval is Enexis excl FNOP, maar ook zonder Endinet. Liander is excl de effecten van ruilverkaveling. Voor Stedin betreft het Stedin excl HS. Om deze effecten op de juiste manier te verwerken bevat dit tabblad ook nog de betreffende gebieden. </t>
  </si>
  <si>
    <t>Op dit tabblad staat een overzicht met betrekking tot de GAW berekening (GAW, afschrijvingen, etc., incl. UI's en afgekochte precario).</t>
  </si>
  <si>
    <t>2) De ruilverkaveling heeft gevolgen voor de inkoopkosten transport van Liander en Enexis. De inkoopkosten transport gaan niet direct mee met de ruilverkaveling. Liander en Enexis hebben de mutaties berekend.</t>
  </si>
  <si>
    <t xml:space="preserve">ACM heeft deze berekening bekeken en overgenomen. Deze mututatie zal bij de inkoopkosten transport worden opgeteld. </t>
  </si>
  <si>
    <t xml:space="preserve">Dit tabblad betreft de berekening van de netto-OPEX per jaar. Dit betreft vier stappen: 1)Eerst worden de ruwe opex gegevens worden opgehaald. 2) Vervolgens wordt dit verminderd met de aanpassingen o.b.v ACM. 3) De overige opbrengsten worden geelimineerd van de kostenbasis 4) Als laatste worden de effecten van de ruilverkaveling en de HS-overdracht verwerkt. Dit leidt tot de juiste kostenbasis per jaar. </t>
  </si>
  <si>
    <t xml:space="preserve">1) Eerst worden de ruwe OPEX gegevens worden opgehaald. 2) Vervolgens wordt dit verminderd met de aanpassingen o.b.v ACM. 3) De overige opbrengsten worden geëlimineerd van de kostenbasis. 4) Als laatste worden de effecten van de ruilverkaveling en de HS-overdracht verwerkt. Dit leidt tot de juiste kostenbasis per jaar. </t>
  </si>
  <si>
    <t xml:space="preserve">1) Eerst worden de ruwe gegevens voor de kapitaalkosten opgehaald. 2) Vervolgens worden de aanpassingen o.b.v. ACM verwerkt. 3) De overige opbrengsten worden geelimineerd van de kapitaalkosten. 4) Als laatste worden de effecten van de ruilverkaveling en de HS overdracht verwerkt.  </t>
  </si>
  <si>
    <t>Dit tabblad betreft de berekening voor lokale heffingen. Doordat er gewerkt wordt met een WACC van 2016 en een WACC van 2021 komen er nu twee bedragen voor lokale heffingen uit.</t>
  </si>
  <si>
    <t>Dit betreft 2 stappen: 1) Eerst worden de gegevens voor de lokale heffingen verwerkt. 2) Vervolgens worden de OPEX van lokale heffingen en de kapitaalkosten bij elkaar opgeteld.</t>
  </si>
  <si>
    <t xml:space="preserve">Op dit tabblad worden alle gegevens verzameld die als input dienen voor het x-factormodel. Dit betreft voor alle jaren de netbeheerders na ruilverkaveling. Voor de maatstaf betreft het de gegevens voor Stedin na HS overdracht. Voor de productiviteitsverandering betreft het de gegevens van Stedin voor HS-overdracht in 2013 en 2014. </t>
  </si>
  <si>
    <t>Dit wordt ook aangegeven in de opmerkingen.</t>
  </si>
  <si>
    <t>Datum: 12 september 2016</t>
  </si>
  <si>
    <t>Besluit: x-factorbesluiten RNB elektriciteit; bestand: Kostenbestand RNB E</t>
  </si>
  <si>
    <t>Tevens voert de ACM in dit bestand de volgende correcties uit voor gebleken onjuistheden als gevolg van onjuiste of onvolledige gegevens:</t>
  </si>
  <si>
    <t>- Onjuistheden in de operationele kosten van Enexis over 2015 (tabblad "Input operationele kosten", cel N93).</t>
  </si>
  <si>
    <t>- Onjuiste toekenning van operationele kosten aan domeinen van Stedin over 2015 (tabblad "Input operationele kosten", cel Q93).</t>
  </si>
  <si>
    <t>De wijzigingen naar aanleiding van deze uitspraken zien op de hoogte van de WACC (tabblad "Berekening Kapitaalkosten", cel J16 en J17).</t>
  </si>
  <si>
    <t>In dit bestand zijn wijzigingen opgenomen naar aanleiding van een CBb uitspraak op 24 juli 2018 (ECLI:NL:CBB:2018:348) en een CBb uitspraak op 28 november 2019 (ECLI:NL:CBB:2019:636).</t>
  </si>
  <si>
    <t>Datum: 17 augustus 2020</t>
  </si>
  <si>
    <t>Coteq</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</si>
</sst>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 #,##0_ ;_ * \-#,##0_ ;_ * &quot;-&quot;_ ;_ @_ "/>
    <numFmt numFmtId="44" formatCode="_ &quot;€&quot;\ * #,##0.00_ ;_ &quot;€&quot;\ * \-#,##0.00_ ;_ &quot;€&quot;\ * &quot;-&quot;??_ ;_ @_ "/>
    <numFmt numFmtId="43" formatCode="_ * #,##0.00_ ;_ * \-#,##0.00_ ;_ * &quot;-&quot;??_ ;_ @_ "/>
    <numFmt numFmtId="164" formatCode="_-* #,##0.00_-;_-* #,##0.00\-;_-* &quot;-&quot;??_-;_-@_-"/>
    <numFmt numFmtId="165" formatCode="_([$€]* #,##0.00_);_([$€]* \(#,##0.00\);_([$€]* &quot;-&quot;??_);_(@_)"/>
    <numFmt numFmtId="166" formatCode="_ * #,##0_ ;_ * \-#,##0_ ;_ * &quot;-&quot;??_ ;_ @_ "/>
    <numFmt numFmtId="167" formatCode="_-* #,##0_-;_-* #,##0\-;_-* &quot;-&quot;??_-;_-@_-"/>
    <numFmt numFmtId="168" formatCode="0.0%"/>
  </numFmts>
  <fonts count="85">
    <font>
      <sz val="11"/>
      <color theme="1"/>
      <name val="Calibri"/>
      <family val="2"/>
      <scheme val="minor"/>
    </font>
    <font>
      <b/>
      <sz val="11"/>
      <color theme="1"/>
      <name val="Calibri"/>
      <family val="2"/>
      <scheme val="minor"/>
    </font>
    <font>
      <sz val="10"/>
      <color theme="0"/>
      <name val="Arial"/>
      <family val="2"/>
    </font>
    <font>
      <b/>
      <sz val="12"/>
      <color theme="0"/>
      <name val="Arial"/>
      <family val="2"/>
    </font>
    <font>
      <sz val="10"/>
      <color theme="1"/>
      <name val="Arial"/>
      <family val="2"/>
    </font>
    <font>
      <b/>
      <sz val="10"/>
      <color theme="1"/>
      <name val="Arial"/>
      <family val="2"/>
    </font>
    <font>
      <sz val="11"/>
      <color theme="1"/>
      <name val="Calibri"/>
      <family val="2"/>
      <scheme val="minor"/>
    </font>
    <font>
      <sz val="10"/>
      <name val="Arial"/>
      <family val="2"/>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8"/>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MS Sans Serif"/>
      <family val="2"/>
    </font>
    <font>
      <sz val="10"/>
      <name val="Comic Sans MS"/>
      <family val="4"/>
    </font>
    <font>
      <sz val="12"/>
      <name val="Times New Roman"/>
      <family val="1"/>
    </font>
    <font>
      <sz val="10"/>
      <color indexed="8"/>
      <name val="EYInterstate Light"/>
      <family val="2"/>
    </font>
    <font>
      <sz val="10"/>
      <color indexed="9"/>
      <name val="EYInterstate Light"/>
      <family val="2"/>
    </font>
    <font>
      <sz val="10"/>
      <color indexed="20"/>
      <name val="EYInterstate Light"/>
      <family val="2"/>
    </font>
    <font>
      <b/>
      <sz val="10"/>
      <color indexed="52"/>
      <name val="EYInterstate Light"/>
      <family val="2"/>
    </font>
    <font>
      <b/>
      <sz val="10"/>
      <color indexed="9"/>
      <name val="EYInterstate Light"/>
      <family val="2"/>
    </font>
    <font>
      <i/>
      <sz val="10"/>
      <color indexed="23"/>
      <name val="EYInterstate Light"/>
      <family val="2"/>
    </font>
    <font>
      <sz val="10"/>
      <color indexed="17"/>
      <name val="EYInterstate Light"/>
      <family val="2"/>
    </font>
    <font>
      <b/>
      <sz val="15"/>
      <color indexed="56"/>
      <name val="EYInterstate Light"/>
      <family val="2"/>
    </font>
    <font>
      <b/>
      <sz val="13"/>
      <color indexed="56"/>
      <name val="EYInterstate Light"/>
      <family val="2"/>
    </font>
    <font>
      <b/>
      <sz val="11"/>
      <color indexed="56"/>
      <name val="EYInterstate Light"/>
      <family val="2"/>
    </font>
    <font>
      <sz val="10"/>
      <color indexed="62"/>
      <name val="EYInterstate Light"/>
      <family val="2"/>
    </font>
    <font>
      <sz val="10"/>
      <color indexed="52"/>
      <name val="EYInterstate Light"/>
      <family val="2"/>
    </font>
    <font>
      <sz val="10"/>
      <color indexed="60"/>
      <name val="EYInterstate Light"/>
      <family val="2"/>
    </font>
    <font>
      <sz val="9"/>
      <name val="Verdana"/>
      <family val="2"/>
    </font>
    <font>
      <b/>
      <sz val="10"/>
      <color indexed="63"/>
      <name val="EYInterstate Light"/>
      <family val="2"/>
    </font>
    <font>
      <b/>
      <sz val="10"/>
      <color indexed="8"/>
      <name val="EYInterstate Light"/>
      <family val="2"/>
    </font>
    <font>
      <sz val="10"/>
      <color indexed="10"/>
      <name val="EYInterstate Light"/>
      <family val="2"/>
    </font>
    <font>
      <i/>
      <sz val="10"/>
      <name val="Arial"/>
      <family val="2"/>
    </font>
    <font>
      <sz val="10"/>
      <color rgb="FFFF0000"/>
      <name val="Arial"/>
      <family val="2"/>
    </font>
    <font>
      <sz val="8"/>
      <color indexed="81"/>
      <name val="Tahoma"/>
      <family val="2"/>
    </font>
    <font>
      <b/>
      <sz val="10"/>
      <name val="Arial"/>
      <family val="2"/>
    </font>
    <font>
      <b/>
      <sz val="12"/>
      <color theme="1"/>
      <name val="Arial"/>
      <family val="2"/>
    </font>
    <font>
      <sz val="10"/>
      <color rgb="FF000000"/>
      <name val="Arial"/>
      <family val="2"/>
    </font>
    <font>
      <sz val="11"/>
      <color rgb="FFFF0000"/>
      <name val="Calibri"/>
      <family val="2"/>
      <scheme val="minor"/>
    </font>
    <font>
      <sz val="8"/>
      <color rgb="FF000000"/>
      <name val="Tahoma"/>
      <family val="2"/>
    </font>
    <font>
      <b/>
      <sz val="8"/>
      <color indexed="81"/>
      <name val="Tahoma"/>
      <family val="2"/>
    </font>
    <font>
      <b/>
      <sz val="10"/>
      <color theme="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DTLArgoT"/>
    </font>
    <font>
      <sz val="11"/>
      <name val="Verdana"/>
      <family val="2"/>
    </font>
    <font>
      <sz val="9"/>
      <name val="Arial"/>
      <family val="2"/>
    </font>
    <font>
      <sz val="11"/>
      <name val="Essent Proforma"/>
    </font>
    <font>
      <sz val="10"/>
      <color indexed="81"/>
      <name val="Tahoma"/>
      <family val="2"/>
    </font>
    <font>
      <b/>
      <sz val="10"/>
      <color rgb="FFFF0000"/>
      <name val="Arial"/>
      <family val="2"/>
    </font>
    <font>
      <sz val="11"/>
      <name val="Calibri"/>
      <family val="2"/>
      <scheme val="minor"/>
    </font>
    <font>
      <i/>
      <sz val="10"/>
      <color theme="1"/>
      <name val="Arial"/>
      <family val="2"/>
    </font>
    <font>
      <sz val="11"/>
      <color theme="1"/>
      <name val="Arial"/>
      <family val="2"/>
    </font>
    <font>
      <b/>
      <sz val="11"/>
      <color indexed="8"/>
      <name val="Arial"/>
      <family val="2"/>
    </font>
    <font>
      <b/>
      <sz val="11"/>
      <color rgb="FFFF0000"/>
      <name val="Arial"/>
      <family val="2"/>
    </font>
    <font>
      <sz val="11"/>
      <color rgb="FF0070C0"/>
      <name val="Arial"/>
      <family val="2"/>
    </font>
    <font>
      <i/>
      <sz val="11"/>
      <color theme="1"/>
      <name val="Arial"/>
      <family val="2"/>
    </font>
  </fonts>
  <fills count="72">
    <fill>
      <patternFill patternType="none"/>
    </fill>
    <fill>
      <patternFill patternType="gray125"/>
    </fill>
    <fill>
      <patternFill patternType="solid">
        <fgColor rgb="FF7030A0"/>
        <bgColor indexed="64"/>
      </patternFill>
    </fill>
    <fill>
      <patternFill patternType="solid">
        <fgColor theme="4" tint="0.59999389629810485"/>
        <bgColor indexed="64"/>
      </patternFill>
    </fill>
    <fill>
      <patternFill patternType="solid">
        <fgColor rgb="FFFFFFCC"/>
        <bgColor indexed="64"/>
      </patternFill>
    </fill>
    <fill>
      <patternFill patternType="solid">
        <fgColor rgb="FFCCFFCC"/>
        <bgColor indexed="64"/>
      </patternFill>
    </fill>
    <fill>
      <patternFill patternType="solid">
        <fgColor rgb="FFFFCC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CCFFFF"/>
        <bgColor indexed="64"/>
      </patternFill>
    </fill>
    <fill>
      <patternFill patternType="solid">
        <fgColor rgb="FFFFCCFF"/>
        <bgColor indexed="64"/>
      </patternFill>
    </fill>
    <fill>
      <patternFill patternType="solid">
        <fgColor rgb="FFFF00FF"/>
        <bgColor indexed="64"/>
      </patternFill>
    </fill>
    <fill>
      <patternFill patternType="solid">
        <fgColor theme="0" tint="-0.499984740745262"/>
        <bgColor indexed="64"/>
      </patternFill>
    </fill>
    <fill>
      <patternFill patternType="solid">
        <fgColor rgb="FFCCFFCC"/>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64"/>
      </patternFill>
    </fill>
    <fill>
      <patternFill patternType="solid">
        <fgColor theme="0"/>
        <bgColor indexed="64"/>
      </patternFill>
    </fill>
    <fill>
      <patternFill patternType="solid">
        <fgColor rgb="FFFFCCFF"/>
        <bgColor rgb="FF000000"/>
      </patternFill>
    </fill>
    <fill>
      <patternFill patternType="solid">
        <fgColor theme="0" tint="-0.249977111117893"/>
        <bgColor indexed="64"/>
      </patternFill>
    </fill>
    <fill>
      <patternFill patternType="solid">
        <fgColor indexed="22"/>
        <bgColor indexed="64"/>
      </patternFill>
    </fill>
    <fill>
      <patternFill patternType="solid">
        <fgColor theme="5" tint="0.79998168889431442"/>
        <bgColor indexed="64"/>
      </patternFill>
    </fill>
  </fills>
  <borders count="42">
    <border>
      <left/>
      <right/>
      <top/>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53">
    <xf numFmtId="0" fontId="0" fillId="0" borderId="0"/>
    <xf numFmtId="0" fontId="7" fillId="0" borderId="0"/>
    <xf numFmtId="0" fontId="8" fillId="0" borderId="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1" fillId="17"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4" borderId="0" applyNumberFormat="0" applyBorder="0" applyAlignment="0" applyProtection="0"/>
    <xf numFmtId="0" fontId="12" fillId="8" borderId="0" applyNumberFormat="0" applyBorder="0" applyAlignment="0" applyProtection="0"/>
    <xf numFmtId="0" fontId="13" fillId="25" borderId="2" applyNumberFormat="0" applyAlignment="0" applyProtection="0"/>
    <xf numFmtId="0" fontId="13" fillId="25" borderId="2" applyNumberFormat="0" applyAlignment="0" applyProtection="0"/>
    <xf numFmtId="0" fontId="14" fillId="26" borderId="3" applyNumberFormat="0" applyAlignment="0" applyProtection="0"/>
    <xf numFmtId="0" fontId="14" fillId="26" borderId="3" applyNumberFormat="0" applyAlignment="0" applyProtection="0"/>
    <xf numFmtId="165" fontId="8" fillId="0" borderId="0" applyFont="0" applyFill="0" applyBorder="0" applyAlignment="0" applyProtection="0"/>
    <xf numFmtId="0" fontId="15" fillId="0" borderId="0" applyNumberFormat="0" applyFill="0" applyBorder="0" applyAlignment="0" applyProtection="0"/>
    <xf numFmtId="0" fontId="22" fillId="0" borderId="4" applyNumberFormat="0" applyFill="0" applyAlignment="0" applyProtection="0"/>
    <xf numFmtId="0" fontId="16" fillId="9" borderId="0" applyNumberFormat="0" applyBorder="0" applyAlignment="0" applyProtection="0"/>
    <xf numFmtId="0" fontId="16" fillId="9" borderId="0" applyNumberFormat="0" applyBorder="0" applyAlignment="0" applyProtection="0"/>
    <xf numFmtId="0" fontId="17" fillId="0" borderId="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1" fillId="12" borderId="2" applyNumberFormat="0" applyAlignment="0" applyProtection="0"/>
    <xf numFmtId="0" fontId="21" fillId="12" borderId="2" applyNumberFormat="0" applyAlignment="0" applyProtection="0"/>
    <xf numFmtId="164" fontId="8" fillId="0" borderId="0" applyFont="0" applyFill="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2" fillId="0" borderId="4" applyNumberFormat="0" applyFill="0" applyAlignment="0" applyProtection="0"/>
    <xf numFmtId="0" fontId="23" fillId="27" borderId="0" applyNumberFormat="0" applyBorder="0" applyAlignment="0" applyProtection="0"/>
    <xf numFmtId="0" fontId="23" fillId="27" borderId="0" applyNumberFormat="0" applyBorder="0" applyAlignment="0" applyProtection="0"/>
    <xf numFmtId="0" fontId="29" fillId="0" borderId="0"/>
    <xf numFmtId="0" fontId="8" fillId="28" borderId="8" applyNumberFormat="0" applyFont="0" applyAlignment="0" applyProtection="0"/>
    <xf numFmtId="0" fontId="8" fillId="28" borderId="8" applyNumberFormat="0" applyFont="0" applyAlignment="0" applyProtection="0"/>
    <xf numFmtId="0" fontId="12" fillId="8" borderId="0" applyNumberFormat="0" applyBorder="0" applyAlignment="0" applyProtection="0"/>
    <xf numFmtId="0" fontId="24" fillId="25" borderId="9" applyNumberFormat="0" applyAlignment="0" applyProtection="0"/>
    <xf numFmtId="9" fontId="8"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10" applyNumberFormat="0" applyFill="0" applyAlignment="0" applyProtection="0"/>
    <xf numFmtId="0" fontId="26" fillId="0" borderId="10" applyNumberFormat="0" applyFill="0" applyAlignment="0" applyProtection="0"/>
    <xf numFmtId="0" fontId="24" fillId="25" borderId="9" applyNumberFormat="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applyFill="0"/>
    <xf numFmtId="0" fontId="28" fillId="0" borderId="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6"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24" borderId="0" applyNumberFormat="0" applyBorder="0" applyAlignment="0" applyProtection="0"/>
    <xf numFmtId="0" fontId="33" fillId="8" borderId="0" applyNumberFormat="0" applyBorder="0" applyAlignment="0" applyProtection="0"/>
    <xf numFmtId="0" fontId="34" fillId="25" borderId="2" applyNumberFormat="0" applyAlignment="0" applyProtection="0"/>
    <xf numFmtId="0" fontId="35" fillId="26" borderId="3" applyNumberFormat="0" applyAlignment="0" applyProtection="0"/>
    <xf numFmtId="43" fontId="30" fillId="0" borderId="0" applyFont="0" applyFill="0" applyBorder="0" applyAlignment="0" applyProtection="0"/>
    <xf numFmtId="43" fontId="30" fillId="0" borderId="0" applyFont="0" applyFill="0" applyBorder="0" applyAlignment="0" applyProtection="0"/>
    <xf numFmtId="165" fontId="8" fillId="0" borderId="0" applyFont="0" applyFill="0" applyBorder="0" applyAlignment="0" applyProtection="0"/>
    <xf numFmtId="0" fontId="36" fillId="0" borderId="0" applyNumberFormat="0" applyFill="0" applyBorder="0" applyAlignment="0" applyProtection="0"/>
    <xf numFmtId="0" fontId="37" fillId="9" borderId="0" applyNumberFormat="0" applyBorder="0" applyAlignment="0" applyProtection="0"/>
    <xf numFmtId="0" fontId="38" fillId="0" borderId="5" applyNumberFormat="0" applyFill="0" applyAlignment="0" applyProtection="0"/>
    <xf numFmtId="0" fontId="39" fillId="0" borderId="6" applyNumberFormat="0" applyFill="0" applyAlignment="0" applyProtection="0"/>
    <xf numFmtId="0" fontId="40" fillId="0" borderId="7" applyNumberFormat="0" applyFill="0" applyAlignment="0" applyProtection="0"/>
    <xf numFmtId="0" fontId="40" fillId="0" borderId="0" applyNumberFormat="0" applyFill="0" applyBorder="0" applyAlignment="0" applyProtection="0"/>
    <xf numFmtId="0" fontId="41" fillId="12" borderId="2" applyNumberFormat="0" applyAlignment="0" applyProtection="0"/>
    <xf numFmtId="164" fontId="8" fillId="0" borderId="0" applyFont="0" applyFill="0" applyBorder="0" applyAlignment="0" applyProtection="0"/>
    <xf numFmtId="0" fontId="42" fillId="0" borderId="4" applyNumberFormat="0" applyFill="0" applyAlignment="0" applyProtection="0"/>
    <xf numFmtId="0" fontId="43" fillId="27" borderId="0" applyNumberFormat="0" applyBorder="0" applyAlignment="0" applyProtection="0"/>
    <xf numFmtId="0" fontId="44" fillId="0" borderId="0"/>
    <xf numFmtId="0" fontId="30" fillId="0" borderId="0"/>
    <xf numFmtId="0" fontId="30" fillId="28" borderId="8" applyNumberFormat="0" applyFont="0" applyAlignment="0" applyProtection="0"/>
    <xf numFmtId="0" fontId="45" fillId="25" borderId="9" applyNumberFormat="0" applyAlignment="0" applyProtection="0"/>
    <xf numFmtId="0" fontId="25" fillId="0" borderId="0" applyNumberFormat="0" applyFill="0" applyBorder="0" applyAlignment="0" applyProtection="0"/>
    <xf numFmtId="0" fontId="46" fillId="0" borderId="10" applyNumberFormat="0" applyFill="0" applyAlignment="0" applyProtection="0"/>
    <xf numFmtId="0" fontId="47" fillId="0" borderId="0" applyNumberFormat="0" applyFill="0" applyBorder="0" applyAlignment="0" applyProtection="0"/>
    <xf numFmtId="0" fontId="9" fillId="0" borderId="0" applyNumberFormat="0" applyFont="0" applyBorder="0" applyAlignment="0" applyProtection="0"/>
    <xf numFmtId="0" fontId="8" fillId="0" borderId="0"/>
    <xf numFmtId="164" fontId="8" fillId="0" borderId="0" applyFont="0" applyFill="0" applyBorder="0" applyAlignment="0" applyProtection="0"/>
    <xf numFmtId="0" fontId="6" fillId="0" borderId="0"/>
    <xf numFmtId="164" fontId="8"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8" fillId="0" borderId="0"/>
    <xf numFmtId="164" fontId="8" fillId="0" borderId="0" applyFont="0" applyFill="0" applyBorder="0" applyAlignment="0" applyProtection="0"/>
    <xf numFmtId="164"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 fillId="0" borderId="0"/>
    <xf numFmtId="9" fontId="6" fillId="0" borderId="0" applyFont="0" applyFill="0" applyBorder="0" applyAlignment="0" applyProtection="0"/>
    <xf numFmtId="0" fontId="58" fillId="0" borderId="0" applyNumberFormat="0" applyFill="0" applyBorder="0" applyAlignment="0" applyProtection="0"/>
    <xf numFmtId="0" fontId="59" fillId="0" borderId="12" applyNumberFormat="0" applyFill="0" applyAlignment="0" applyProtection="0"/>
    <xf numFmtId="0" fontId="60" fillId="0" borderId="13" applyNumberFormat="0" applyFill="0" applyAlignment="0" applyProtection="0"/>
    <xf numFmtId="0" fontId="61" fillId="0" borderId="14" applyNumberFormat="0" applyFill="0" applyAlignment="0" applyProtection="0"/>
    <xf numFmtId="0" fontId="61" fillId="0" borderId="0" applyNumberFormat="0" applyFill="0" applyBorder="0" applyAlignment="0" applyProtection="0"/>
    <xf numFmtId="0" fontId="62" fillId="35" borderId="0" applyNumberFormat="0" applyBorder="0" applyAlignment="0" applyProtection="0"/>
    <xf numFmtId="0" fontId="63" fillId="36" borderId="0" applyNumberFormat="0" applyBorder="0" applyAlignment="0" applyProtection="0"/>
    <xf numFmtId="0" fontId="64" fillId="37" borderId="0" applyNumberFormat="0" applyBorder="0" applyAlignment="0" applyProtection="0"/>
    <xf numFmtId="0" fontId="65" fillId="38" borderId="15" applyNumberFormat="0" applyAlignment="0" applyProtection="0"/>
    <xf numFmtId="0" fontId="66" fillId="39" borderId="16" applyNumberFormat="0" applyAlignment="0" applyProtection="0"/>
    <xf numFmtId="0" fontId="67" fillId="39" borderId="15" applyNumberFormat="0" applyAlignment="0" applyProtection="0"/>
    <xf numFmtId="0" fontId="68" fillId="0" borderId="17" applyNumberFormat="0" applyFill="0" applyAlignment="0" applyProtection="0"/>
    <xf numFmtId="0" fontId="69" fillId="40" borderId="18" applyNumberFormat="0" applyAlignment="0" applyProtection="0"/>
    <xf numFmtId="0" fontId="54" fillId="0" borderId="0" applyNumberFormat="0" applyFill="0" applyBorder="0" applyAlignment="0" applyProtection="0"/>
    <xf numFmtId="0" fontId="70" fillId="0" borderId="0" applyNumberFormat="0" applyFill="0" applyBorder="0" applyAlignment="0" applyProtection="0"/>
    <xf numFmtId="0" fontId="1" fillId="0" borderId="20" applyNumberFormat="0" applyFill="0" applyAlignment="0" applyProtection="0"/>
    <xf numFmtId="0" fontId="71" fillId="42" borderId="0" applyNumberFormat="0" applyBorder="0" applyAlignment="0" applyProtection="0"/>
    <xf numFmtId="0" fontId="6" fillId="43" borderId="0" applyNumberFormat="0" applyBorder="0" applyAlignment="0" applyProtection="0"/>
    <xf numFmtId="0" fontId="6" fillId="44" borderId="0" applyNumberFormat="0" applyBorder="0" applyAlignment="0" applyProtection="0"/>
    <xf numFmtId="0" fontId="71" fillId="45" borderId="0" applyNumberFormat="0" applyBorder="0" applyAlignment="0" applyProtection="0"/>
    <xf numFmtId="0" fontId="71" fillId="46" borderId="0" applyNumberFormat="0" applyBorder="0" applyAlignment="0" applyProtection="0"/>
    <xf numFmtId="0" fontId="6" fillId="47" borderId="0" applyNumberFormat="0" applyBorder="0" applyAlignment="0" applyProtection="0"/>
    <xf numFmtId="0" fontId="6" fillId="48" borderId="0" applyNumberFormat="0" applyBorder="0" applyAlignment="0" applyProtection="0"/>
    <xf numFmtId="0" fontId="71" fillId="49" borderId="0" applyNumberFormat="0" applyBorder="0" applyAlignment="0" applyProtection="0"/>
    <xf numFmtId="0" fontId="71" fillId="50" borderId="0" applyNumberFormat="0" applyBorder="0" applyAlignment="0" applyProtection="0"/>
    <xf numFmtId="0" fontId="6" fillId="51" borderId="0" applyNumberFormat="0" applyBorder="0" applyAlignment="0" applyProtection="0"/>
    <xf numFmtId="0" fontId="6" fillId="52" borderId="0" applyNumberFormat="0" applyBorder="0" applyAlignment="0" applyProtection="0"/>
    <xf numFmtId="0" fontId="71" fillId="53" borderId="0" applyNumberFormat="0" applyBorder="0" applyAlignment="0" applyProtection="0"/>
    <xf numFmtId="0" fontId="71" fillId="54" borderId="0" applyNumberFormat="0" applyBorder="0" applyAlignment="0" applyProtection="0"/>
    <xf numFmtId="0" fontId="6" fillId="55" borderId="0" applyNumberFormat="0" applyBorder="0" applyAlignment="0" applyProtection="0"/>
    <xf numFmtId="0" fontId="6" fillId="56" borderId="0" applyNumberFormat="0" applyBorder="0" applyAlignment="0" applyProtection="0"/>
    <xf numFmtId="0" fontId="71" fillId="57" borderId="0" applyNumberFormat="0" applyBorder="0" applyAlignment="0" applyProtection="0"/>
    <xf numFmtId="0" fontId="71"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71" fillId="61" borderId="0" applyNumberFormat="0" applyBorder="0" applyAlignment="0" applyProtection="0"/>
    <xf numFmtId="0" fontId="71"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71" fillId="65" borderId="0" applyNumberFormat="0" applyBorder="0" applyAlignment="0" applyProtection="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6" fillId="0" borderId="0"/>
    <xf numFmtId="164" fontId="7" fillId="0" borderId="0" applyFont="0" applyFill="0" applyBorder="0" applyAlignment="0" applyProtection="0"/>
    <xf numFmtId="44" fontId="7" fillId="0" borderId="0" applyFont="0" applyFill="0" applyBorder="0" applyAlignment="0" applyProtection="0"/>
    <xf numFmtId="0" fontId="7" fillId="0" borderId="0"/>
    <xf numFmtId="0" fontId="72" fillId="0" borderId="0"/>
    <xf numFmtId="0" fontId="7" fillId="0" borderId="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1" fillId="17"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4" borderId="0" applyNumberFormat="0" applyBorder="0" applyAlignment="0" applyProtection="0"/>
    <xf numFmtId="0" fontId="72" fillId="28" borderId="8" applyNumberFormat="0" applyFont="0" applyAlignment="0" applyProtection="0"/>
    <xf numFmtId="9" fontId="7" fillId="0" borderId="0" applyFont="0" applyFill="0" applyBorder="0" applyAlignment="0" applyProtection="0"/>
    <xf numFmtId="0" fontId="7" fillId="0" borderId="0"/>
    <xf numFmtId="0" fontId="24" fillId="25" borderId="24" applyNumberFormat="0" applyAlignment="0" applyProtection="0"/>
    <xf numFmtId="0" fontId="21" fillId="12" borderId="21" applyNumberFormat="0" applyAlignment="0" applyProtection="0"/>
    <xf numFmtId="0" fontId="26" fillId="0" borderId="23" applyNumberFormat="0" applyFill="0" applyAlignment="0" applyProtection="0"/>
    <xf numFmtId="0" fontId="13" fillId="25" borderId="21" applyNumberFormat="0" applyAlignment="0" applyProtection="0"/>
    <xf numFmtId="0" fontId="72" fillId="28" borderId="22" applyNumberFormat="0" applyFont="0" applyAlignment="0" applyProtection="0"/>
    <xf numFmtId="0" fontId="73" fillId="0" borderId="0"/>
    <xf numFmtId="164" fontId="73" fillId="0" borderId="0" applyFont="0" applyFill="0" applyBorder="0" applyAlignment="0" applyProtection="0"/>
    <xf numFmtId="9" fontId="73" fillId="0" borderId="0" applyFont="0" applyFill="0" applyBorder="0" applyAlignment="0" applyProtection="0"/>
    <xf numFmtId="0" fontId="7" fillId="0" borderId="0"/>
    <xf numFmtId="0" fontId="74" fillId="0" borderId="0"/>
    <xf numFmtId="0" fontId="75" fillId="0" borderId="0"/>
    <xf numFmtId="9" fontId="6" fillId="0" borderId="0" applyFont="0" applyFill="0" applyBorder="0" applyAlignment="0" applyProtection="0"/>
    <xf numFmtId="0" fontId="6" fillId="0" borderId="0"/>
    <xf numFmtId="0" fontId="6" fillId="0" borderId="0"/>
    <xf numFmtId="0" fontId="6" fillId="41" borderId="19" applyNumberFormat="0" applyFont="0" applyAlignment="0" applyProtection="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41" borderId="19" applyNumberFormat="0" applyFont="0" applyAlignment="0" applyProtection="0"/>
    <xf numFmtId="0" fontId="6" fillId="43" borderId="0" applyNumberFormat="0" applyBorder="0" applyAlignment="0" applyProtection="0"/>
    <xf numFmtId="0" fontId="6" fillId="44" borderId="0" applyNumberFormat="0" applyBorder="0" applyAlignment="0" applyProtection="0"/>
    <xf numFmtId="0" fontId="6" fillId="47" borderId="0" applyNumberFormat="0" applyBorder="0" applyAlignment="0" applyProtection="0"/>
    <xf numFmtId="0" fontId="6" fillId="48" borderId="0" applyNumberFormat="0" applyBorder="0" applyAlignment="0" applyProtection="0"/>
    <xf numFmtId="0" fontId="6" fillId="51" borderId="0" applyNumberFormat="0" applyBorder="0" applyAlignment="0" applyProtection="0"/>
    <xf numFmtId="0" fontId="6" fillId="52" borderId="0" applyNumberFormat="0" applyBorder="0" applyAlignment="0" applyProtection="0"/>
    <xf numFmtId="0" fontId="6" fillId="55" borderId="0" applyNumberFormat="0" applyBorder="0" applyAlignment="0" applyProtection="0"/>
    <xf numFmtId="0" fontId="6" fillId="56"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43" fontId="6" fillId="0" borderId="0" applyFont="0" applyFill="0" applyBorder="0" applyAlignment="0" applyProtection="0"/>
    <xf numFmtId="0" fontId="6" fillId="0" borderId="0"/>
    <xf numFmtId="0" fontId="6" fillId="41" borderId="19" applyNumberFormat="0" applyFont="0" applyAlignment="0" applyProtection="0"/>
    <xf numFmtId="0" fontId="72" fillId="28" borderId="36" applyNumberFormat="0" applyFont="0" applyAlignment="0" applyProtection="0"/>
    <xf numFmtId="0" fontId="26" fillId="0" borderId="37" applyNumberFormat="0" applyFill="0" applyAlignment="0" applyProtection="0"/>
    <xf numFmtId="0" fontId="24" fillId="25" borderId="38" applyNumberFormat="0" applyAlignment="0" applyProtection="0"/>
    <xf numFmtId="0" fontId="7" fillId="0" borderId="0"/>
  </cellStyleXfs>
  <cellXfs count="144">
    <xf numFmtId="0" fontId="0" fillId="0" borderId="0" xfId="0"/>
    <xf numFmtId="0" fontId="2" fillId="2" borderId="1" xfId="0" applyFont="1" applyFill="1" applyBorder="1"/>
    <xf numFmtId="0" fontId="3" fillId="2" borderId="1" xfId="0" applyFont="1" applyFill="1" applyBorder="1"/>
    <xf numFmtId="0" fontId="4" fillId="0" borderId="0" xfId="0" applyFont="1"/>
    <xf numFmtId="0" fontId="5" fillId="3" borderId="1" xfId="0" applyFont="1" applyFill="1" applyBorder="1"/>
    <xf numFmtId="41" fontId="5" fillId="3" borderId="1" xfId="0" applyNumberFormat="1" applyFont="1" applyFill="1" applyBorder="1"/>
    <xf numFmtId="166" fontId="4" fillId="5" borderId="0" xfId="132" applyNumberFormat="1" applyFont="1" applyFill="1"/>
    <xf numFmtId="0" fontId="7" fillId="0" borderId="0" xfId="1"/>
    <xf numFmtId="0" fontId="5" fillId="0" borderId="0" xfId="0" applyFont="1"/>
    <xf numFmtId="41" fontId="4" fillId="4" borderId="0" xfId="0" applyNumberFormat="1" applyFont="1" applyFill="1"/>
    <xf numFmtId="41" fontId="4" fillId="0" borderId="0" xfId="0" applyNumberFormat="1" applyFont="1"/>
    <xf numFmtId="41" fontId="4" fillId="5" borderId="0" xfId="0" applyNumberFormat="1" applyFont="1" applyFill="1"/>
    <xf numFmtId="41" fontId="4" fillId="0" borderId="0" xfId="0" applyNumberFormat="1" applyFont="1" applyFill="1"/>
    <xf numFmtId="0" fontId="49" fillId="0" borderId="0" xfId="0" applyFont="1"/>
    <xf numFmtId="0" fontId="5" fillId="0" borderId="0" xfId="0" applyFont="1" applyFill="1" applyBorder="1"/>
    <xf numFmtId="0" fontId="7" fillId="0" borderId="0" xfId="123" applyFont="1"/>
    <xf numFmtId="0" fontId="7" fillId="0" borderId="0" xfId="71" applyFont="1"/>
    <xf numFmtId="0" fontId="51" fillId="0" borderId="0" xfId="0" applyFont="1"/>
    <xf numFmtId="0" fontId="7" fillId="0" borderId="0" xfId="72" applyFont="1"/>
    <xf numFmtId="0" fontId="52" fillId="3" borderId="1" xfId="0" applyFont="1" applyFill="1" applyBorder="1"/>
    <xf numFmtId="0" fontId="4" fillId="3" borderId="1" xfId="0" applyFont="1" applyFill="1" applyBorder="1"/>
    <xf numFmtId="41" fontId="4" fillId="6" borderId="0" xfId="0" applyNumberFormat="1" applyFont="1" applyFill="1"/>
    <xf numFmtId="0" fontId="7" fillId="0" borderId="0" xfId="0" applyFont="1"/>
    <xf numFmtId="0" fontId="7" fillId="0" borderId="0" xfId="69" applyFont="1"/>
    <xf numFmtId="10" fontId="7" fillId="34" borderId="0" xfId="0" applyNumberFormat="1" applyFont="1" applyFill="1" applyBorder="1"/>
    <xf numFmtId="0" fontId="53" fillId="0" borderId="0" xfId="0" applyFont="1" applyAlignment="1">
      <alignment vertical="center"/>
    </xf>
    <xf numFmtId="0" fontId="4" fillId="0" borderId="0" xfId="0" applyFont="1" applyAlignment="1">
      <alignment vertical="center"/>
    </xf>
    <xf numFmtId="0" fontId="51" fillId="0" borderId="0" xfId="134" applyFont="1"/>
    <xf numFmtId="0" fontId="7" fillId="0" borderId="0" xfId="134" applyFont="1"/>
    <xf numFmtId="0" fontId="7" fillId="0" borderId="0" xfId="134" applyFont="1" applyFill="1"/>
    <xf numFmtId="0" fontId="48" fillId="0" borderId="0" xfId="0" applyFont="1"/>
    <xf numFmtId="0" fontId="48" fillId="0" borderId="0" xfId="0" applyFont="1" applyFill="1" applyBorder="1"/>
    <xf numFmtId="0" fontId="51" fillId="0" borderId="0" xfId="0" applyFont="1" applyFill="1" applyBorder="1"/>
    <xf numFmtId="0" fontId="51" fillId="0" borderId="0" xfId="0" applyFont="1" applyFill="1" applyBorder="1" applyAlignment="1">
      <alignment horizontal="center"/>
    </xf>
    <xf numFmtId="0" fontId="7" fillId="0" borderId="0" xfId="0" applyFont="1" applyFill="1" applyBorder="1"/>
    <xf numFmtId="0" fontId="7" fillId="0" borderId="0" xfId="0" applyFont="1" applyFill="1" applyBorder="1" applyAlignment="1">
      <alignment horizontal="center"/>
    </xf>
    <xf numFmtId="167" fontId="7" fillId="34" borderId="0" xfId="132" applyNumberFormat="1" applyFont="1" applyFill="1" applyBorder="1"/>
    <xf numFmtId="41" fontId="4" fillId="31" borderId="0" xfId="0" applyNumberFormat="1" applyFont="1" applyFill="1"/>
    <xf numFmtId="0" fontId="51" fillId="0" borderId="0" xfId="69" applyFont="1"/>
    <xf numFmtId="0" fontId="7" fillId="0" borderId="0" xfId="1" applyFont="1"/>
    <xf numFmtId="0" fontId="57" fillId="2" borderId="1" xfId="0" applyFont="1" applyFill="1" applyBorder="1"/>
    <xf numFmtId="0" fontId="51" fillId="0" borderId="0" xfId="1" applyFont="1"/>
    <xf numFmtId="166" fontId="7" fillId="5" borderId="0" xfId="132" applyNumberFormat="1" applyFont="1" applyFill="1" applyBorder="1"/>
    <xf numFmtId="167" fontId="6" fillId="66" borderId="0" xfId="132" applyNumberFormat="1" applyFill="1"/>
    <xf numFmtId="0" fontId="6" fillId="0" borderId="0" xfId="125"/>
    <xf numFmtId="41" fontId="4" fillId="29" borderId="0" xfId="0" applyNumberFormat="1" applyFont="1" applyFill="1"/>
    <xf numFmtId="0" fontId="49" fillId="0" borderId="0" xfId="69" applyFont="1"/>
    <xf numFmtId="41" fontId="49" fillId="5" borderId="0" xfId="0" applyNumberFormat="1" applyFont="1" applyFill="1"/>
    <xf numFmtId="0" fontId="49" fillId="0" borderId="0" xfId="71" applyFont="1"/>
    <xf numFmtId="41" fontId="4" fillId="5" borderId="26" xfId="0" applyNumberFormat="1" applyFont="1" applyFill="1" applyBorder="1"/>
    <xf numFmtId="41" fontId="4" fillId="5" borderId="27" xfId="0" applyNumberFormat="1" applyFont="1" applyFill="1" applyBorder="1"/>
    <xf numFmtId="41" fontId="4" fillId="5" borderId="28" xfId="0" applyNumberFormat="1" applyFont="1" applyFill="1" applyBorder="1"/>
    <xf numFmtId="41" fontId="4" fillId="5" borderId="0" xfId="0" applyNumberFormat="1" applyFont="1" applyFill="1" applyBorder="1"/>
    <xf numFmtId="41" fontId="4" fillId="5" borderId="29" xfId="0" applyNumberFormat="1" applyFont="1" applyFill="1" applyBorder="1"/>
    <xf numFmtId="41" fontId="4" fillId="5" borderId="30" xfId="0" applyNumberFormat="1" applyFont="1" applyFill="1" applyBorder="1"/>
    <xf numFmtId="41" fontId="4" fillId="5" borderId="31" xfId="0" applyNumberFormat="1" applyFont="1" applyFill="1" applyBorder="1"/>
    <xf numFmtId="41" fontId="4" fillId="5" borderId="32" xfId="0" applyNumberFormat="1" applyFont="1" applyFill="1" applyBorder="1"/>
    <xf numFmtId="41" fontId="4" fillId="5" borderId="33" xfId="0" applyNumberFormat="1" applyFont="1" applyFill="1" applyBorder="1"/>
    <xf numFmtId="41" fontId="4" fillId="5" borderId="34" xfId="0" applyNumberFormat="1" applyFont="1" applyFill="1" applyBorder="1"/>
    <xf numFmtId="41" fontId="4" fillId="5" borderId="35" xfId="0" applyNumberFormat="1" applyFont="1" applyFill="1" applyBorder="1"/>
    <xf numFmtId="41" fontId="7" fillId="4" borderId="0" xfId="0" applyNumberFormat="1" applyFont="1" applyFill="1"/>
    <xf numFmtId="41" fontId="7" fillId="0" borderId="0" xfId="0" applyNumberFormat="1" applyFont="1" applyFill="1"/>
    <xf numFmtId="41" fontId="49" fillId="29" borderId="0" xfId="0" applyNumberFormat="1" applyFont="1" applyFill="1"/>
    <xf numFmtId="41" fontId="49" fillId="0" borderId="0" xfId="0" applyNumberFormat="1" applyFont="1"/>
    <xf numFmtId="41" fontId="77" fillId="3" borderId="1" xfId="0" applyNumberFormat="1" applyFont="1" applyFill="1" applyBorder="1"/>
    <xf numFmtId="41" fontId="7" fillId="5" borderId="0" xfId="0" applyNumberFormat="1" applyFont="1" applyFill="1"/>
    <xf numFmtId="166" fontId="7" fillId="5" borderId="0" xfId="132" applyNumberFormat="1" applyFont="1" applyFill="1"/>
    <xf numFmtId="167" fontId="7" fillId="66" borderId="0" xfId="182" applyNumberFormat="1" applyFill="1"/>
    <xf numFmtId="167" fontId="78" fillId="31" borderId="0" xfId="132" applyNumberFormat="1" applyFont="1" applyFill="1"/>
    <xf numFmtId="167" fontId="4" fillId="66" borderId="0" xfId="132" applyNumberFormat="1" applyFont="1" applyFill="1"/>
    <xf numFmtId="167" fontId="7" fillId="5" borderId="0" xfId="0" applyNumberFormat="1" applyFont="1" applyFill="1"/>
    <xf numFmtId="0" fontId="4" fillId="0" borderId="0" xfId="0" applyFont="1" applyFill="1"/>
    <xf numFmtId="41" fontId="7" fillId="5" borderId="0" xfId="0" applyNumberFormat="1" applyFont="1" applyFill="1" applyBorder="1"/>
    <xf numFmtId="41" fontId="4" fillId="29" borderId="0" xfId="0" applyNumberFormat="1" applyFont="1" applyFill="1" applyBorder="1"/>
    <xf numFmtId="41" fontId="4" fillId="5" borderId="39" xfId="0" applyNumberFormat="1" applyFont="1" applyFill="1" applyBorder="1"/>
    <xf numFmtId="41" fontId="4" fillId="5" borderId="25" xfId="0" applyNumberFormat="1" applyFont="1" applyFill="1" applyBorder="1"/>
    <xf numFmtId="41" fontId="4" fillId="5" borderId="40" xfId="0" applyNumberFormat="1" applyFont="1" applyFill="1" applyBorder="1"/>
    <xf numFmtId="0" fontId="49" fillId="0" borderId="0" xfId="0" applyFont="1" applyFill="1"/>
    <xf numFmtId="10" fontId="7" fillId="5" borderId="0" xfId="0" applyNumberFormat="1" applyFont="1" applyFill="1"/>
    <xf numFmtId="0" fontId="79" fillId="0" borderId="0" xfId="0" applyFont="1"/>
    <xf numFmtId="0" fontId="48" fillId="0" borderId="0" xfId="69" applyFont="1"/>
    <xf numFmtId="166" fontId="4" fillId="5" borderId="0" xfId="132" applyNumberFormat="1" applyFont="1" applyFill="1" applyAlignment="1">
      <alignment horizontal="right"/>
    </xf>
    <xf numFmtId="166" fontId="4" fillId="4" borderId="0" xfId="132" applyNumberFormat="1" applyFont="1" applyFill="1"/>
    <xf numFmtId="166" fontId="4" fillId="0" borderId="0" xfId="132" applyNumberFormat="1" applyFont="1"/>
    <xf numFmtId="167" fontId="78" fillId="5" borderId="0" xfId="132" applyNumberFormat="1" applyFont="1" applyFill="1"/>
    <xf numFmtId="3" fontId="7" fillId="5" borderId="0" xfId="0" applyNumberFormat="1" applyFont="1" applyFill="1"/>
    <xf numFmtId="166" fontId="4" fillId="0" borderId="0" xfId="132" applyNumberFormat="1" applyFont="1" applyFill="1"/>
    <xf numFmtId="0" fontId="4" fillId="67" borderId="0" xfId="0" applyFont="1" applyFill="1"/>
    <xf numFmtId="0" fontId="7" fillId="67" borderId="0" xfId="71" applyFont="1" applyFill="1"/>
    <xf numFmtId="0" fontId="7" fillId="67" borderId="0" xfId="72" applyFont="1" applyFill="1"/>
    <xf numFmtId="0" fontId="7" fillId="67" borderId="0" xfId="0" applyFont="1" applyFill="1" applyBorder="1"/>
    <xf numFmtId="0" fontId="7" fillId="67" borderId="0" xfId="69" applyFont="1" applyFill="1"/>
    <xf numFmtId="167" fontId="7" fillId="68" borderId="0" xfId="132" applyNumberFormat="1" applyFont="1" applyFill="1" applyBorder="1"/>
    <xf numFmtId="41" fontId="4" fillId="30" borderId="0" xfId="0" applyNumberFormat="1" applyFont="1" applyFill="1"/>
    <xf numFmtId="0" fontId="4" fillId="0" borderId="0" xfId="0" applyFont="1" applyFill="1" applyBorder="1"/>
    <xf numFmtId="41" fontId="4" fillId="5" borderId="41" xfId="0" applyNumberFormat="1" applyFont="1" applyFill="1" applyBorder="1"/>
    <xf numFmtId="167" fontId="6" fillId="0" borderId="0" xfId="132" applyNumberFormat="1" applyFill="1"/>
    <xf numFmtId="0" fontId="7" fillId="0" borderId="0" xfId="71" applyFont="1" applyFill="1"/>
    <xf numFmtId="166" fontId="7" fillId="0" borderId="0" xfId="132" applyNumberFormat="1" applyFont="1" applyFill="1"/>
    <xf numFmtId="0" fontId="7" fillId="0" borderId="0" xfId="72" applyFont="1" applyFill="1"/>
    <xf numFmtId="0" fontId="3" fillId="2" borderId="25" xfId="0" applyFont="1" applyFill="1" applyBorder="1"/>
    <xf numFmtId="0" fontId="2" fillId="2" borderId="25" xfId="0" applyFont="1" applyFill="1" applyBorder="1"/>
    <xf numFmtId="0" fontId="5" fillId="3" borderId="25" xfId="0" applyFont="1" applyFill="1" applyBorder="1"/>
    <xf numFmtId="0" fontId="78" fillId="0" borderId="0" xfId="125" applyFont="1" applyBorder="1"/>
    <xf numFmtId="41" fontId="7" fillId="0" borderId="0" xfId="0" applyNumberFormat="1" applyFont="1" applyBorder="1"/>
    <xf numFmtId="41" fontId="4" fillId="71" borderId="0" xfId="0" applyNumberFormat="1" applyFont="1" applyFill="1"/>
    <xf numFmtId="0" fontId="51" fillId="0" borderId="0" xfId="69" applyFont="1" applyAlignment="1">
      <alignment horizontal="right"/>
    </xf>
    <xf numFmtId="166" fontId="4" fillId="67" borderId="0" xfId="132" applyNumberFormat="1" applyFont="1" applyFill="1"/>
    <xf numFmtId="166" fontId="51" fillId="0" borderId="0" xfId="132" applyNumberFormat="1" applyFont="1"/>
    <xf numFmtId="166" fontId="4" fillId="0" borderId="0" xfId="0" applyNumberFormat="1" applyFont="1"/>
    <xf numFmtId="41" fontId="7" fillId="0" borderId="0" xfId="0" applyNumberFormat="1" applyFont="1"/>
    <xf numFmtId="0" fontId="7" fillId="0" borderId="0" xfId="0" applyFont="1" applyAlignment="1"/>
    <xf numFmtId="0" fontId="7" fillId="0" borderId="0" xfId="0" applyFont="1" applyAlignment="1">
      <alignment vertical="top" wrapText="1"/>
    </xf>
    <xf numFmtId="0" fontId="7" fillId="0" borderId="31" xfId="0" applyFont="1" applyBorder="1" applyAlignment="1">
      <alignment horizontal="left" vertical="top" wrapText="1"/>
    </xf>
    <xf numFmtId="0" fontId="80" fillId="0" borderId="0" xfId="0" applyFont="1"/>
    <xf numFmtId="0" fontId="81" fillId="3" borderId="1" xfId="0" applyFont="1" applyFill="1" applyBorder="1"/>
    <xf numFmtId="0" fontId="80" fillId="5" borderId="0" xfId="0" applyFont="1" applyFill="1"/>
    <xf numFmtId="0" fontId="80" fillId="5" borderId="11" xfId="0" applyFont="1" applyFill="1" applyBorder="1"/>
    <xf numFmtId="0" fontId="80" fillId="6" borderId="0" xfId="0" applyFont="1" applyFill="1"/>
    <xf numFmtId="0" fontId="80" fillId="4" borderId="0" xfId="0" applyFont="1" applyFill="1"/>
    <xf numFmtId="0" fontId="80" fillId="30" borderId="0" xfId="0" applyFont="1" applyFill="1"/>
    <xf numFmtId="0" fontId="80" fillId="31" borderId="0" xfId="0" applyFont="1" applyFill="1"/>
    <xf numFmtId="0" fontId="80" fillId="32" borderId="0" xfId="0" applyFont="1" applyFill="1"/>
    <xf numFmtId="0" fontId="80" fillId="33" borderId="0" xfId="0" applyFont="1" applyFill="1"/>
    <xf numFmtId="0" fontId="80" fillId="29" borderId="0" xfId="0" applyFont="1" applyFill="1"/>
    <xf numFmtId="0" fontId="83" fillId="0" borderId="0" xfId="0" applyFont="1" applyAlignment="1">
      <alignment horizontal="center"/>
    </xf>
    <xf numFmtId="0" fontId="84" fillId="0" borderId="0" xfId="0" applyFont="1"/>
    <xf numFmtId="0" fontId="80" fillId="67" borderId="0" xfId="0" applyFont="1" applyFill="1"/>
    <xf numFmtId="0" fontId="80" fillId="0" borderId="0" xfId="0" applyFont="1" applyFill="1"/>
    <xf numFmtId="166" fontId="80" fillId="0" borderId="0" xfId="132" applyNumberFormat="1" applyFont="1"/>
    <xf numFmtId="0" fontId="7" fillId="0" borderId="0" xfId="252" applyFont="1" applyAlignment="1">
      <alignment horizontal="right"/>
    </xf>
    <xf numFmtId="0" fontId="7" fillId="0" borderId="0" xfId="252" applyFont="1"/>
    <xf numFmtId="10" fontId="7" fillId="6" borderId="0" xfId="252" applyNumberFormat="1" applyFont="1" applyFill="1"/>
    <xf numFmtId="0" fontId="7" fillId="69" borderId="0" xfId="252" applyFont="1" applyFill="1"/>
    <xf numFmtId="10" fontId="7" fillId="0" borderId="0" xfId="212" applyNumberFormat="1" applyFont="1" applyFill="1"/>
    <xf numFmtId="10" fontId="7" fillId="4" borderId="0" xfId="252" applyNumberFormat="1" applyFont="1" applyFill="1"/>
    <xf numFmtId="10" fontId="7" fillId="70" borderId="0" xfId="252" applyNumberFormat="1" applyFont="1" applyFill="1"/>
    <xf numFmtId="0" fontId="7" fillId="70" borderId="0" xfId="252" applyFont="1" applyFill="1"/>
    <xf numFmtId="168" fontId="7" fillId="6" borderId="0" xfId="135" applyNumberFormat="1" applyFont="1" applyFill="1" applyBorder="1"/>
    <xf numFmtId="168" fontId="4" fillId="6" borderId="0" xfId="0" applyNumberFormat="1" applyFont="1" applyFill="1"/>
    <xf numFmtId="0" fontId="4" fillId="4" borderId="0" xfId="0" applyFont="1" applyFill="1"/>
    <xf numFmtId="10" fontId="7" fillId="31" borderId="0" xfId="0" applyNumberFormat="1" applyFont="1" applyFill="1"/>
    <xf numFmtId="0" fontId="7" fillId="0" borderId="0" xfId="0" quotePrefix="1" applyFont="1"/>
    <xf numFmtId="41" fontId="4" fillId="31" borderId="34" xfId="0" applyNumberFormat="1" applyFont="1" applyFill="1" applyBorder="1"/>
  </cellXfs>
  <cellStyles count="253">
    <cellStyle name="_x000d__x000a_JournalTemplate=C:\COMFO\CTALK\JOURSTD.TPL_x000d__x000a_LbStateAddress=3 3 0 251 1 89 2 311_x000d__x000a_LbStateJou" xfId="2"/>
    <cellStyle name="_x000d__x000a_JournalTemplate=C:\COMFO\CTALK\JOURSTD.TPL_x000d__x000a_LbStateAddress=3 3 0 251 1 89 2 311_x000d__x000a_LbStateJou 10" xfId="176"/>
    <cellStyle name="_x000d__x000a_JournalTemplate=C:\COMFO\CTALK\JOURSTD.TPL_x000d__x000a_LbStateAddress=3 3 0 251 1 89 2 311_x000d__x000a_LbStateJou 2" xfId="67"/>
    <cellStyle name="_x000d__x000a_JournalTemplate=C:\COMFO\CTALK\JOURSTD.TPL_x000d__x000a_LbStateAddress=3 3 0 251 1 89 2 311_x000d__x000a_LbStateJou 2 2" xfId="129"/>
    <cellStyle name="_x000d__x000a_JournalTemplate=C:\COMFO\CTALK\JOURSTD.TPL_x000d__x000a_LbStateAddress=3 3 0 251 1 89 2 311_x000d__x000a_LbStateJou 2 3" xfId="179"/>
    <cellStyle name="_x000d__x000a_JournalTemplate=C:\COMFO\CTALK\JOURSTD.TPL_x000d__x000a_LbStateAddress=3 3 0 251 1 89 2 311_x000d__x000a_LbStateJou 3" xfId="66"/>
    <cellStyle name="_x000d__x000a_JournalTemplate=C:\COMFO\CTALK\JOURSTD.TPL_x000d__x000a_LbStateAddress=3 3 0 251 1 89 2 311_x000d__x000a_LbStateJou 3 2" xfId="185"/>
    <cellStyle name="_x000d__x000a_JournalTemplate=C:\COMFO\CTALK\JOURSTD.TPL_x000d__x000a_LbStateAddress=3 3 0 251 1 89 2 311_x000d__x000a_LbStateJou 4" xfId="74"/>
    <cellStyle name="_x000d__x000a_JournalTemplate=C:\COMFO\CTALK\JOURSTD.TPL_x000d__x000a_LbStateAddress=3 3 0 251 1 89 2 311_x000d__x000a_LbStateJou_100720 berekening x-factoren NG4R v4.2" xfId="186"/>
    <cellStyle name="20% - Accent1" xfId="153" builtinId="30" customBuiltin="1"/>
    <cellStyle name="20% - Accent1 2" xfId="75"/>
    <cellStyle name="20% - Accent1 2 2" xfId="187"/>
    <cellStyle name="20% - Accent1 3" xfId="3"/>
    <cellStyle name="20% - Accent1 3 2" xfId="234"/>
    <cellStyle name="20% - Accent2" xfId="157" builtinId="34" customBuiltin="1"/>
    <cellStyle name="20% - Accent2 2" xfId="76"/>
    <cellStyle name="20% - Accent2 2 2" xfId="188"/>
    <cellStyle name="20% - Accent2 3" xfId="4"/>
    <cellStyle name="20% - Accent2 3 2" xfId="236"/>
    <cellStyle name="20% - Accent3" xfId="161" builtinId="38" customBuiltin="1"/>
    <cellStyle name="20% - Accent3 2" xfId="77"/>
    <cellStyle name="20% - Accent3 2 2" xfId="189"/>
    <cellStyle name="20% - Accent3 3" xfId="5"/>
    <cellStyle name="20% - Accent3 3 2" xfId="238"/>
    <cellStyle name="20% - Accent4" xfId="165" builtinId="42" customBuiltin="1"/>
    <cellStyle name="20% - Accent4 2" xfId="78"/>
    <cellStyle name="20% - Accent4 2 2" xfId="190"/>
    <cellStyle name="20% - Accent4 3" xfId="6"/>
    <cellStyle name="20% - Accent4 3 2" xfId="240"/>
    <cellStyle name="20% - Accent5" xfId="169" builtinId="46" customBuiltin="1"/>
    <cellStyle name="20% - Accent5 2" xfId="79"/>
    <cellStyle name="20% - Accent5 2 2" xfId="191"/>
    <cellStyle name="20% - Accent5 3" xfId="7"/>
    <cellStyle name="20% - Accent5 3 2" xfId="242"/>
    <cellStyle name="20% - Accent6" xfId="173" builtinId="50" customBuiltin="1"/>
    <cellStyle name="20% - Accent6 2" xfId="80"/>
    <cellStyle name="20% - Accent6 2 2" xfId="192"/>
    <cellStyle name="20% - Accent6 3" xfId="8"/>
    <cellStyle name="20% - Accent6 3 2" xfId="244"/>
    <cellStyle name="40% - Accent1" xfId="154" builtinId="31" customBuiltin="1"/>
    <cellStyle name="40% - Accent1 2" xfId="81"/>
    <cellStyle name="40% - Accent1 2 2" xfId="193"/>
    <cellStyle name="40% - Accent1 3" xfId="9"/>
    <cellStyle name="40% - Accent1 3 2" xfId="235"/>
    <cellStyle name="40% - Accent2" xfId="158" builtinId="35" customBuiltin="1"/>
    <cellStyle name="40% - Accent2 2" xfId="82"/>
    <cellStyle name="40% - Accent2 2 2" xfId="194"/>
    <cellStyle name="40% - Accent2 3" xfId="10"/>
    <cellStyle name="40% - Accent2 3 2" xfId="237"/>
    <cellStyle name="40% - Accent3" xfId="162" builtinId="39" customBuiltin="1"/>
    <cellStyle name="40% - Accent3 2" xfId="83"/>
    <cellStyle name="40% - Accent3 2 2" xfId="195"/>
    <cellStyle name="40% - Accent3 3" xfId="11"/>
    <cellStyle name="40% - Accent3 3 2" xfId="239"/>
    <cellStyle name="40% - Accent4" xfId="166" builtinId="43" customBuiltin="1"/>
    <cellStyle name="40% - Accent4 2" xfId="84"/>
    <cellStyle name="40% - Accent4 2 2" xfId="196"/>
    <cellStyle name="40% - Accent4 3" xfId="12"/>
    <cellStyle name="40% - Accent4 3 2" xfId="241"/>
    <cellStyle name="40% - Accent5" xfId="170" builtinId="47" customBuiltin="1"/>
    <cellStyle name="40% - Accent5 2" xfId="85"/>
    <cellStyle name="40% - Accent5 2 2" xfId="197"/>
    <cellStyle name="40% - Accent5 3" xfId="13"/>
    <cellStyle name="40% - Accent5 3 2" xfId="243"/>
    <cellStyle name="40% - Accent6" xfId="174" builtinId="51" customBuiltin="1"/>
    <cellStyle name="40% - Accent6 2" xfId="86"/>
    <cellStyle name="40% - Accent6 2 2" xfId="198"/>
    <cellStyle name="40% - Accent6 3" xfId="14"/>
    <cellStyle name="40% - Accent6 3 2" xfId="245"/>
    <cellStyle name="60% - Accent1" xfId="155" builtinId="32" customBuiltin="1"/>
    <cellStyle name="60% - Accent1 2" xfId="87"/>
    <cellStyle name="60% - Accent1 2 2" xfId="199"/>
    <cellStyle name="60% - Accent1 3" xfId="15"/>
    <cellStyle name="60% - Accent2" xfId="159" builtinId="36" customBuiltin="1"/>
    <cellStyle name="60% - Accent2 2" xfId="88"/>
    <cellStyle name="60% - Accent2 2 2" xfId="200"/>
    <cellStyle name="60% - Accent2 3" xfId="16"/>
    <cellStyle name="60% - Accent3" xfId="163" builtinId="40" customBuiltin="1"/>
    <cellStyle name="60% - Accent3 2" xfId="89"/>
    <cellStyle name="60% - Accent3 2 2" xfId="201"/>
    <cellStyle name="60% - Accent3 3" xfId="17"/>
    <cellStyle name="60% - Accent4" xfId="167" builtinId="44" customBuiltin="1"/>
    <cellStyle name="60% - Accent4 2" xfId="90"/>
    <cellStyle name="60% - Accent4 2 2" xfId="202"/>
    <cellStyle name="60% - Accent4 3" xfId="18"/>
    <cellStyle name="60% - Accent5" xfId="171" builtinId="48" customBuiltin="1"/>
    <cellStyle name="60% - Accent5 2" xfId="91"/>
    <cellStyle name="60% - Accent5 2 2" xfId="203"/>
    <cellStyle name="60% - Accent5 3" xfId="19"/>
    <cellStyle name="60% - Accent6" xfId="175" builtinId="52" customBuiltin="1"/>
    <cellStyle name="60% - Accent6 2" xfId="92"/>
    <cellStyle name="60% - Accent6 2 2" xfId="204"/>
    <cellStyle name="60% - Accent6 3" xfId="20"/>
    <cellStyle name="Accent1" xfId="152" builtinId="29" customBuiltin="1"/>
    <cellStyle name="Accent1 2" xfId="93"/>
    <cellStyle name="Accent1 2 2" xfId="205"/>
    <cellStyle name="Accent1 3" xfId="21"/>
    <cellStyle name="Accent2" xfId="156" builtinId="33" customBuiltin="1"/>
    <cellStyle name="Accent2 2" xfId="94"/>
    <cellStyle name="Accent2 2 2" xfId="206"/>
    <cellStyle name="Accent2 3" xfId="22"/>
    <cellStyle name="Accent3" xfId="160" builtinId="37" customBuiltin="1"/>
    <cellStyle name="Accent3 2" xfId="95"/>
    <cellStyle name="Accent3 2 2" xfId="207"/>
    <cellStyle name="Accent3 3" xfId="23"/>
    <cellStyle name="Accent4" xfId="164" builtinId="41" customBuiltin="1"/>
    <cellStyle name="Accent4 2" xfId="96"/>
    <cellStyle name="Accent4 2 2" xfId="208"/>
    <cellStyle name="Accent4 3" xfId="24"/>
    <cellStyle name="Accent5" xfId="168" builtinId="45" customBuiltin="1"/>
    <cellStyle name="Accent5 2" xfId="97"/>
    <cellStyle name="Accent5 2 2" xfId="209"/>
    <cellStyle name="Accent5 3" xfId="25"/>
    <cellStyle name="Accent6" xfId="172" builtinId="49" customBuiltin="1"/>
    <cellStyle name="Accent6 2" xfId="98"/>
    <cellStyle name="Accent6 2 2" xfId="210"/>
    <cellStyle name="Accent6 3" xfId="26"/>
    <cellStyle name="Bad" xfId="27"/>
    <cellStyle name="Bad 2" xfId="99"/>
    <cellStyle name="Berekening" xfId="146" builtinId="22" customBuiltin="1"/>
    <cellStyle name="Berekening 2" xfId="28"/>
    <cellStyle name="Berekening 2 2" xfId="217"/>
    <cellStyle name="Calculation" xfId="29"/>
    <cellStyle name="Calculation 2" xfId="100"/>
    <cellStyle name="Check Cell" xfId="30"/>
    <cellStyle name="Check Cell 2" xfId="101"/>
    <cellStyle name="Comma 2" xfId="102"/>
    <cellStyle name="Comma 3" xfId="103"/>
    <cellStyle name="Controlecel" xfId="148" builtinId="23" customBuiltin="1"/>
    <cellStyle name="Controlecel 2" xfId="31"/>
    <cellStyle name="Euro" xfId="32"/>
    <cellStyle name="Euro 2" xfId="104"/>
    <cellStyle name="Explanatory Text" xfId="33"/>
    <cellStyle name="Explanatory Text 2" xfId="105"/>
    <cellStyle name="Gekoppelde cel" xfId="147" builtinId="24" customBuiltin="1"/>
    <cellStyle name="Gekoppelde cel 2" xfId="34"/>
    <cellStyle name="Goed" xfId="141" builtinId="26" customBuiltin="1"/>
    <cellStyle name="Goed 2" xfId="35"/>
    <cellStyle name="Good" xfId="36"/>
    <cellStyle name="Good 2" xfId="106"/>
    <cellStyle name="Header" xfId="37"/>
    <cellStyle name="Heading 1" xfId="38"/>
    <cellStyle name="Heading 1 2" xfId="107"/>
    <cellStyle name="Heading 2" xfId="39"/>
    <cellStyle name="Heading 2 2" xfId="108"/>
    <cellStyle name="Heading 3" xfId="40"/>
    <cellStyle name="Heading 3 2" xfId="109"/>
    <cellStyle name="Heading 4" xfId="41"/>
    <cellStyle name="Heading 4 2" xfId="110"/>
    <cellStyle name="Input" xfId="42"/>
    <cellStyle name="Input 2" xfId="111"/>
    <cellStyle name="Invoer" xfId="144" builtinId="20" customBuiltin="1"/>
    <cellStyle name="Invoer 2" xfId="43"/>
    <cellStyle name="Invoer 2 2" xfId="215"/>
    <cellStyle name="Komma" xfId="132" builtinId="3"/>
    <cellStyle name="Komma 10 2" xfId="133"/>
    <cellStyle name="Komma 14 2" xfId="126"/>
    <cellStyle name="Komma 2" xfId="68"/>
    <cellStyle name="Komma 2 2" xfId="124"/>
    <cellStyle name="Komma 2 2 2" xfId="182"/>
    <cellStyle name="Komma 2 3" xfId="130"/>
    <cellStyle name="Komma 2 4" xfId="180"/>
    <cellStyle name="Komma 3" xfId="112"/>
    <cellStyle name="Komma 3 2" xfId="131"/>
    <cellStyle name="Komma 3 3" xfId="220"/>
    <cellStyle name="Komma 4" xfId="127"/>
    <cellStyle name="Komma 4 2" xfId="246"/>
    <cellStyle name="Komma 5" xfId="44"/>
    <cellStyle name="Komma 5 2" xfId="231"/>
    <cellStyle name="Komma 6" xfId="177"/>
    <cellStyle name="Kop 1" xfId="137" builtinId="16" customBuiltin="1"/>
    <cellStyle name="Kop 1 2" xfId="45"/>
    <cellStyle name="Kop 2" xfId="138" builtinId="17" customBuiltin="1"/>
    <cellStyle name="Kop 2 2" xfId="46"/>
    <cellStyle name="Kop 3" xfId="139" builtinId="18" customBuiltin="1"/>
    <cellStyle name="Kop 3 2" xfId="47"/>
    <cellStyle name="Kop 4" xfId="140" builtinId="19" customBuiltin="1"/>
    <cellStyle name="Kop 4 2" xfId="48"/>
    <cellStyle name="Linked Cell" xfId="49"/>
    <cellStyle name="Linked Cell 2" xfId="113"/>
    <cellStyle name="Neutraal" xfId="143" builtinId="28" customBuiltin="1"/>
    <cellStyle name="Neutraal 2" xfId="50"/>
    <cellStyle name="Neutral" xfId="51"/>
    <cellStyle name="Neutral 2" xfId="114"/>
    <cellStyle name="Normal 2" xfId="115"/>
    <cellStyle name="Normal 3" xfId="116"/>
    <cellStyle name="Normal_# klanten" xfId="52"/>
    <cellStyle name="Note" xfId="53"/>
    <cellStyle name="Note 2" xfId="117"/>
    <cellStyle name="Notitie 2" xfId="54"/>
    <cellStyle name="Notitie 2 2" xfId="211"/>
    <cellStyle name="Notitie 2 3" xfId="218"/>
    <cellStyle name="Notitie 2 4" xfId="249"/>
    <cellStyle name="Notitie 3" xfId="228"/>
    <cellStyle name="Notitie 3 2" xfId="248"/>
    <cellStyle name="Notitie 4" xfId="233"/>
    <cellStyle name="Ongeldig" xfId="142" builtinId="27" customBuiltin="1"/>
    <cellStyle name="Ongeldig 2" xfId="55"/>
    <cellStyle name="Output" xfId="56"/>
    <cellStyle name="Output 2" xfId="118"/>
    <cellStyle name="Procent" xfId="135" builtinId="5"/>
    <cellStyle name="Procent 2" xfId="70"/>
    <cellStyle name="Procent 2 2" xfId="212"/>
    <cellStyle name="Procent 3" xfId="128"/>
    <cellStyle name="Procent 3 2" xfId="221"/>
    <cellStyle name="Procent 4" xfId="57"/>
    <cellStyle name="Procent 4 2" xfId="225"/>
    <cellStyle name="Procent 5" xfId="232"/>
    <cellStyle name="Standaard" xfId="0" builtinId="0"/>
    <cellStyle name="Standaard 2" xfId="69"/>
    <cellStyle name="Standaard 2 2" xfId="72"/>
    <cellStyle name="Standaard 2 2 2" xfId="184"/>
    <cellStyle name="Standaard 2 2 3" xfId="252"/>
    <cellStyle name="Standaard 2 3" xfId="123"/>
    <cellStyle name="Standaard 2 3 2" xfId="227"/>
    <cellStyle name="Standaard 2 4" xfId="178"/>
    <cellStyle name="Standaard 2 4 2" xfId="230"/>
    <cellStyle name="Standaard 3" xfId="71"/>
    <cellStyle name="Standaard 3 2" xfId="223"/>
    <cellStyle name="Standaard 3 3" xfId="224"/>
    <cellStyle name="Standaard 3 4" xfId="181"/>
    <cellStyle name="Standaard 4" xfId="73"/>
    <cellStyle name="Standaard 4 2" xfId="222"/>
    <cellStyle name="Standaard 4 3" xfId="213"/>
    <cellStyle name="Standaard 5" xfId="125"/>
    <cellStyle name="Standaard 5 2" xfId="219"/>
    <cellStyle name="Standaard 6" xfId="1"/>
    <cellStyle name="Standaard 6 2" xfId="134"/>
    <cellStyle name="Standaard 6 2 2" xfId="247"/>
    <cellStyle name="Standaard 6 3" xfId="226"/>
    <cellStyle name="Standaard 7" xfId="229"/>
    <cellStyle name="Titel" xfId="136" builtinId="15" customBuiltin="1"/>
    <cellStyle name="Titel 2" xfId="58"/>
    <cellStyle name="Title" xfId="59"/>
    <cellStyle name="Title 2" xfId="119"/>
    <cellStyle name="Totaal" xfId="151" builtinId="25" customBuiltin="1"/>
    <cellStyle name="Totaal 2" xfId="60"/>
    <cellStyle name="Totaal 2 2" xfId="216"/>
    <cellStyle name="Totaal 2 3" xfId="250"/>
    <cellStyle name="Total" xfId="61"/>
    <cellStyle name="Total 2" xfId="120"/>
    <cellStyle name="Uitvoer" xfId="145" builtinId="21" customBuiltin="1"/>
    <cellStyle name="Uitvoer 2" xfId="62"/>
    <cellStyle name="Uitvoer 2 2" xfId="214"/>
    <cellStyle name="Uitvoer 2 3" xfId="251"/>
    <cellStyle name="Valuta 2" xfId="183"/>
    <cellStyle name="Verklarende tekst" xfId="150" builtinId="53" customBuiltin="1"/>
    <cellStyle name="Verklarende tekst 2" xfId="63"/>
    <cellStyle name="Waarschuwingstekst" xfId="149" builtinId="11" customBuiltin="1"/>
    <cellStyle name="Waarschuwingstekst 2" xfId="64"/>
    <cellStyle name="Warning Text" xfId="65"/>
    <cellStyle name="Warning Text 2" xfId="121"/>
    <cellStyle name="WIt" xfId="122"/>
  </cellStyles>
  <dxfs count="0"/>
  <tableStyles count="0" defaultTableStyle="TableStyleMedium2" defaultPivotStyle="PivotStyleMedium9"/>
  <colors>
    <mruColors>
      <color rgb="FFFFCCFF"/>
      <color rgb="FFFF00FF"/>
      <color rgb="FFFFFFCC"/>
      <color rgb="FFFFCC99"/>
      <color rgb="FFCCFFCC"/>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10646</xdr:colOff>
      <xdr:row>20</xdr:row>
      <xdr:rowOff>15206</xdr:rowOff>
    </xdr:from>
    <xdr:to>
      <xdr:col>3</xdr:col>
      <xdr:colOff>637055</xdr:colOff>
      <xdr:row>24</xdr:row>
      <xdr:rowOff>18030</xdr:rowOff>
    </xdr:to>
    <xdr:sp macro="" textlink="">
      <xdr:nvSpPr>
        <xdr:cNvPr id="11" name="Rechthoek 10"/>
        <xdr:cNvSpPr/>
      </xdr:nvSpPr>
      <xdr:spPr>
        <a:xfrm>
          <a:off x="19213046" y="7549481"/>
          <a:ext cx="1998009" cy="726724"/>
        </a:xfrm>
        <a:prstGeom prst="rect">
          <a:avLst/>
        </a:prstGeom>
        <a:solidFill>
          <a:srgbClr val="007FA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nl-NL" sz="1200" b="1">
              <a:solidFill>
                <a:schemeClr val="bg2"/>
              </a:solidFill>
              <a:latin typeface="Arial" panose="020B0604020202020204" pitchFamily="34" charset="0"/>
              <a:ea typeface="+mn-ea"/>
              <a:cs typeface="Arial" panose="020B0604020202020204" pitchFamily="34" charset="0"/>
            </a:rPr>
            <a:t>Investeringen</a:t>
          </a:r>
        </a:p>
      </xdr:txBody>
    </xdr:sp>
    <xdr:clientData/>
  </xdr:twoCellAnchor>
  <xdr:twoCellAnchor>
    <xdr:from>
      <xdr:col>13</xdr:col>
      <xdr:colOff>682920</xdr:colOff>
      <xdr:row>23</xdr:row>
      <xdr:rowOff>23370</xdr:rowOff>
    </xdr:from>
    <xdr:to>
      <xdr:col>16</xdr:col>
      <xdr:colOff>612244</xdr:colOff>
      <xdr:row>27</xdr:row>
      <xdr:rowOff>26193</xdr:rowOff>
    </xdr:to>
    <xdr:sp macro="" textlink="">
      <xdr:nvSpPr>
        <xdr:cNvPr id="12" name="Rechthoek 11"/>
        <xdr:cNvSpPr/>
      </xdr:nvSpPr>
      <xdr:spPr>
        <a:xfrm>
          <a:off x="28114920" y="8100570"/>
          <a:ext cx="1986724" cy="726723"/>
        </a:xfrm>
        <a:prstGeom prst="rect">
          <a:avLst/>
        </a:prstGeom>
        <a:solidFill>
          <a:srgbClr val="007FA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nl-NL" sz="1200" b="1">
              <a:solidFill>
                <a:schemeClr val="bg2"/>
              </a:solidFill>
              <a:latin typeface="Arial" panose="020B0604020202020204" pitchFamily="34" charset="0"/>
              <a:ea typeface="+mn-ea"/>
              <a:cs typeface="Arial" panose="020B0604020202020204" pitchFamily="34" charset="0"/>
            </a:rPr>
            <a:t>X-factor</a:t>
          </a:r>
        </a:p>
      </xdr:txBody>
    </xdr:sp>
    <xdr:clientData/>
  </xdr:twoCellAnchor>
  <xdr:twoCellAnchor>
    <xdr:from>
      <xdr:col>9</xdr:col>
      <xdr:colOff>18249</xdr:colOff>
      <xdr:row>19</xdr:row>
      <xdr:rowOff>176093</xdr:rowOff>
    </xdr:from>
    <xdr:to>
      <xdr:col>11</xdr:col>
      <xdr:colOff>631132</xdr:colOff>
      <xdr:row>23</xdr:row>
      <xdr:rowOff>178917</xdr:rowOff>
    </xdr:to>
    <xdr:sp macro="" textlink="">
      <xdr:nvSpPr>
        <xdr:cNvPr id="13" name="Rechthoek 12"/>
        <xdr:cNvSpPr/>
      </xdr:nvSpPr>
      <xdr:spPr>
        <a:xfrm>
          <a:off x="24707049" y="7529393"/>
          <a:ext cx="1984483" cy="726724"/>
        </a:xfrm>
        <a:prstGeom prst="rect">
          <a:avLst/>
        </a:prstGeom>
        <a:solidFill>
          <a:srgbClr val="E5007D"/>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nl-NL" sz="1400" b="1">
              <a:solidFill>
                <a:schemeClr val="bg2"/>
              </a:solidFill>
              <a:latin typeface="Arial" panose="020B0604020202020204" pitchFamily="34" charset="0"/>
              <a:ea typeface="+mn-ea"/>
              <a:cs typeface="Arial" panose="020B0604020202020204" pitchFamily="34" charset="0"/>
            </a:rPr>
            <a:t>Kosten</a:t>
          </a:r>
        </a:p>
        <a:p>
          <a:pPr marL="0" indent="0" algn="ctr"/>
          <a:r>
            <a:rPr lang="nl-NL" sz="1000" b="1">
              <a:solidFill>
                <a:schemeClr val="bg2"/>
              </a:solidFill>
              <a:latin typeface="Arial" panose="020B0604020202020204" pitchFamily="34" charset="0"/>
              <a:ea typeface="+mn-ea"/>
              <a:cs typeface="Arial" panose="020B0604020202020204" pitchFamily="34" charset="0"/>
            </a:rPr>
            <a:t>(dit bestand)</a:t>
          </a:r>
        </a:p>
      </xdr:txBody>
    </xdr:sp>
    <xdr:clientData/>
  </xdr:twoCellAnchor>
  <xdr:twoCellAnchor>
    <xdr:from>
      <xdr:col>9</xdr:col>
      <xdr:colOff>9447</xdr:colOff>
      <xdr:row>25</xdr:row>
      <xdr:rowOff>13289</xdr:rowOff>
    </xdr:from>
    <xdr:to>
      <xdr:col>11</xdr:col>
      <xdr:colOff>622330</xdr:colOff>
      <xdr:row>29</xdr:row>
      <xdr:rowOff>16113</xdr:rowOff>
    </xdr:to>
    <xdr:sp macro="" textlink="">
      <xdr:nvSpPr>
        <xdr:cNvPr id="14" name="Rechthoek 13"/>
        <xdr:cNvSpPr/>
      </xdr:nvSpPr>
      <xdr:spPr>
        <a:xfrm>
          <a:off x="24698247" y="8452439"/>
          <a:ext cx="1984483" cy="726724"/>
        </a:xfrm>
        <a:prstGeom prst="rect">
          <a:avLst/>
        </a:prstGeom>
        <a:solidFill>
          <a:srgbClr val="007FA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nl-NL" sz="1200" b="1">
              <a:solidFill>
                <a:schemeClr val="bg2"/>
              </a:solidFill>
              <a:latin typeface="Arial" panose="020B0604020202020204" pitchFamily="34" charset="0"/>
              <a:ea typeface="+mn-ea"/>
              <a:cs typeface="Arial" panose="020B0604020202020204" pitchFamily="34" charset="0"/>
            </a:rPr>
            <a:t>SO</a:t>
          </a:r>
          <a:endParaRPr lang="nl-NL" sz="1400" b="1">
            <a:solidFill>
              <a:schemeClr val="bg2"/>
            </a:solidFill>
            <a:latin typeface="Arial" panose="020B0604020202020204" pitchFamily="34" charset="0"/>
            <a:ea typeface="+mn-ea"/>
            <a:cs typeface="Arial" panose="020B0604020202020204" pitchFamily="34" charset="0"/>
          </a:endParaRPr>
        </a:p>
      </xdr:txBody>
    </xdr:sp>
    <xdr:clientData/>
  </xdr:twoCellAnchor>
  <xdr:twoCellAnchor>
    <xdr:from>
      <xdr:col>5</xdr:col>
      <xdr:colOff>7845</xdr:colOff>
      <xdr:row>20</xdr:row>
      <xdr:rowOff>7363</xdr:rowOff>
    </xdr:from>
    <xdr:to>
      <xdr:col>7</xdr:col>
      <xdr:colOff>620727</xdr:colOff>
      <xdr:row>24</xdr:row>
      <xdr:rowOff>10187</xdr:rowOff>
    </xdr:to>
    <xdr:sp macro="" textlink="">
      <xdr:nvSpPr>
        <xdr:cNvPr id="15" name="Rechthoek 14"/>
        <xdr:cNvSpPr/>
      </xdr:nvSpPr>
      <xdr:spPr>
        <a:xfrm>
          <a:off x="21953445" y="7541638"/>
          <a:ext cx="1984482" cy="726724"/>
        </a:xfrm>
        <a:prstGeom prst="rect">
          <a:avLst/>
        </a:prstGeom>
        <a:solidFill>
          <a:srgbClr val="007FA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nl-NL" sz="1200" b="1">
              <a:solidFill>
                <a:schemeClr val="bg2"/>
              </a:solidFill>
              <a:latin typeface="Arial" panose="020B0604020202020204" pitchFamily="34" charset="0"/>
              <a:ea typeface="+mn-ea"/>
              <a:cs typeface="Arial" panose="020B0604020202020204" pitchFamily="34" charset="0"/>
            </a:rPr>
            <a:t>GAW sheet</a:t>
          </a:r>
        </a:p>
      </xdr:txBody>
    </xdr:sp>
    <xdr:clientData/>
  </xdr:twoCellAnchor>
  <xdr:twoCellAnchor>
    <xdr:from>
      <xdr:col>11</xdr:col>
      <xdr:colOff>633537</xdr:colOff>
      <xdr:row>25</xdr:row>
      <xdr:rowOff>78441</xdr:rowOff>
    </xdr:from>
    <xdr:to>
      <xdr:col>14</xdr:col>
      <xdr:colOff>44823</xdr:colOff>
      <xdr:row>27</xdr:row>
      <xdr:rowOff>93143</xdr:rowOff>
    </xdr:to>
    <xdr:cxnSp macro="">
      <xdr:nvCxnSpPr>
        <xdr:cNvPr id="16" name="Rechte verbindingslijn met pijl 15"/>
        <xdr:cNvCxnSpPr/>
      </xdr:nvCxnSpPr>
      <xdr:spPr>
        <a:xfrm flipV="1">
          <a:off x="26693937" y="8517591"/>
          <a:ext cx="1468686" cy="376652"/>
        </a:xfrm>
        <a:prstGeom prst="straightConnector1">
          <a:avLst/>
        </a:prstGeom>
        <a:ln w="19050">
          <a:solidFill>
            <a:srgbClr val="5F1F7A"/>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637055</xdr:colOff>
      <xdr:row>22</xdr:row>
      <xdr:rowOff>8775</xdr:rowOff>
    </xdr:from>
    <xdr:to>
      <xdr:col>5</xdr:col>
      <xdr:colOff>7845</xdr:colOff>
      <xdr:row>22</xdr:row>
      <xdr:rowOff>8775</xdr:rowOff>
    </xdr:to>
    <xdr:cxnSp macro="">
      <xdr:nvCxnSpPr>
        <xdr:cNvPr id="17" name="Rechte verbindingslijn met pijl 16"/>
        <xdr:cNvCxnSpPr/>
      </xdr:nvCxnSpPr>
      <xdr:spPr>
        <a:xfrm flipV="1">
          <a:off x="21211055" y="7905000"/>
          <a:ext cx="742390" cy="0"/>
        </a:xfrm>
        <a:prstGeom prst="straightConnector1">
          <a:avLst/>
        </a:prstGeom>
        <a:ln w="19050">
          <a:solidFill>
            <a:srgbClr val="5F1F7A"/>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631132</xdr:colOff>
      <xdr:row>21</xdr:row>
      <xdr:rowOff>87858</xdr:rowOff>
    </xdr:from>
    <xdr:to>
      <xdr:col>14</xdr:col>
      <xdr:colOff>22412</xdr:colOff>
      <xdr:row>24</xdr:row>
      <xdr:rowOff>56030</xdr:rowOff>
    </xdr:to>
    <xdr:cxnSp macro="">
      <xdr:nvCxnSpPr>
        <xdr:cNvPr id="18" name="Rechte verbindingslijn met pijl 17"/>
        <xdr:cNvCxnSpPr/>
      </xdr:nvCxnSpPr>
      <xdr:spPr>
        <a:xfrm>
          <a:off x="26691532" y="7803108"/>
          <a:ext cx="1448680" cy="511097"/>
        </a:xfrm>
        <a:prstGeom prst="straightConnector1">
          <a:avLst/>
        </a:prstGeom>
        <a:ln w="19050">
          <a:solidFill>
            <a:srgbClr val="5F1F7A"/>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620727</xdr:colOff>
      <xdr:row>21</xdr:row>
      <xdr:rowOff>177505</xdr:rowOff>
    </xdr:from>
    <xdr:to>
      <xdr:col>9</xdr:col>
      <xdr:colOff>18249</xdr:colOff>
      <xdr:row>21</xdr:row>
      <xdr:rowOff>177505</xdr:rowOff>
    </xdr:to>
    <xdr:cxnSp macro="">
      <xdr:nvCxnSpPr>
        <xdr:cNvPr id="19" name="Rechte verbindingslijn met pijl 18"/>
        <xdr:cNvCxnSpPr>
          <a:stCxn id="15" idx="3"/>
          <a:endCxn id="13" idx="1"/>
        </xdr:cNvCxnSpPr>
      </xdr:nvCxnSpPr>
      <xdr:spPr>
        <a:xfrm flipV="1">
          <a:off x="23937927" y="7892755"/>
          <a:ext cx="769122" cy="0"/>
        </a:xfrm>
        <a:prstGeom prst="straightConnector1">
          <a:avLst/>
        </a:prstGeom>
        <a:ln w="19050">
          <a:solidFill>
            <a:srgbClr val="5F1F7A"/>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11206</xdr:colOff>
      <xdr:row>17</xdr:row>
      <xdr:rowOff>0</xdr:rowOff>
    </xdr:from>
    <xdr:to>
      <xdr:col>16</xdr:col>
      <xdr:colOff>624089</xdr:colOff>
      <xdr:row>20</xdr:row>
      <xdr:rowOff>70620</xdr:rowOff>
    </xdr:to>
    <xdr:sp macro="" textlink="">
      <xdr:nvSpPr>
        <xdr:cNvPr id="29" name="Stroomdiagram: Proces 28"/>
        <xdr:cNvSpPr/>
      </xdr:nvSpPr>
      <xdr:spPr>
        <a:xfrm>
          <a:off x="28129006" y="6866406"/>
          <a:ext cx="1984483" cy="738489"/>
        </a:xfrm>
        <a:prstGeom prst="flowChartProcess">
          <a:avLst/>
        </a:prstGeom>
        <a:solidFill>
          <a:srgbClr val="007FA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nl-NL" sz="1400" b="1">
              <a:solidFill>
                <a:schemeClr val="bg2"/>
              </a:solidFill>
              <a:latin typeface="Arial" panose="020B0604020202020204" pitchFamily="34" charset="0"/>
              <a:ea typeface="+mn-ea"/>
              <a:cs typeface="Arial" panose="020B0604020202020204" pitchFamily="34" charset="0"/>
            </a:rPr>
            <a:t>Q-factor</a:t>
          </a:r>
        </a:p>
      </xdr:txBody>
    </xdr:sp>
    <xdr:clientData/>
  </xdr:twoCellAnchor>
  <xdr:twoCellAnchor>
    <xdr:from>
      <xdr:col>15</xdr:col>
      <xdr:colOff>305802</xdr:colOff>
      <xdr:row>20</xdr:row>
      <xdr:rowOff>70620</xdr:rowOff>
    </xdr:from>
    <xdr:to>
      <xdr:col>15</xdr:col>
      <xdr:colOff>317647</xdr:colOff>
      <xdr:row>23</xdr:row>
      <xdr:rowOff>23370</xdr:rowOff>
    </xdr:to>
    <xdr:cxnSp macro="">
      <xdr:nvCxnSpPr>
        <xdr:cNvPr id="30" name="Rechte verbindingslijn met pijl 29"/>
        <xdr:cNvCxnSpPr>
          <a:stCxn id="29" idx="2"/>
          <a:endCxn id="12" idx="0"/>
        </xdr:cNvCxnSpPr>
      </xdr:nvCxnSpPr>
      <xdr:spPr>
        <a:xfrm flipH="1">
          <a:off x="29109402" y="7604895"/>
          <a:ext cx="11845" cy="495675"/>
        </a:xfrm>
        <a:prstGeom prst="straightConnector1">
          <a:avLst/>
        </a:prstGeom>
        <a:ln w="19050">
          <a:solidFill>
            <a:srgbClr val="5F1F7A"/>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B1:R46"/>
  <sheetViews>
    <sheetView showGridLines="0" tabSelected="1" zoomScale="85" zoomScaleNormal="85" workbookViewId="0"/>
  </sheetViews>
  <sheetFormatPr defaultRowHeight="14.25"/>
  <cols>
    <col min="1" max="1" width="3.42578125" style="114" customWidth="1"/>
    <col min="2" max="16384" width="9.140625" style="114"/>
  </cols>
  <sheetData>
    <row r="1" spans="2:18">
      <c r="B1" s="3" t="s">
        <v>350</v>
      </c>
    </row>
    <row r="3" spans="2:18" s="20" customFormat="1" ht="18" customHeight="1">
      <c r="B3" s="19" t="s">
        <v>155</v>
      </c>
    </row>
    <row r="4" spans="2:18">
      <c r="B4" s="3"/>
    </row>
    <row r="5" spans="2:18">
      <c r="B5" s="3" t="s">
        <v>300</v>
      </c>
    </row>
    <row r="6" spans="2:18">
      <c r="B6" s="111" t="s">
        <v>324</v>
      </c>
    </row>
    <row r="7" spans="2:18">
      <c r="B7" s="22" t="s">
        <v>349</v>
      </c>
    </row>
    <row r="8" spans="2:18">
      <c r="B8" s="22"/>
    </row>
    <row r="9" spans="2:18">
      <c r="B9" s="22" t="s">
        <v>355</v>
      </c>
    </row>
    <row r="10" spans="2:18">
      <c r="B10" s="22" t="s">
        <v>354</v>
      </c>
    </row>
    <row r="11" spans="2:18">
      <c r="B11" s="22" t="s">
        <v>351</v>
      </c>
    </row>
    <row r="12" spans="2:18">
      <c r="B12" s="142" t="s">
        <v>352</v>
      </c>
    </row>
    <row r="13" spans="2:18">
      <c r="B13" s="142" t="s">
        <v>353</v>
      </c>
    </row>
    <row r="14" spans="2:18">
      <c r="B14" s="22" t="s">
        <v>356</v>
      </c>
    </row>
    <row r="15" spans="2:18">
      <c r="B15" s="113"/>
      <c r="C15" s="113"/>
      <c r="D15" s="113"/>
      <c r="E15" s="113"/>
      <c r="F15" s="113"/>
      <c r="G15" s="113"/>
      <c r="H15" s="113"/>
      <c r="I15" s="113"/>
      <c r="J15" s="113"/>
      <c r="K15" s="113"/>
      <c r="L15" s="113"/>
      <c r="M15" s="113"/>
      <c r="N15" s="113"/>
      <c r="O15" s="113"/>
      <c r="P15" s="113"/>
      <c r="Q15" s="112"/>
      <c r="R15" s="112"/>
    </row>
    <row r="16" spans="2:18" s="115" customFormat="1" ht="15">
      <c r="B16" s="115" t="s">
        <v>156</v>
      </c>
    </row>
    <row r="28" spans="2:3">
      <c r="B28" s="3" t="s">
        <v>325</v>
      </c>
      <c r="C28" s="3" t="s">
        <v>326</v>
      </c>
    </row>
    <row r="29" spans="2:3">
      <c r="B29" s="3" t="s">
        <v>327</v>
      </c>
      <c r="C29" s="3" t="s">
        <v>328</v>
      </c>
    </row>
    <row r="31" spans="2:3" s="115" customFormat="1" ht="15">
      <c r="B31" s="115" t="s">
        <v>157</v>
      </c>
    </row>
    <row r="33" spans="2:3">
      <c r="B33" s="116"/>
      <c r="C33" s="114" t="s">
        <v>158</v>
      </c>
    </row>
    <row r="34" spans="2:3">
      <c r="B34" s="117"/>
      <c r="C34" s="114" t="s">
        <v>159</v>
      </c>
    </row>
    <row r="35" spans="2:3">
      <c r="B35" s="118"/>
      <c r="C35" s="114" t="s">
        <v>160</v>
      </c>
    </row>
    <row r="36" spans="2:3">
      <c r="B36" s="119"/>
      <c r="C36" s="114" t="s">
        <v>161</v>
      </c>
    </row>
    <row r="37" spans="2:3">
      <c r="B37" s="120"/>
      <c r="C37" s="114" t="s">
        <v>162</v>
      </c>
    </row>
    <row r="38" spans="2:3">
      <c r="B38" s="121"/>
      <c r="C38" s="114" t="s">
        <v>163</v>
      </c>
    </row>
    <row r="39" spans="2:3">
      <c r="B39" s="122"/>
      <c r="C39" s="114" t="s">
        <v>164</v>
      </c>
    </row>
    <row r="40" spans="2:3">
      <c r="B40" s="123"/>
      <c r="C40" s="114" t="s">
        <v>165</v>
      </c>
    </row>
    <row r="41" spans="2:3" ht="15">
      <c r="B41" s="124"/>
      <c r="C41" s="114" t="s">
        <v>329</v>
      </c>
    </row>
    <row r="42" spans="2:3">
      <c r="B42" s="125" t="s">
        <v>166</v>
      </c>
      <c r="C42" s="114" t="s">
        <v>167</v>
      </c>
    </row>
    <row r="46" spans="2:3">
      <c r="B46" s="126" t="s">
        <v>168</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7">
    <tabColor rgb="FFCCFFFF"/>
  </sheetPr>
  <dimension ref="A1:T79"/>
  <sheetViews>
    <sheetView showGridLines="0" zoomScale="85" zoomScaleNormal="85" workbookViewId="0">
      <pane xSplit="5" ySplit="6" topLeftCell="F7" activePane="bottomRight" state="frozen"/>
      <selection pane="topRight" activeCell="F1" sqref="F1"/>
      <selection pane="bottomLeft" activeCell="A7" sqref="A7"/>
      <selection pane="bottomRight" activeCell="F7" sqref="F7"/>
    </sheetView>
  </sheetViews>
  <sheetFormatPr defaultRowHeight="12.75"/>
  <cols>
    <col min="1" max="1" width="2.140625" style="3" customWidth="1"/>
    <col min="2" max="2" width="33.85546875" style="3" customWidth="1"/>
    <col min="3" max="3" width="2.85546875" style="3" customWidth="1"/>
    <col min="4" max="4" width="33.28515625" style="3" customWidth="1"/>
    <col min="5" max="6" width="3" style="3" customWidth="1"/>
    <col min="7" max="7" width="11.28515625" style="3" hidden="1" customWidth="1"/>
    <col min="8" max="8" width="13.42578125" style="3" customWidth="1"/>
    <col min="9" max="9" width="5.5703125" style="3" customWidth="1"/>
    <col min="10" max="10" width="17" style="3" customWidth="1"/>
    <col min="11" max="11" width="3.7109375" style="3" customWidth="1"/>
    <col min="12" max="19" width="14.140625" style="3" customWidth="1"/>
    <col min="20" max="16384" width="9.140625" style="3"/>
  </cols>
  <sheetData>
    <row r="1" spans="1:20">
      <c r="B1" s="3" t="s">
        <v>350</v>
      </c>
    </row>
    <row r="2" spans="1:20" s="1" customFormat="1" ht="18" customHeight="1">
      <c r="B2" s="2" t="s">
        <v>128</v>
      </c>
    </row>
    <row r="4" spans="1:20">
      <c r="A4" s="87"/>
      <c r="B4" s="3" t="s">
        <v>347</v>
      </c>
      <c r="J4" s="13"/>
      <c r="K4" s="13"/>
      <c r="L4" s="13"/>
      <c r="M4" s="13"/>
      <c r="N4" s="13"/>
      <c r="O4" s="13"/>
    </row>
    <row r="5" spans="1:20">
      <c r="B5" s="3" t="s">
        <v>348</v>
      </c>
    </row>
    <row r="6" spans="1:20" s="4" customFormat="1">
      <c r="D6" s="4" t="s">
        <v>177</v>
      </c>
      <c r="H6" s="4" t="s">
        <v>0</v>
      </c>
      <c r="J6" s="4" t="s">
        <v>1</v>
      </c>
      <c r="L6" s="4" t="s">
        <v>357</v>
      </c>
      <c r="M6" s="4" t="s">
        <v>59</v>
      </c>
      <c r="N6" s="4" t="s">
        <v>2</v>
      </c>
      <c r="O6" s="4" t="s">
        <v>3</v>
      </c>
      <c r="P6" s="4" t="s">
        <v>4</v>
      </c>
      <c r="Q6" s="4" t="s">
        <v>5</v>
      </c>
      <c r="R6" s="4" t="s">
        <v>6</v>
      </c>
      <c r="T6" s="4" t="s">
        <v>255</v>
      </c>
    </row>
    <row r="8" spans="1:20" s="4" customFormat="1">
      <c r="B8" s="4" t="s">
        <v>78</v>
      </c>
    </row>
    <row r="9" spans="1:20" s="23" customFormat="1"/>
    <row r="10" spans="1:20">
      <c r="A10" s="87"/>
      <c r="B10" s="8" t="s">
        <v>262</v>
      </c>
      <c r="T10" s="79" t="s">
        <v>274</v>
      </c>
    </row>
    <row r="11" spans="1:20">
      <c r="A11" s="87"/>
      <c r="B11" s="25" t="s">
        <v>129</v>
      </c>
      <c r="D11" s="25" t="s">
        <v>130</v>
      </c>
      <c r="H11" s="3" t="s">
        <v>25</v>
      </c>
      <c r="J11" s="9">
        <f>SUM(L11:R11)</f>
        <v>1057381092.3412584</v>
      </c>
      <c r="L11" s="93">
        <f>'Berekening netto-OPEX'!L110</f>
        <v>5403400.9647106221</v>
      </c>
      <c r="M11" s="93">
        <f>'Berekening netto-OPEX'!M110</f>
        <v>30578044.634690627</v>
      </c>
      <c r="N11" s="93">
        <f>'Berekening netto-OPEX'!N110</f>
        <v>300053384.7752946</v>
      </c>
      <c r="O11" s="93">
        <f>'Berekening netto-OPEX'!O110</f>
        <v>459118171.95060599</v>
      </c>
      <c r="P11" s="93">
        <f>'Berekening netto-OPEX'!P110</f>
        <v>2863429.4991613715</v>
      </c>
      <c r="Q11" s="93">
        <f>'Berekening netto-OPEX'!Q110</f>
        <v>245086595.24659801</v>
      </c>
      <c r="R11" s="93">
        <f>'Berekening netto-OPEX'!R110</f>
        <v>14278065.270197157</v>
      </c>
    </row>
    <row r="12" spans="1:20">
      <c r="A12" s="87"/>
      <c r="B12" s="25" t="s">
        <v>133</v>
      </c>
      <c r="D12" s="26" t="s">
        <v>134</v>
      </c>
      <c r="H12" s="3" t="s">
        <v>25</v>
      </c>
      <c r="J12" s="9">
        <f>SUM(L12:R12)</f>
        <v>1143773194.2309031</v>
      </c>
      <c r="K12" s="16"/>
      <c r="L12" s="93">
        <f>'Berekening Kapitaalkosten'!L74</f>
        <v>6386286.051110208</v>
      </c>
      <c r="M12" s="93">
        <f>'Berekening Kapitaalkosten'!M74</f>
        <v>29699423.50979428</v>
      </c>
      <c r="N12" s="93">
        <f>'Berekening Kapitaalkosten'!N74</f>
        <v>403654784.61817074</v>
      </c>
      <c r="O12" s="93">
        <f>'Berekening Kapitaalkosten'!O74</f>
        <v>366262817.80209035</v>
      </c>
      <c r="P12" s="93">
        <f>'Berekening Kapitaalkosten'!P74</f>
        <v>4792173.9650580287</v>
      </c>
      <c r="Q12" s="93">
        <f>'Berekening Kapitaalkosten'!Q74</f>
        <v>309300960.80024475</v>
      </c>
      <c r="R12" s="93">
        <f>'Berekening Kapitaalkosten'!R74</f>
        <v>23676747.48443472</v>
      </c>
      <c r="T12" s="3" t="s">
        <v>303</v>
      </c>
    </row>
    <row r="13" spans="1:20">
      <c r="A13" s="87"/>
      <c r="J13" s="83"/>
    </row>
    <row r="14" spans="1:20">
      <c r="A14" s="87"/>
      <c r="B14" s="25" t="s">
        <v>202</v>
      </c>
      <c r="D14" s="26"/>
      <c r="H14" s="3" t="s">
        <v>25</v>
      </c>
      <c r="J14" s="93">
        <f>'Besparingen Marktmodel'!K30</f>
        <v>19915034.972114258</v>
      </c>
    </row>
    <row r="15" spans="1:20">
      <c r="A15" s="87"/>
    </row>
    <row r="16" spans="1:20">
      <c r="A16" s="87"/>
      <c r="L16" s="13"/>
    </row>
    <row r="17" spans="1:20" s="4" customFormat="1">
      <c r="B17" s="4" t="s">
        <v>79</v>
      </c>
    </row>
    <row r="18" spans="1:20" s="23" customFormat="1"/>
    <row r="19" spans="1:20" s="23" customFormat="1">
      <c r="B19" s="38" t="s">
        <v>200</v>
      </c>
      <c r="N19" s="46"/>
      <c r="T19" s="80" t="s">
        <v>273</v>
      </c>
    </row>
    <row r="20" spans="1:20">
      <c r="A20" s="87"/>
      <c r="B20" s="25" t="s">
        <v>196</v>
      </c>
      <c r="D20" s="25" t="s">
        <v>130</v>
      </c>
      <c r="H20" s="3" t="s">
        <v>28</v>
      </c>
      <c r="J20" s="9">
        <f>SUM(L20:R20)</f>
        <v>1034333329.8031039</v>
      </c>
      <c r="L20" s="93">
        <f>'Berekening netto-OPEX'!L215</f>
        <v>5628636.2748313686</v>
      </c>
      <c r="M20" s="93">
        <f>'Berekening netto-OPEX'!M215</f>
        <v>29497000.733443245</v>
      </c>
      <c r="N20" s="93">
        <f>'Berekening netto-OPEX'!N215</f>
        <v>284604327.52079904</v>
      </c>
      <c r="O20" s="93">
        <f>'Berekening netto-OPEX'!O215</f>
        <v>444083050.28319532</v>
      </c>
      <c r="P20" s="93">
        <f>'Berekening netto-OPEX'!P215</f>
        <v>2807603.7800000003</v>
      </c>
      <c r="Q20" s="93">
        <f>'Berekening netto-OPEX'!Q215</f>
        <v>254285489.3382417</v>
      </c>
      <c r="R20" s="93">
        <f>'Berekening netto-OPEX'!R215</f>
        <v>13427221.87259323</v>
      </c>
      <c r="S20" s="83"/>
    </row>
    <row r="21" spans="1:20">
      <c r="A21" s="87"/>
      <c r="B21" s="25" t="s">
        <v>141</v>
      </c>
      <c r="H21" s="3" t="s">
        <v>28</v>
      </c>
      <c r="J21" s="9">
        <f>SUM(L21:R21)</f>
        <v>374209921.39598978</v>
      </c>
      <c r="L21" s="93">
        <f>'Berekening netto-OPEX'!L216</f>
        <v>3296524.649999999</v>
      </c>
      <c r="M21" s="93">
        <f>'Berekening netto-OPEX'!M216</f>
        <v>8215832.6700000409</v>
      </c>
      <c r="N21" s="93">
        <f>'Berekening netto-OPEX'!N216</f>
        <v>140687234.04887578</v>
      </c>
      <c r="O21" s="93">
        <f>'Berekening netto-OPEX'!O216</f>
        <v>128895445.00927062</v>
      </c>
      <c r="P21" s="93">
        <f>'Berekening netto-OPEX'!P216</f>
        <v>2088919.51</v>
      </c>
      <c r="Q21" s="93">
        <f>'Berekening netto-OPEX'!Q216</f>
        <v>82937171.410332486</v>
      </c>
      <c r="R21" s="93">
        <f>'Berekening netto-OPEX'!R216</f>
        <v>8088794.0975107905</v>
      </c>
      <c r="S21" s="83"/>
    </row>
    <row r="22" spans="1:20">
      <c r="A22" s="87"/>
      <c r="B22" s="25" t="s">
        <v>142</v>
      </c>
      <c r="D22" s="26" t="s">
        <v>131</v>
      </c>
      <c r="H22" s="3" t="s">
        <v>28</v>
      </c>
      <c r="J22" s="9">
        <f>SUM(L22:R22)</f>
        <v>60120215.514494687</v>
      </c>
      <c r="L22" s="93">
        <f>'Berekening ORV Lokale Heffingen'!L20</f>
        <v>551.77859999985515</v>
      </c>
      <c r="M22" s="93">
        <f>'Berekening ORV Lokale Heffingen'!M20</f>
        <v>991640</v>
      </c>
      <c r="N22" s="93">
        <f>'Berekening ORV Lokale Heffingen'!N20</f>
        <v>1480866.7443985795</v>
      </c>
      <c r="O22" s="93">
        <f>'Berekening ORV Lokale Heffingen'!O20</f>
        <v>41444801.299999997</v>
      </c>
      <c r="P22" s="93">
        <f>'Berekening ORV Lokale Heffingen'!P20</f>
        <v>825805.45149611123</v>
      </c>
      <c r="Q22" s="93">
        <f>'Berekening ORV Lokale Heffingen'!Q20</f>
        <v>15344818.800000001</v>
      </c>
      <c r="R22" s="93">
        <f>'Berekening ORV Lokale Heffingen'!R20</f>
        <v>31731.439999999999</v>
      </c>
    </row>
    <row r="23" spans="1:20">
      <c r="A23" s="87"/>
      <c r="B23" s="25" t="s">
        <v>142</v>
      </c>
      <c r="D23" s="26" t="s">
        <v>132</v>
      </c>
      <c r="H23" s="3" t="s">
        <v>28</v>
      </c>
      <c r="J23" s="9">
        <f>SUM(L23:R23)</f>
        <v>60069655.997056141</v>
      </c>
      <c r="L23" s="93">
        <f>'Berekening ORV Lokale Heffingen'!L21</f>
        <v>551.77859999990335</v>
      </c>
      <c r="M23" s="93">
        <f>'Berekening ORV Lokale Heffingen'!M21</f>
        <v>991640</v>
      </c>
      <c r="N23" s="93">
        <f>'Berekening ORV Lokale Heffingen'!N21</f>
        <v>1480866.7443985795</v>
      </c>
      <c r="O23" s="93">
        <f>'Berekening ORV Lokale Heffingen'!O21</f>
        <v>41444801.299999997</v>
      </c>
      <c r="P23" s="93">
        <f>'Berekening ORV Lokale Heffingen'!P21</f>
        <v>775245.9340575739</v>
      </c>
      <c r="Q23" s="93">
        <f>'Berekening ORV Lokale Heffingen'!Q21</f>
        <v>15344818.800000001</v>
      </c>
      <c r="R23" s="93">
        <f>'Berekening ORV Lokale Heffingen'!R21</f>
        <v>31731.439999999999</v>
      </c>
    </row>
    <row r="24" spans="1:20">
      <c r="A24" s="87"/>
      <c r="J24" s="15"/>
      <c r="K24" s="15"/>
      <c r="L24" s="15"/>
      <c r="M24" s="15"/>
      <c r="N24" s="15"/>
      <c r="O24" s="15"/>
      <c r="P24" s="15"/>
      <c r="Q24" s="15"/>
      <c r="R24" s="15"/>
    </row>
    <row r="25" spans="1:20">
      <c r="A25" s="87"/>
      <c r="B25" s="25" t="s">
        <v>143</v>
      </c>
      <c r="D25" s="26" t="s">
        <v>131</v>
      </c>
      <c r="H25" s="3" t="s">
        <v>28</v>
      </c>
      <c r="J25" s="9">
        <f>SUM(L25:R25)</f>
        <v>1000751562.175869</v>
      </c>
      <c r="L25" s="93">
        <f>'Berekening Kapitaalkosten'!L146</f>
        <v>5905712.8264779747</v>
      </c>
      <c r="M25" s="93">
        <f>'Berekening Kapitaalkosten'!M146</f>
        <v>25659834.565828182</v>
      </c>
      <c r="N25" s="93">
        <f>'Berekening Kapitaalkosten'!N146</f>
        <v>361479541.62352782</v>
      </c>
      <c r="O25" s="93">
        <f>'Berekening Kapitaalkosten'!O146</f>
        <v>317882660.43436575</v>
      </c>
      <c r="P25" s="93">
        <f>'Berekening Kapitaalkosten'!P146</f>
        <v>4183575.1662596446</v>
      </c>
      <c r="Q25" s="93">
        <f>'Berekening Kapitaalkosten'!Q146</f>
        <v>265625001.29586321</v>
      </c>
      <c r="R25" s="93">
        <f>'Berekening Kapitaalkosten'!R146</f>
        <v>20015236.263546497</v>
      </c>
      <c r="S25" s="83"/>
    </row>
    <row r="26" spans="1:20">
      <c r="A26" s="87"/>
      <c r="B26" s="25" t="s">
        <v>143</v>
      </c>
      <c r="D26" s="26" t="s">
        <v>132</v>
      </c>
      <c r="H26" s="3" t="s">
        <v>28</v>
      </c>
      <c r="J26" s="9">
        <f>SUM(L26:R26)</f>
        <v>840610798.49010861</v>
      </c>
      <c r="L26" s="93">
        <f>'Berekening Kapitaalkosten'!L147</f>
        <v>5005546.1645129137</v>
      </c>
      <c r="M26" s="93">
        <f>'Berekening Kapitaalkosten'!M147</f>
        <v>21724085.811463889</v>
      </c>
      <c r="N26" s="93">
        <f>'Berekening Kapitaalkosten'!N147</f>
        <v>308252921.99951208</v>
      </c>
      <c r="O26" s="93">
        <f>'Berekening Kapitaalkosten'!O147</f>
        <v>263087095.00369456</v>
      </c>
      <c r="P26" s="93">
        <f>'Berekening Kapitaalkosten'!P147</f>
        <v>3696941.5862952676</v>
      </c>
      <c r="Q26" s="93">
        <f>'Berekening Kapitaalkosten'!Q147</f>
        <v>222534512.84635231</v>
      </c>
      <c r="R26" s="93">
        <f>'Berekening Kapitaalkosten'!R147</f>
        <v>16309695.078277543</v>
      </c>
      <c r="S26" s="83"/>
    </row>
    <row r="27" spans="1:20">
      <c r="A27" s="87"/>
      <c r="B27" s="25"/>
      <c r="D27" s="26"/>
      <c r="L27" s="83"/>
      <c r="M27" s="83"/>
      <c r="N27" s="83"/>
      <c r="O27" s="83"/>
      <c r="P27" s="83"/>
      <c r="Q27" s="83"/>
      <c r="R27" s="83"/>
    </row>
    <row r="28" spans="1:20">
      <c r="A28" s="87"/>
      <c r="B28" s="25"/>
      <c r="D28" s="26"/>
      <c r="J28" s="16"/>
      <c r="K28" s="16"/>
      <c r="L28" s="83"/>
      <c r="M28" s="83"/>
      <c r="N28" s="83"/>
      <c r="O28" s="83"/>
      <c r="P28" s="83"/>
      <c r="Q28" s="83"/>
      <c r="R28" s="83"/>
    </row>
    <row r="29" spans="1:20">
      <c r="A29" s="87"/>
      <c r="B29" s="8" t="s">
        <v>261</v>
      </c>
      <c r="T29" s="79" t="s">
        <v>274</v>
      </c>
    </row>
    <row r="30" spans="1:20">
      <c r="A30" s="87"/>
      <c r="B30" s="25" t="s">
        <v>196</v>
      </c>
      <c r="D30" s="25" t="s">
        <v>130</v>
      </c>
      <c r="H30" s="3" t="s">
        <v>28</v>
      </c>
      <c r="J30" s="9">
        <f>SUM(L30:R30)</f>
        <v>1041876188.0245111</v>
      </c>
      <c r="L30" s="93">
        <f>'Berekening netto-OPEX'!L220</f>
        <v>5628636.2748313686</v>
      </c>
      <c r="M30" s="93">
        <f>'Berekening netto-OPEX'!M220</f>
        <v>29497000.733443245</v>
      </c>
      <c r="N30" s="93">
        <f>'Berekening netto-OPEX'!N220</f>
        <v>284604327.52079904</v>
      </c>
      <c r="O30" s="93">
        <f>'Berekening netto-OPEX'!O220</f>
        <v>444085210.28319532</v>
      </c>
      <c r="P30" s="93">
        <f>'Berekening netto-OPEX'!P220</f>
        <v>2807603.78</v>
      </c>
      <c r="Q30" s="93">
        <f>'Berekening netto-OPEX'!Q220</f>
        <v>261826187.55964887</v>
      </c>
      <c r="R30" s="93">
        <f>'Berekening netto-OPEX'!R220</f>
        <v>13427221.87259323</v>
      </c>
    </row>
    <row r="31" spans="1:20">
      <c r="A31" s="87"/>
      <c r="B31" s="25" t="s">
        <v>143</v>
      </c>
      <c r="D31" s="26" t="s">
        <v>134</v>
      </c>
      <c r="H31" s="3" t="s">
        <v>28</v>
      </c>
      <c r="J31" s="9">
        <f>SUM(L31:R31)</f>
        <v>1192748964.2994838</v>
      </c>
      <c r="K31" s="16"/>
      <c r="L31" s="93">
        <f>'Berekening Kapitaalkosten'!L152</f>
        <v>6925901.7100383788</v>
      </c>
      <c r="M31" s="93">
        <f>'Berekening Kapitaalkosten'!M152</f>
        <v>30120349.820774384</v>
      </c>
      <c r="N31" s="93">
        <f>'Berekening Kapitaalkosten'!N152</f>
        <v>421803043.864079</v>
      </c>
      <c r="O31" s="93">
        <f>'Berekening Kapitaalkosten'!O152</f>
        <v>380936791.55556154</v>
      </c>
      <c r="P31" s="93">
        <f>'Berekening Kapitaalkosten'!P152</f>
        <v>4735093.2235526051</v>
      </c>
      <c r="Q31" s="93">
        <f>'Berekening Kapitaalkosten'!Q152</f>
        <v>324012934.51862657</v>
      </c>
      <c r="R31" s="93">
        <f>'Berekening Kapitaalkosten'!R152</f>
        <v>24214849.606851313</v>
      </c>
    </row>
    <row r="32" spans="1:20">
      <c r="A32" s="87"/>
      <c r="B32" s="3" t="s">
        <v>152</v>
      </c>
      <c r="D32" s="3" t="s">
        <v>135</v>
      </c>
      <c r="H32" s="3" t="s">
        <v>28</v>
      </c>
      <c r="J32" s="9">
        <f>SUM(L32:R32)</f>
        <v>1052638864.4598897</v>
      </c>
      <c r="K32" s="16"/>
      <c r="L32" s="93">
        <f>'Berekening Kapitaalkosten'!L156</f>
        <v>6145757.2696686583</v>
      </c>
      <c r="M32" s="93">
        <f>'Berekening Kapitaalkosten'!M156</f>
        <v>26709367.566991996</v>
      </c>
      <c r="N32" s="93">
        <f>'Berekening Kapitaalkosten'!N156</f>
        <v>375673306.85659868</v>
      </c>
      <c r="O32" s="93">
        <f>'Berekening Kapitaalkosten'!O156</f>
        <v>333331377.0793246</v>
      </c>
      <c r="P32" s="93">
        <f>'Berekening Kapitaalkosten'!P156</f>
        <v>4313344.1209168117</v>
      </c>
      <c r="Q32" s="93">
        <f>'Berekening Kapitaalkosten'!Q156</f>
        <v>285462330.98677069</v>
      </c>
      <c r="R32" s="93">
        <f>'Berekening Kapitaalkosten'!R156</f>
        <v>21003380.579618219</v>
      </c>
    </row>
    <row r="33" spans="1:20">
      <c r="A33" s="87"/>
    </row>
    <row r="34" spans="1:20">
      <c r="A34" s="87"/>
      <c r="B34" s="25" t="s">
        <v>202</v>
      </c>
      <c r="D34" s="26"/>
      <c r="H34" s="3" t="s">
        <v>28</v>
      </c>
      <c r="J34" s="93">
        <f>'Besparingen Marktmodel'!L30</f>
        <v>18632929.294842675</v>
      </c>
    </row>
    <row r="37" spans="1:20" s="4" customFormat="1">
      <c r="B37" s="4" t="s">
        <v>80</v>
      </c>
    </row>
    <row r="38" spans="1:20" s="23" customFormat="1"/>
    <row r="39" spans="1:20" s="39" customFormat="1">
      <c r="B39" s="41" t="s">
        <v>200</v>
      </c>
      <c r="T39" s="80" t="s">
        <v>273</v>
      </c>
    </row>
    <row r="40" spans="1:20" ht="14.25" customHeight="1">
      <c r="A40" s="87"/>
      <c r="B40" s="25" t="s">
        <v>197</v>
      </c>
      <c r="D40" s="25" t="s">
        <v>130</v>
      </c>
      <c r="H40" s="3" t="s">
        <v>30</v>
      </c>
      <c r="J40" s="9">
        <f>SUM(L40:R40)</f>
        <v>985410858.43456352</v>
      </c>
      <c r="L40" s="93">
        <f>'Berekening netto-OPEX'!L328</f>
        <v>5244846.5850730799</v>
      </c>
      <c r="M40" s="93">
        <f>'Berekening netto-OPEX'!M328</f>
        <v>28179611.24844493</v>
      </c>
      <c r="N40" s="93">
        <f>'Berekening netto-OPEX'!N328</f>
        <v>282318517.11333233</v>
      </c>
      <c r="O40" s="93">
        <f>'Berekening netto-OPEX'!O328</f>
        <v>431411580.70108992</v>
      </c>
      <c r="P40" s="93">
        <f>'Berekening netto-OPEX'!P328</f>
        <v>2778726.4000000008</v>
      </c>
      <c r="Q40" s="93">
        <f>'Berekening netto-OPEX'!Q328</f>
        <v>223367317.64133099</v>
      </c>
      <c r="R40" s="93">
        <f>'Berekening netto-OPEX'!R328</f>
        <v>12110258.74529228</v>
      </c>
    </row>
    <row r="41" spans="1:20">
      <c r="A41" s="87"/>
      <c r="B41" s="25" t="s">
        <v>145</v>
      </c>
      <c r="H41" s="3" t="s">
        <v>30</v>
      </c>
      <c r="J41" s="9">
        <f>SUM(L41:R41)</f>
        <v>411307962.64864647</v>
      </c>
      <c r="L41" s="93">
        <f>'Berekening netto-OPEX'!L329</f>
        <v>3337227</v>
      </c>
      <c r="M41" s="93">
        <f>'Berekening netto-OPEX'!M329</f>
        <v>8687193.3200000022</v>
      </c>
      <c r="N41" s="93">
        <f>'Berekening netto-OPEX'!N329</f>
        <v>149594463.25280273</v>
      </c>
      <c r="O41" s="93">
        <f>'Berekening netto-OPEX'!O329</f>
        <v>138270874.77618</v>
      </c>
      <c r="P41" s="93">
        <f>'Berekening netto-OPEX'!P329</f>
        <v>2286987.17</v>
      </c>
      <c r="Q41" s="93">
        <f>'Berekening netto-OPEX'!Q329</f>
        <v>100276103.52500001</v>
      </c>
      <c r="R41" s="93">
        <f>'Berekening netto-OPEX'!R329</f>
        <v>8855113.6046637092</v>
      </c>
    </row>
    <row r="42" spans="1:20">
      <c r="A42" s="87"/>
      <c r="B42" s="25" t="s">
        <v>146</v>
      </c>
      <c r="D42" s="26" t="s">
        <v>131</v>
      </c>
      <c r="H42" s="3" t="s">
        <v>30</v>
      </c>
      <c r="J42" s="9">
        <f>SUM(L42:R42)</f>
        <v>76960020.72910814</v>
      </c>
      <c r="L42" s="93">
        <f>'Berekening ORV Lokale Heffingen'!L34</f>
        <v>1875.1104999998513</v>
      </c>
      <c r="M42" s="93">
        <f>'Berekening ORV Lokale Heffingen'!M34</f>
        <v>949986</v>
      </c>
      <c r="N42" s="93">
        <f>'Berekening ORV Lokale Heffingen'!N34</f>
        <v>1400613.9848262288</v>
      </c>
      <c r="O42" s="93">
        <f>'Berekening ORV Lokale Heffingen'!O34</f>
        <v>55143670.659999996</v>
      </c>
      <c r="P42" s="93">
        <f>'Berekening ORV Lokale Heffingen'!P34</f>
        <v>817742.8937819124</v>
      </c>
      <c r="Q42" s="93">
        <f>'Berekening ORV Lokale Heffingen'!Q34</f>
        <v>18607492.699999999</v>
      </c>
      <c r="R42" s="93">
        <f>'Berekening ORV Lokale Heffingen'!R34</f>
        <v>38639.379999999997</v>
      </c>
    </row>
    <row r="43" spans="1:20">
      <c r="A43" s="87"/>
      <c r="B43" s="25" t="s">
        <v>146</v>
      </c>
      <c r="D43" s="26" t="s">
        <v>132</v>
      </c>
      <c r="H43" s="3" t="s">
        <v>30</v>
      </c>
      <c r="J43" s="9">
        <f>SUM(L43:R43)</f>
        <v>76918440.581966683</v>
      </c>
      <c r="L43" s="93">
        <f>'Berekening ORV Lokale Heffingen'!L35</f>
        <v>1875.1104999999009</v>
      </c>
      <c r="M43" s="93">
        <f>'Berekening ORV Lokale Heffingen'!M35</f>
        <v>949986</v>
      </c>
      <c r="N43" s="93">
        <f>'Berekening ORV Lokale Heffingen'!N35</f>
        <v>1400613.9848262288</v>
      </c>
      <c r="O43" s="93">
        <f>'Berekening ORV Lokale Heffingen'!O35</f>
        <v>55143670.659999996</v>
      </c>
      <c r="P43" s="93">
        <f>'Berekening ORV Lokale Heffingen'!P35</f>
        <v>776162.7466404594</v>
      </c>
      <c r="Q43" s="93">
        <f>'Berekening ORV Lokale Heffingen'!Q35</f>
        <v>18607492.699999999</v>
      </c>
      <c r="R43" s="93">
        <f>'Berekening ORV Lokale Heffingen'!R35</f>
        <v>38639.379999999997</v>
      </c>
    </row>
    <row r="44" spans="1:20">
      <c r="A44" s="87"/>
      <c r="J44" s="15"/>
      <c r="K44" s="15"/>
      <c r="L44" s="15"/>
      <c r="M44" s="15"/>
      <c r="N44" s="15"/>
      <c r="O44" s="15"/>
      <c r="P44" s="15"/>
      <c r="Q44" s="15"/>
      <c r="R44" s="15"/>
    </row>
    <row r="45" spans="1:20">
      <c r="A45" s="87"/>
      <c r="B45" s="25" t="s">
        <v>147</v>
      </c>
      <c r="D45" s="26" t="s">
        <v>131</v>
      </c>
      <c r="H45" s="3" t="s">
        <v>30</v>
      </c>
      <c r="J45" s="9">
        <f>SUM(L45:R45)</f>
        <v>1046693397.7746994</v>
      </c>
      <c r="L45" s="93">
        <f>'Berekening Kapitaalkosten'!L229</f>
        <v>6160954.6656007525</v>
      </c>
      <c r="M45" s="93">
        <f>'Berekening Kapitaalkosten'!M229</f>
        <v>26791114.266675711</v>
      </c>
      <c r="N45" s="93">
        <f>'Berekening Kapitaalkosten'!N229</f>
        <v>374930121.77050281</v>
      </c>
      <c r="O45" s="93">
        <f>'Berekening Kapitaalkosten'!O229</f>
        <v>333172926.49706161</v>
      </c>
      <c r="P45" s="93">
        <f>'Berekening Kapitaalkosten'!P229</f>
        <v>4161082.9961445616</v>
      </c>
      <c r="Q45" s="93">
        <f>'Berekening Kapitaalkosten'!Q229</f>
        <v>280855566.92302603</v>
      </c>
      <c r="R45" s="93">
        <f>'Berekening Kapitaalkosten'!R229</f>
        <v>20621630.655688085</v>
      </c>
    </row>
    <row r="46" spans="1:20">
      <c r="A46" s="87"/>
      <c r="B46" s="25" t="s">
        <v>147</v>
      </c>
      <c r="D46" s="26" t="s">
        <v>132</v>
      </c>
      <c r="H46" s="3" t="s">
        <v>30</v>
      </c>
      <c r="J46" s="9">
        <f>SUM(L46:R46)</f>
        <v>882031194.00352764</v>
      </c>
      <c r="L46" s="93">
        <f>'Berekening Kapitaalkosten'!L230</f>
        <v>5242671.8164216196</v>
      </c>
      <c r="M46" s="93">
        <f>'Berekening Kapitaalkosten'!M230</f>
        <v>22777039.882075332</v>
      </c>
      <c r="N46" s="93">
        <f>'Berekening Kapitaalkosten'!N230</f>
        <v>320549148.00615966</v>
      </c>
      <c r="O46" s="93">
        <f>'Berekening Kapitaalkosten'!O230</f>
        <v>276772217.94727683</v>
      </c>
      <c r="P46" s="93">
        <f>'Berekening Kapitaalkosten'!P230</f>
        <v>3684072.6052945121</v>
      </c>
      <c r="Q46" s="93">
        <f>'Berekening Kapitaalkosten'!Q230</f>
        <v>236140835.31226271</v>
      </c>
      <c r="R46" s="93">
        <f>'Berekening Kapitaalkosten'!R230</f>
        <v>16865208.43403694</v>
      </c>
    </row>
    <row r="47" spans="1:20">
      <c r="A47" s="87"/>
      <c r="B47" s="25"/>
      <c r="D47" s="26"/>
    </row>
    <row r="48" spans="1:20">
      <c r="A48" s="87"/>
      <c r="B48" s="25"/>
      <c r="D48" s="26"/>
      <c r="J48" s="16"/>
      <c r="K48" s="16"/>
    </row>
    <row r="49" spans="1:20">
      <c r="A49" s="87"/>
      <c r="B49" s="8" t="s">
        <v>207</v>
      </c>
      <c r="T49" s="79" t="s">
        <v>274</v>
      </c>
    </row>
    <row r="50" spans="1:20">
      <c r="A50" s="87"/>
      <c r="B50" s="25" t="s">
        <v>197</v>
      </c>
      <c r="D50" s="25" t="s">
        <v>130</v>
      </c>
      <c r="H50" s="3" t="s">
        <v>30</v>
      </c>
      <c r="J50" s="9">
        <f>SUM(L50:R50)</f>
        <v>993126645.51743424</v>
      </c>
      <c r="L50" s="93">
        <f>'Berekening netto-OPEX'!L333</f>
        <v>5244846.5850730799</v>
      </c>
      <c r="M50" s="93">
        <f>'Berekening netto-OPEX'!M333</f>
        <v>28179611.24844493</v>
      </c>
      <c r="N50" s="93">
        <f>'Berekening netto-OPEX'!N333</f>
        <v>282318517.11333233</v>
      </c>
      <c r="O50" s="93">
        <f>'Berekening netto-OPEX'!O333</f>
        <v>431412442.70108992</v>
      </c>
      <c r="P50" s="93">
        <f>'Berekening netto-OPEX'!P333</f>
        <v>2778726.4000000008</v>
      </c>
      <c r="Q50" s="93">
        <f>'Berekening netto-OPEX'!Q333</f>
        <v>231082242.72420174</v>
      </c>
      <c r="R50" s="93">
        <f>'Berekening netto-OPEX'!R333</f>
        <v>12110258.74529228</v>
      </c>
    </row>
    <row r="51" spans="1:20">
      <c r="A51" s="87"/>
      <c r="B51" s="25" t="s">
        <v>147</v>
      </c>
      <c r="D51" s="3" t="s">
        <v>135</v>
      </c>
      <c r="H51" s="3" t="s">
        <v>30</v>
      </c>
      <c r="J51" s="9">
        <f>SUM(L51:R51)</f>
        <v>1100087217.9881408</v>
      </c>
      <c r="K51" s="16"/>
      <c r="L51" s="93">
        <f>'Berekening Kapitaalkosten'!L235</f>
        <v>6405830.0920485212</v>
      </c>
      <c r="M51" s="93">
        <f>'Berekening Kapitaalkosten'!M235</f>
        <v>27861534.102569148</v>
      </c>
      <c r="N51" s="93">
        <f>'Berekening Kapitaalkosten'!N235</f>
        <v>389431714.77432764</v>
      </c>
      <c r="O51" s="93">
        <f>'Berekening Kapitaalkosten'!O235</f>
        <v>349012713.44817418</v>
      </c>
      <c r="P51" s="93">
        <f>'Berekening Kapitaalkosten'!P235</f>
        <v>4288285.7670379076</v>
      </c>
      <c r="Q51" s="93">
        <f>'Berekening Kapitaalkosten'!Q235</f>
        <v>301463796.55585504</v>
      </c>
      <c r="R51" s="93">
        <f>'Berekening Kapitaalkosten'!R235</f>
        <v>21623343.248128388</v>
      </c>
    </row>
    <row r="52" spans="1:20">
      <c r="A52" s="87"/>
      <c r="B52" s="25"/>
    </row>
    <row r="53" spans="1:20">
      <c r="A53" s="87"/>
      <c r="B53" s="8" t="s">
        <v>208</v>
      </c>
      <c r="T53" s="79" t="s">
        <v>274</v>
      </c>
    </row>
    <row r="54" spans="1:20">
      <c r="A54" s="87"/>
      <c r="B54" s="25" t="s">
        <v>197</v>
      </c>
      <c r="D54" s="25" t="s">
        <v>130</v>
      </c>
      <c r="H54" s="3" t="s">
        <v>30</v>
      </c>
      <c r="J54" s="9">
        <f>SUM(L54:R54)</f>
        <v>985411720.43456352</v>
      </c>
      <c r="K54" s="16"/>
      <c r="L54" s="93">
        <f>'Berekening netto-OPEX'!L336</f>
        <v>5244846.5850730799</v>
      </c>
      <c r="M54" s="93">
        <f>'Berekening netto-OPEX'!M336</f>
        <v>28179611.24844493</v>
      </c>
      <c r="N54" s="93">
        <f>'Berekening netto-OPEX'!N336</f>
        <v>282318517.11333233</v>
      </c>
      <c r="O54" s="93">
        <f>'Berekening netto-OPEX'!O336</f>
        <v>431412442.70108992</v>
      </c>
      <c r="P54" s="93">
        <f>'Berekening netto-OPEX'!P336</f>
        <v>2778726.4000000008</v>
      </c>
      <c r="Q54" s="93">
        <f>'Berekening netto-OPEX'!Q336</f>
        <v>223367317.64133099</v>
      </c>
      <c r="R54" s="93">
        <f>'Berekening netto-OPEX'!R336</f>
        <v>12110258.74529228</v>
      </c>
    </row>
    <row r="55" spans="1:20">
      <c r="A55" s="87"/>
      <c r="B55" s="25" t="s">
        <v>147</v>
      </c>
      <c r="D55" s="3" t="s">
        <v>227</v>
      </c>
      <c r="H55" s="3" t="s">
        <v>30</v>
      </c>
      <c r="J55" s="9">
        <f>SUM(L55:R55)</f>
        <v>948591365.74417543</v>
      </c>
      <c r="K55" s="16"/>
      <c r="L55" s="93">
        <f>'Berekening Kapitaalkosten'!L239</f>
        <v>5609984.9560932722</v>
      </c>
      <c r="M55" s="93">
        <f>'Berekening Kapitaalkosten'!M239</f>
        <v>24382669.635915481</v>
      </c>
      <c r="N55" s="93">
        <f>'Berekening Kapitaalkosten'!N239</f>
        <v>342301537.51189691</v>
      </c>
      <c r="O55" s="93">
        <f>'Berekening Kapitaalkosten'!O239</f>
        <v>300027791.5993697</v>
      </c>
      <c r="P55" s="93">
        <f>'Berekening Kapitaalkosten'!P239</f>
        <v>3874876.7616345319</v>
      </c>
      <c r="Q55" s="93">
        <f>'Berekening Kapitaalkosten'!Q239</f>
        <v>254026727.95656803</v>
      </c>
      <c r="R55" s="93">
        <f>'Berekening Kapitaalkosten'!R239</f>
        <v>18367777.322697394</v>
      </c>
    </row>
    <row r="56" spans="1:20">
      <c r="A56" s="87"/>
    </row>
    <row r="57" spans="1:20">
      <c r="A57" s="87"/>
      <c r="B57" s="25" t="s">
        <v>202</v>
      </c>
      <c r="D57" s="26"/>
      <c r="H57" s="3" t="s">
        <v>30</v>
      </c>
      <c r="J57" s="93">
        <f>'Besparingen Marktmodel'!M30</f>
        <v>2655324</v>
      </c>
    </row>
    <row r="60" spans="1:20" s="4" customFormat="1">
      <c r="B60" s="4" t="s">
        <v>81</v>
      </c>
    </row>
    <row r="61" spans="1:20" s="23" customFormat="1"/>
    <row r="62" spans="1:20" s="39" customFormat="1">
      <c r="B62" s="41" t="s">
        <v>200</v>
      </c>
    </row>
    <row r="63" spans="1:20">
      <c r="A63" s="87"/>
      <c r="B63" s="25" t="s">
        <v>148</v>
      </c>
      <c r="D63" s="25" t="s">
        <v>130</v>
      </c>
      <c r="H63" s="3" t="s">
        <v>32</v>
      </c>
      <c r="J63" s="9">
        <f>SUM(L63:R63)</f>
        <v>971524045.26440775</v>
      </c>
      <c r="L63" s="93">
        <f>'Berekening netto-OPEX'!L444</f>
        <v>4560152.2540674517</v>
      </c>
      <c r="M63" s="93">
        <f>'Berekening netto-OPEX'!M444</f>
        <v>24680388.134093139</v>
      </c>
      <c r="N63" s="93">
        <f>'Berekening netto-OPEX'!N444</f>
        <v>275932609.23014396</v>
      </c>
      <c r="O63" s="93">
        <f>'Berekening netto-OPEX'!O444</f>
        <v>431118616.08801156</v>
      </c>
      <c r="P63" s="93">
        <f>'Berekening netto-OPEX'!P444</f>
        <v>2729417.13</v>
      </c>
      <c r="Q63" s="93">
        <f>'Berekening netto-OPEX'!Q444</f>
        <v>220538866.67453831</v>
      </c>
      <c r="R63" s="93">
        <f>'Berekening netto-OPEX'!R444</f>
        <v>11963995.753553275</v>
      </c>
      <c r="T63" s="80" t="s">
        <v>273</v>
      </c>
    </row>
    <row r="64" spans="1:20">
      <c r="A64" s="87"/>
      <c r="B64" s="25" t="s">
        <v>149</v>
      </c>
      <c r="H64" s="3" t="s">
        <v>32</v>
      </c>
      <c r="J64" s="9">
        <f>SUM(L64:R64)</f>
        <v>445282663.53530109</v>
      </c>
      <c r="L64" s="93">
        <f>'Berekening netto-OPEX'!L445</f>
        <v>3321046.5</v>
      </c>
      <c r="M64" s="93">
        <f>'Berekening netto-OPEX'!M445</f>
        <v>8791419.5600000024</v>
      </c>
      <c r="N64" s="93">
        <f>'Berekening netto-OPEX'!N445</f>
        <v>162038366.07091805</v>
      </c>
      <c r="O64" s="93">
        <f>'Berekening netto-OPEX'!O445</f>
        <v>156180148.72153479</v>
      </c>
      <c r="P64" s="93">
        <f>'Berekening netto-OPEX'!P445</f>
        <v>2205049.6699999995</v>
      </c>
      <c r="Q64" s="93">
        <f>'Berekening netto-OPEX'!Q445</f>
        <v>103096026.971</v>
      </c>
      <c r="R64" s="93">
        <f>'Berekening netto-OPEX'!R445</f>
        <v>9650606.041848205</v>
      </c>
    </row>
    <row r="65" spans="1:20">
      <c r="A65" s="87"/>
      <c r="B65" s="25" t="s">
        <v>150</v>
      </c>
      <c r="D65" s="26" t="s">
        <v>131</v>
      </c>
      <c r="H65" s="3" t="s">
        <v>32</v>
      </c>
      <c r="J65" s="9">
        <f>SUM(L65:R65)</f>
        <v>105197095.88654883</v>
      </c>
      <c r="L65" s="93">
        <f>'Berekening ORV Lokale Heffingen'!L48</f>
        <v>2044.9297297295793</v>
      </c>
      <c r="M65" s="93">
        <f>'Berekening ORV Lokale Heffingen'!M48</f>
        <v>1555755</v>
      </c>
      <c r="N65" s="93">
        <f>'Berekening ORV Lokale Heffingen'!N48</f>
        <v>1686779.3166402495</v>
      </c>
      <c r="O65" s="93">
        <f>'Berekening ORV Lokale Heffingen'!O48</f>
        <v>79523128.079999998</v>
      </c>
      <c r="P65" s="93">
        <f>'Berekening ORV Lokale Heffingen'!P48</f>
        <v>794423.36126008083</v>
      </c>
      <c r="Q65" s="93">
        <f>'Berekening ORV Lokale Heffingen'!Q48</f>
        <v>21608574.178918783</v>
      </c>
      <c r="R65" s="93">
        <f>'Berekening ORV Lokale Heffingen'!R48</f>
        <v>26391.02</v>
      </c>
    </row>
    <row r="66" spans="1:20">
      <c r="A66" s="87"/>
      <c r="B66" s="25" t="s">
        <v>150</v>
      </c>
      <c r="D66" s="26" t="s">
        <v>132</v>
      </c>
      <c r="H66" s="3" t="s">
        <v>32</v>
      </c>
      <c r="J66" s="9">
        <f>SUM(L66:R66)</f>
        <v>105165598.92508918</v>
      </c>
      <c r="L66" s="93">
        <f>'Berekening ORV Lokale Heffingen'!L49</f>
        <v>2044.9297297296296</v>
      </c>
      <c r="M66" s="93">
        <f>'Berekening ORV Lokale Heffingen'!M49</f>
        <v>1555755</v>
      </c>
      <c r="N66" s="93">
        <f>'Berekening ORV Lokale Heffingen'!N49</f>
        <v>1686779.3166402495</v>
      </c>
      <c r="O66" s="93">
        <f>'Berekening ORV Lokale Heffingen'!O49</f>
        <v>79523128.079999998</v>
      </c>
      <c r="P66" s="93">
        <f>'Berekening ORV Lokale Heffingen'!P49</f>
        <v>762926.39980043017</v>
      </c>
      <c r="Q66" s="93">
        <f>'Berekening ORV Lokale Heffingen'!Q49</f>
        <v>21608574.178918783</v>
      </c>
      <c r="R66" s="93">
        <f>'Berekening ORV Lokale Heffingen'!R49</f>
        <v>26391.02</v>
      </c>
    </row>
    <row r="67" spans="1:20">
      <c r="A67" s="87"/>
      <c r="B67" s="25"/>
      <c r="D67" s="26"/>
      <c r="J67" s="39"/>
      <c r="K67" s="39"/>
      <c r="L67" s="15"/>
      <c r="M67" s="15"/>
      <c r="N67" s="15"/>
      <c r="O67" s="15"/>
      <c r="P67" s="15"/>
      <c r="Q67" s="15"/>
      <c r="R67" s="15"/>
    </row>
    <row r="68" spans="1:20">
      <c r="A68" s="87"/>
      <c r="B68" s="25" t="s">
        <v>151</v>
      </c>
      <c r="D68" s="26" t="s">
        <v>131</v>
      </c>
      <c r="H68" s="3" t="s">
        <v>32</v>
      </c>
      <c r="J68" s="9">
        <f>SUM(L68:R68)</f>
        <v>1069670549.2969712</v>
      </c>
      <c r="L68" s="93">
        <f>'Berekening Kapitaalkosten'!L310</f>
        <v>6182598.1780541595</v>
      </c>
      <c r="M68" s="93">
        <f>'Berekening Kapitaalkosten'!M310</f>
        <v>27885306.821002152</v>
      </c>
      <c r="N68" s="93">
        <f>'Berekening Kapitaalkosten'!N310</f>
        <v>378019133.17432755</v>
      </c>
      <c r="O68" s="93">
        <f>'Berekening Kapitaalkosten'!O310</f>
        <v>343984002.80521101</v>
      </c>
      <c r="P68" s="93">
        <f>'Berekening Kapitaalkosten'!P310</f>
        <v>4177510.0174368373</v>
      </c>
      <c r="Q68" s="93">
        <f>'Berekening Kapitaalkosten'!Q310</f>
        <v>288530707.55578399</v>
      </c>
      <c r="R68" s="93">
        <f>'Berekening Kapitaalkosten'!R310</f>
        <v>20891290.745155625</v>
      </c>
    </row>
    <row r="69" spans="1:20">
      <c r="A69" s="87"/>
      <c r="B69" s="25" t="s">
        <v>151</v>
      </c>
      <c r="D69" s="26" t="s">
        <v>132</v>
      </c>
      <c r="H69" s="3" t="s">
        <v>32</v>
      </c>
      <c r="J69" s="9">
        <f>SUM(L69:R69)</f>
        <v>903285707.55495393</v>
      </c>
      <c r="L69" s="93">
        <f>'Berekening Kapitaalkosten'!L311</f>
        <v>5284668.9202831648</v>
      </c>
      <c r="M69" s="93">
        <f>'Berekening Kapitaalkosten'!M311</f>
        <v>23721499.007821374</v>
      </c>
      <c r="N69" s="93">
        <f>'Berekening Kapitaalkosten'!N311</f>
        <v>323513402.96468759</v>
      </c>
      <c r="O69" s="93">
        <f>'Berekening Kapitaalkosten'!O311</f>
        <v>286160388.66755414</v>
      </c>
      <c r="P69" s="93">
        <f>'Berekening Kapitaalkosten'!P311</f>
        <v>3707272.4337752517</v>
      </c>
      <c r="Q69" s="93">
        <f>'Berekening Kapitaalkosten'!Q311</f>
        <v>243753860.87626556</v>
      </c>
      <c r="R69" s="93">
        <f>'Berekening Kapitaalkosten'!R311</f>
        <v>17144614.684566811</v>
      </c>
    </row>
    <row r="70" spans="1:20">
      <c r="A70" s="87"/>
      <c r="B70" s="25"/>
      <c r="D70" s="26"/>
    </row>
    <row r="71" spans="1:20">
      <c r="A71" s="87"/>
    </row>
    <row r="72" spans="1:20">
      <c r="A72" s="87"/>
      <c r="B72" s="8" t="s">
        <v>201</v>
      </c>
    </row>
    <row r="73" spans="1:20">
      <c r="A73" s="87"/>
      <c r="B73" s="25" t="s">
        <v>148</v>
      </c>
      <c r="D73" s="25" t="s">
        <v>130</v>
      </c>
      <c r="H73" s="3" t="s">
        <v>32</v>
      </c>
      <c r="J73" s="9">
        <f>SUM(L73:R73)</f>
        <v>971525040.26440775</v>
      </c>
      <c r="L73" s="93">
        <f>'Berekening netto-OPEX'!L449</f>
        <v>4560152.2540674517</v>
      </c>
      <c r="M73" s="93">
        <f>'Berekening netto-OPEX'!M449</f>
        <v>24680388.134093139</v>
      </c>
      <c r="N73" s="93">
        <f>'Berekening netto-OPEX'!N449</f>
        <v>275932609.23014396</v>
      </c>
      <c r="O73" s="93">
        <f>'Berekening netto-OPEX'!O449</f>
        <v>431119611.08801156</v>
      </c>
      <c r="P73" s="93">
        <f>'Berekening netto-OPEX'!P449</f>
        <v>2729417.13</v>
      </c>
      <c r="Q73" s="93">
        <f>'Berekening netto-OPEX'!Q449</f>
        <v>220538866.67453831</v>
      </c>
      <c r="R73" s="93">
        <f>'Berekening netto-OPEX'!R449</f>
        <v>11963995.753553275</v>
      </c>
      <c r="T73" s="79" t="s">
        <v>274</v>
      </c>
    </row>
    <row r="74" spans="1:20">
      <c r="A74" s="87"/>
      <c r="B74" s="25" t="s">
        <v>151</v>
      </c>
      <c r="D74" s="26" t="s">
        <v>227</v>
      </c>
      <c r="H74" s="3" t="s">
        <v>32</v>
      </c>
      <c r="J74" s="9">
        <f>SUM(L74:R74)</f>
        <v>970477862.81564415</v>
      </c>
      <c r="K74" s="16"/>
      <c r="L74" s="93">
        <f>'Berekening Kapitaalkosten'!L316</f>
        <v>5643840.6233915631</v>
      </c>
      <c r="M74" s="93">
        <f>'Berekening Kapitaalkosten'!M316</f>
        <v>25387022.133093685</v>
      </c>
      <c r="N74" s="93">
        <f>'Berekening Kapitaalkosten'!N316</f>
        <v>345315695.04854357</v>
      </c>
      <c r="O74" s="93">
        <f>'Berekening Kapitaalkosten'!O316</f>
        <v>309928052.88650018</v>
      </c>
      <c r="P74" s="93">
        <f>'Berekening Kapitaalkosten'!P316</f>
        <v>3895367.4672398856</v>
      </c>
      <c r="Q74" s="93">
        <f>'Berekening Kapitaalkosten'!Q316</f>
        <v>261664599.54807293</v>
      </c>
      <c r="R74" s="93">
        <f>'Berekening Kapitaalkosten'!R316</f>
        <v>18643285.108802337</v>
      </c>
    </row>
    <row r="75" spans="1:20">
      <c r="A75" s="87"/>
    </row>
    <row r="76" spans="1:20">
      <c r="A76" s="87"/>
      <c r="B76" s="25" t="s">
        <v>202</v>
      </c>
      <c r="D76" s="26"/>
      <c r="H76" s="3" t="s">
        <v>32</v>
      </c>
      <c r="J76" s="93">
        <f>'Besparingen Marktmodel'!N30</f>
        <v>0</v>
      </c>
    </row>
    <row r="78" spans="1:20">
      <c r="J78" s="109"/>
      <c r="L78" s="83"/>
      <c r="M78" s="83"/>
      <c r="N78" s="83"/>
      <c r="O78" s="83"/>
      <c r="P78" s="83"/>
      <c r="Q78" s="83"/>
      <c r="R78" s="83"/>
    </row>
    <row r="79" spans="1:20">
      <c r="J79" s="109"/>
      <c r="L79" s="83"/>
      <c r="M79" s="83"/>
      <c r="N79" s="83"/>
      <c r="O79" s="83"/>
      <c r="P79" s="83"/>
      <c r="Q79" s="83"/>
      <c r="R79" s="83"/>
    </row>
  </sheetData>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rgb="FFCCFFCC"/>
  </sheetPr>
  <dimension ref="B1:S24"/>
  <sheetViews>
    <sheetView showGridLines="0" zoomScale="85" zoomScaleNormal="85" workbookViewId="0"/>
  </sheetViews>
  <sheetFormatPr defaultRowHeight="14.25"/>
  <cols>
    <col min="1" max="16384" width="9.140625" style="114"/>
  </cols>
  <sheetData>
    <row r="1" spans="2:19" s="101" customFormat="1" ht="15.75">
      <c r="B1" s="100" t="s">
        <v>307</v>
      </c>
      <c r="C1" s="100"/>
      <c r="D1" s="100"/>
      <c r="E1" s="100"/>
    </row>
    <row r="2" spans="2:19" s="3" customFormat="1" ht="12.75"/>
    <row r="3" spans="2:19" s="3" customFormat="1" ht="12.75">
      <c r="B3" s="3" t="s">
        <v>308</v>
      </c>
    </row>
    <row r="6" spans="2:19" s="102" customFormat="1" ht="12.75">
      <c r="B6" s="102" t="s">
        <v>309</v>
      </c>
    </row>
    <row r="7" spans="2:19" s="3" customFormat="1" ht="12.75"/>
    <row r="8" spans="2:19" s="3" customFormat="1" ht="12.75">
      <c r="B8" s="8" t="s">
        <v>309</v>
      </c>
    </row>
    <row r="9" spans="2:19" s="3" customFormat="1" ht="12.75">
      <c r="B9" s="3" t="s">
        <v>310</v>
      </c>
      <c r="H9" s="3" t="s">
        <v>137</v>
      </c>
      <c r="J9" s="78">
        <v>2.5999999999999999E-2</v>
      </c>
      <c r="S9" s="3" t="s">
        <v>311</v>
      </c>
    </row>
    <row r="10" spans="2:19" s="3" customFormat="1" ht="12.75">
      <c r="B10" s="3" t="s">
        <v>312</v>
      </c>
      <c r="H10" s="3" t="s">
        <v>137</v>
      </c>
      <c r="J10" s="78">
        <v>2.3E-2</v>
      </c>
    </row>
    <row r="11" spans="2:19" s="3" customFormat="1" ht="12.75">
      <c r="B11" s="3" t="s">
        <v>313</v>
      </c>
      <c r="H11" s="3" t="s">
        <v>137</v>
      </c>
      <c r="J11" s="78">
        <v>2.8000000000000001E-2</v>
      </c>
    </row>
    <row r="12" spans="2:19" s="3" customFormat="1" ht="12.75">
      <c r="B12" s="3" t="s">
        <v>314</v>
      </c>
      <c r="H12" s="3" t="s">
        <v>137</v>
      </c>
      <c r="J12" s="78">
        <v>0.01</v>
      </c>
    </row>
    <row r="13" spans="2:19" s="3" customFormat="1" ht="12.75">
      <c r="B13" s="3" t="s">
        <v>315</v>
      </c>
      <c r="H13" s="3" t="s">
        <v>137</v>
      </c>
      <c r="J13" s="78">
        <v>8.0000000000000002E-3</v>
      </c>
    </row>
    <row r="14" spans="2:19" s="3" customFormat="1" ht="12.75"/>
    <row r="15" spans="2:19" s="3" customFormat="1" ht="12.75"/>
    <row r="16" spans="2:19" s="3" customFormat="1" ht="12.75"/>
    <row r="17" spans="10:18" s="3" customFormat="1" ht="12.75">
      <c r="J17" s="130" t="s">
        <v>316</v>
      </c>
      <c r="L17" s="131">
        <v>2011</v>
      </c>
      <c r="M17" s="131">
        <v>2012</v>
      </c>
      <c r="N17" s="131">
        <v>2013</v>
      </c>
      <c r="O17" s="131">
        <v>2014</v>
      </c>
      <c r="P17" s="131">
        <v>2015</v>
      </c>
      <c r="Q17" s="131"/>
      <c r="R17" s="131"/>
    </row>
    <row r="18" spans="10:18" s="3" customFormat="1" ht="12.75">
      <c r="J18" s="131" t="s">
        <v>317</v>
      </c>
      <c r="K18" s="131"/>
      <c r="L18" s="131"/>
      <c r="M18" s="131"/>
      <c r="N18" s="131"/>
      <c r="O18" s="131"/>
      <c r="P18" s="131"/>
    </row>
    <row r="19" spans="10:18" s="3" customFormat="1" ht="12.75">
      <c r="J19" s="131">
        <v>2012</v>
      </c>
      <c r="K19" s="131"/>
      <c r="L19" s="132">
        <f>J9</f>
        <v>2.5999999999999999E-2</v>
      </c>
      <c r="M19" s="133"/>
      <c r="N19" s="133"/>
      <c r="O19" s="133"/>
      <c r="P19" s="133"/>
    </row>
    <row r="20" spans="10:18" s="3" customFormat="1" ht="12.75">
      <c r="J20" s="131">
        <v>2013</v>
      </c>
      <c r="K20" s="134"/>
      <c r="L20" s="135">
        <f>(1+L19)*(1+J10)-1</f>
        <v>4.9598000000000031E-2</v>
      </c>
      <c r="M20" s="132">
        <f>J10</f>
        <v>2.3E-2</v>
      </c>
      <c r="N20" s="136"/>
      <c r="O20" s="136"/>
      <c r="P20" s="136"/>
    </row>
    <row r="21" spans="10:18" s="3" customFormat="1" ht="12.75">
      <c r="J21" s="131">
        <v>2014</v>
      </c>
      <c r="K21" s="131"/>
      <c r="L21" s="135">
        <f>(1+L20)*(1+J11)-1</f>
        <v>7.8986744000000053E-2</v>
      </c>
      <c r="M21" s="135">
        <f>(1+M20)*(1+J11)-1</f>
        <v>5.1644000000000023E-2</v>
      </c>
      <c r="N21" s="132">
        <f>J11</f>
        <v>2.8000000000000001E-2</v>
      </c>
      <c r="O21" s="137"/>
      <c r="P21" s="137"/>
    </row>
    <row r="22" spans="10:18" s="3" customFormat="1" ht="12.75">
      <c r="J22" s="131">
        <v>2015</v>
      </c>
      <c r="K22" s="131"/>
      <c r="L22" s="135">
        <f>(1+L21)*(1+J12)-1</f>
        <v>8.9776611440000043E-2</v>
      </c>
      <c r="M22" s="135">
        <f>(1+M21)*(1+J12)-1</f>
        <v>6.2160439999999983E-2</v>
      </c>
      <c r="N22" s="135">
        <f>(1+N21)*(1+J12)-1</f>
        <v>3.8280000000000092E-2</v>
      </c>
      <c r="O22" s="132">
        <f>J12</f>
        <v>0.01</v>
      </c>
      <c r="P22" s="137"/>
    </row>
    <row r="23" spans="10:18" s="3" customFormat="1" ht="12.75">
      <c r="J23" s="131">
        <v>2016</v>
      </c>
      <c r="K23" s="131"/>
      <c r="L23" s="135">
        <f>(1+L22)*(1+J13)-1</f>
        <v>9.8494824331520014E-2</v>
      </c>
      <c r="M23" s="135">
        <f>(1+M22)*(1+J13)-1</f>
        <v>7.0657723519999882E-2</v>
      </c>
      <c r="N23" s="135">
        <f>(1+N22)*(1+J13)-1</f>
        <v>4.6586240000000112E-2</v>
      </c>
      <c r="O23" s="135">
        <f>(1+O22)*(1+J13)-1</f>
        <v>1.8080000000000096E-2</v>
      </c>
      <c r="P23" s="132">
        <f>J13</f>
        <v>8.0000000000000002E-3</v>
      </c>
    </row>
    <row r="24" spans="10:18" s="3" customFormat="1" 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9">
    <tabColor rgb="FFFFCCFF"/>
  </sheetPr>
  <dimension ref="A1:Y107"/>
  <sheetViews>
    <sheetView showGridLines="0" zoomScale="85" zoomScaleNormal="85" workbookViewId="0">
      <pane xSplit="10" ySplit="6" topLeftCell="K7" activePane="bottomRight" state="frozen"/>
      <selection pane="topRight" activeCell="K1" sqref="K1"/>
      <selection pane="bottomLeft" activeCell="A7" sqref="A7"/>
      <selection pane="bottomRight" activeCell="K7" sqref="K7"/>
    </sheetView>
  </sheetViews>
  <sheetFormatPr defaultRowHeight="12.75"/>
  <cols>
    <col min="1" max="1" width="2.7109375" style="3" customWidth="1"/>
    <col min="2" max="2" width="58.5703125" style="3" customWidth="1"/>
    <col min="3" max="3" width="2.7109375" style="3" customWidth="1"/>
    <col min="4" max="4" width="3.42578125" style="3" customWidth="1"/>
    <col min="5" max="7" width="2.7109375" style="3" customWidth="1"/>
    <col min="8" max="8" width="15.7109375" style="3" customWidth="1"/>
    <col min="9" max="9" width="2.7109375" style="3" customWidth="1"/>
    <col min="10" max="10" width="15.7109375" style="3" customWidth="1"/>
    <col min="11" max="11" width="3.28515625" style="3" customWidth="1"/>
    <col min="12" max="19" width="14.7109375" style="3" customWidth="1"/>
    <col min="20" max="20" width="5.28515625" style="3" customWidth="1"/>
    <col min="21" max="21" width="15" style="3" customWidth="1"/>
    <col min="22" max="22" width="19" style="3" customWidth="1"/>
    <col min="23" max="23" width="20.7109375" style="3" customWidth="1"/>
    <col min="24" max="24" width="4.85546875" style="3" customWidth="1"/>
    <col min="25" max="16384" width="9.140625" style="3"/>
  </cols>
  <sheetData>
    <row r="1" spans="1:25">
      <c r="B1" s="3" t="s">
        <v>350</v>
      </c>
    </row>
    <row r="2" spans="1:25" s="1" customFormat="1" ht="18" customHeight="1">
      <c r="B2" s="40" t="s">
        <v>34</v>
      </c>
      <c r="X2" s="101"/>
    </row>
    <row r="4" spans="1:25">
      <c r="A4" s="87"/>
      <c r="B4" s="3" t="s">
        <v>335</v>
      </c>
    </row>
    <row r="5" spans="1:25">
      <c r="B5" s="3" t="s">
        <v>336</v>
      </c>
      <c r="M5" s="13"/>
    </row>
    <row r="6" spans="1:25" s="4" customFormat="1">
      <c r="H6" s="4" t="s">
        <v>0</v>
      </c>
      <c r="J6" s="4" t="s">
        <v>1</v>
      </c>
      <c r="L6" s="4" t="s">
        <v>357</v>
      </c>
      <c r="M6" s="4" t="s">
        <v>59</v>
      </c>
      <c r="N6" s="4" t="s">
        <v>2</v>
      </c>
      <c r="O6" s="4" t="s">
        <v>3</v>
      </c>
      <c r="P6" s="4" t="s">
        <v>4</v>
      </c>
      <c r="Q6" s="4" t="s">
        <v>5</v>
      </c>
      <c r="R6" s="4" t="s">
        <v>6</v>
      </c>
      <c r="S6" s="4" t="s">
        <v>26</v>
      </c>
      <c r="U6" s="4" t="s">
        <v>195</v>
      </c>
      <c r="V6" s="4" t="s">
        <v>199</v>
      </c>
      <c r="W6" s="4" t="s">
        <v>330</v>
      </c>
      <c r="X6" s="102"/>
      <c r="Y6" s="4" t="s">
        <v>154</v>
      </c>
    </row>
    <row r="7" spans="1:25">
      <c r="K7" s="3" t="s">
        <v>124</v>
      </c>
    </row>
    <row r="8" spans="1:25" s="4" customFormat="1">
      <c r="B8" s="4" t="s">
        <v>7</v>
      </c>
      <c r="X8" s="102"/>
    </row>
    <row r="10" spans="1:25">
      <c r="A10" s="87"/>
      <c r="B10" s="8" t="s">
        <v>8</v>
      </c>
      <c r="C10" s="8"/>
      <c r="D10" s="8"/>
      <c r="E10" s="8"/>
      <c r="F10" s="8"/>
    </row>
    <row r="11" spans="1:25">
      <c r="A11" s="87"/>
      <c r="B11" s="3" t="s">
        <v>9</v>
      </c>
      <c r="H11" s="3" t="s">
        <v>25</v>
      </c>
      <c r="J11" s="9">
        <f>SUM(L11:S11)</f>
        <v>355594186.6006127</v>
      </c>
      <c r="K11" s="10"/>
      <c r="L11" s="65">
        <v>0</v>
      </c>
      <c r="M11" s="65">
        <v>8880192.4545788374</v>
      </c>
      <c r="N11" s="65">
        <v>141855339.68000001</v>
      </c>
      <c r="O11" s="65">
        <v>114575797.41666667</v>
      </c>
      <c r="P11" s="65">
        <v>0</v>
      </c>
      <c r="Q11" s="65">
        <v>82955235.159999996</v>
      </c>
      <c r="R11" s="65">
        <v>7327621.8893671352</v>
      </c>
      <c r="S11" s="65">
        <v>0</v>
      </c>
      <c r="T11" s="63"/>
      <c r="U11" s="62"/>
      <c r="V11" s="62"/>
      <c r="W11" s="62"/>
      <c r="Y11" s="79" t="s">
        <v>298</v>
      </c>
    </row>
    <row r="12" spans="1:25">
      <c r="A12" s="87"/>
      <c r="B12" s="3" t="s">
        <v>10</v>
      </c>
      <c r="H12" s="3" t="s">
        <v>25</v>
      </c>
      <c r="J12" s="9">
        <f t="shared" ref="J12:J14" si="0">SUM(L12:S12)</f>
        <v>19900655.606179394</v>
      </c>
      <c r="K12" s="10"/>
      <c r="L12" s="65">
        <v>3258198</v>
      </c>
      <c r="M12" s="65">
        <v>0</v>
      </c>
      <c r="N12" s="65">
        <v>701040.53364000004</v>
      </c>
      <c r="O12" s="65">
        <v>757117.24166666681</v>
      </c>
      <c r="P12" s="65">
        <v>2116603.44</v>
      </c>
      <c r="Q12" s="65">
        <v>6004607.2448727274</v>
      </c>
      <c r="R12" s="65">
        <v>172155.22599999933</v>
      </c>
      <c r="S12" s="65">
        <v>6890933.9199999999</v>
      </c>
      <c r="T12" s="63"/>
      <c r="U12" s="62"/>
      <c r="V12" s="62"/>
      <c r="W12" s="62"/>
      <c r="Y12" s="79"/>
    </row>
    <row r="13" spans="1:25">
      <c r="A13" s="87"/>
      <c r="B13" s="3" t="s">
        <v>11</v>
      </c>
      <c r="H13" s="3" t="s">
        <v>25</v>
      </c>
      <c r="J13" s="9">
        <f t="shared" si="0"/>
        <v>268445231.60768998</v>
      </c>
      <c r="K13" s="10"/>
      <c r="L13" s="65">
        <v>1043794</v>
      </c>
      <c r="M13" s="65">
        <v>5739842.75</v>
      </c>
      <c r="N13" s="65">
        <v>95272596.307689965</v>
      </c>
      <c r="O13" s="65">
        <v>110406026.91999999</v>
      </c>
      <c r="P13" s="65">
        <v>531075.98</v>
      </c>
      <c r="Q13" s="65">
        <v>48739592</v>
      </c>
      <c r="R13" s="65">
        <v>4108651.93</v>
      </c>
      <c r="S13" s="65">
        <v>2603651.7199999997</v>
      </c>
      <c r="T13" s="63"/>
      <c r="U13" s="62"/>
      <c r="V13" s="62"/>
      <c r="W13" s="62"/>
    </row>
    <row r="14" spans="1:25">
      <c r="A14" s="87"/>
      <c r="B14" s="3" t="s">
        <v>12</v>
      </c>
      <c r="H14" s="3" t="s">
        <v>25</v>
      </c>
      <c r="J14" s="9">
        <f t="shared" si="0"/>
        <v>6288</v>
      </c>
      <c r="K14" s="10"/>
      <c r="L14" s="65">
        <v>6288</v>
      </c>
      <c r="M14" s="65">
        <v>0</v>
      </c>
      <c r="N14" s="65">
        <v>0</v>
      </c>
      <c r="O14" s="65">
        <v>0</v>
      </c>
      <c r="P14" s="65">
        <v>0</v>
      </c>
      <c r="Q14" s="65">
        <v>0</v>
      </c>
      <c r="R14" s="65">
        <v>0</v>
      </c>
      <c r="S14" s="65">
        <v>0</v>
      </c>
      <c r="T14" s="63"/>
      <c r="U14" s="62"/>
      <c r="V14" s="62"/>
      <c r="W14" s="62"/>
    </row>
    <row r="15" spans="1:25">
      <c r="A15" s="87"/>
      <c r="J15" s="10"/>
      <c r="K15" s="10"/>
      <c r="L15" s="63"/>
      <c r="M15" s="63"/>
      <c r="N15" s="63"/>
      <c r="O15" s="63"/>
      <c r="P15" s="63"/>
      <c r="Q15" s="63"/>
      <c r="R15" s="63"/>
      <c r="S15" s="63"/>
      <c r="T15" s="63"/>
      <c r="U15" s="63"/>
      <c r="V15" s="63"/>
      <c r="W15" s="63"/>
    </row>
    <row r="16" spans="1:25">
      <c r="A16" s="87"/>
      <c r="B16" s="8" t="s">
        <v>13</v>
      </c>
      <c r="C16" s="8"/>
      <c r="D16" s="8"/>
      <c r="E16" s="8"/>
      <c r="F16" s="8"/>
      <c r="J16" s="10"/>
      <c r="K16" s="10"/>
      <c r="L16" s="63"/>
      <c r="M16" s="63"/>
      <c r="N16" s="63"/>
      <c r="O16" s="63"/>
      <c r="P16" s="63"/>
      <c r="Q16" s="63"/>
      <c r="R16" s="63"/>
      <c r="S16" s="63"/>
      <c r="T16" s="63"/>
      <c r="U16" s="63"/>
      <c r="V16" s="63"/>
      <c r="W16" s="63"/>
    </row>
    <row r="17" spans="1:25">
      <c r="A17" s="87"/>
      <c r="B17" s="3" t="s">
        <v>14</v>
      </c>
      <c r="H17" s="3" t="s">
        <v>25</v>
      </c>
      <c r="J17" s="9">
        <f t="shared" ref="J17:J18" si="1">SUM(L17:S17)</f>
        <v>840361579.75091136</v>
      </c>
      <c r="K17" s="10"/>
      <c r="L17" s="65">
        <v>4517685</v>
      </c>
      <c r="M17" s="65">
        <v>25343493.373409849</v>
      </c>
      <c r="N17" s="65">
        <v>238347464.43642327</v>
      </c>
      <c r="O17" s="65">
        <v>361385953.88940197</v>
      </c>
      <c r="P17" s="65">
        <v>2145616.61</v>
      </c>
      <c r="Q17" s="65">
        <v>189649902.17479649</v>
      </c>
      <c r="R17" s="65">
        <v>10258780.68565</v>
      </c>
      <c r="S17" s="67">
        <v>8712683.5812297929</v>
      </c>
      <c r="T17" s="63"/>
      <c r="U17" s="62"/>
      <c r="V17" s="62"/>
      <c r="W17" s="62"/>
    </row>
    <row r="18" spans="1:25">
      <c r="A18" s="87"/>
      <c r="B18" s="3" t="s">
        <v>15</v>
      </c>
      <c r="H18" s="3" t="s">
        <v>25</v>
      </c>
      <c r="J18" s="9">
        <f t="shared" si="1"/>
        <v>21599075.919442751</v>
      </c>
      <c r="K18" s="10"/>
      <c r="L18" s="65">
        <v>0</v>
      </c>
      <c r="M18" s="65">
        <v>0</v>
      </c>
      <c r="N18" s="65">
        <v>0</v>
      </c>
      <c r="O18" s="65">
        <v>0</v>
      </c>
      <c r="P18" s="65">
        <v>271762.44</v>
      </c>
      <c r="Q18" s="65">
        <v>21327313.479442749</v>
      </c>
      <c r="R18" s="65">
        <v>0</v>
      </c>
      <c r="S18" s="67">
        <v>0</v>
      </c>
      <c r="T18" s="63"/>
      <c r="U18" s="62"/>
      <c r="V18" s="62"/>
      <c r="W18" s="62"/>
    </row>
    <row r="19" spans="1:25">
      <c r="A19" s="87"/>
      <c r="J19" s="10"/>
      <c r="K19" s="10"/>
      <c r="L19" s="63"/>
      <c r="M19" s="63"/>
      <c r="N19" s="63"/>
      <c r="O19" s="63"/>
      <c r="P19" s="63"/>
      <c r="Q19" s="63"/>
      <c r="R19" s="63"/>
      <c r="S19" s="63"/>
      <c r="T19" s="63"/>
      <c r="U19" s="63"/>
      <c r="V19" s="63"/>
      <c r="W19" s="63"/>
    </row>
    <row r="20" spans="1:25">
      <c r="A20" s="87"/>
      <c r="B20" s="8" t="s">
        <v>16</v>
      </c>
      <c r="C20" s="8"/>
      <c r="D20" s="8"/>
      <c r="E20" s="8"/>
      <c r="F20" s="8"/>
      <c r="J20" s="10"/>
      <c r="K20" s="10"/>
      <c r="L20" s="63"/>
      <c r="M20" s="63"/>
      <c r="N20" s="63"/>
      <c r="O20" s="63"/>
      <c r="P20" s="63"/>
      <c r="Q20" s="63"/>
      <c r="R20" s="63"/>
      <c r="S20" s="63"/>
      <c r="T20" s="63"/>
      <c r="U20" s="63"/>
      <c r="V20" s="63"/>
      <c r="W20" s="63"/>
    </row>
    <row r="21" spans="1:25">
      <c r="A21" s="87"/>
      <c r="B21" s="3" t="s">
        <v>17</v>
      </c>
      <c r="H21" s="3" t="s">
        <v>25</v>
      </c>
      <c r="J21" s="9">
        <f t="shared" ref="J21:J22" si="2">SUM(L21:S21)</f>
        <v>48807818.626913533</v>
      </c>
      <c r="K21" s="10"/>
      <c r="L21" s="65">
        <v>0</v>
      </c>
      <c r="M21" s="65">
        <v>851761.6</v>
      </c>
      <c r="N21" s="65">
        <v>1612169.4569135276</v>
      </c>
      <c r="O21" s="65">
        <v>29496804.710000001</v>
      </c>
      <c r="P21" s="65">
        <v>0</v>
      </c>
      <c r="Q21" s="65">
        <v>16832392</v>
      </c>
      <c r="R21" s="65">
        <v>14690.86</v>
      </c>
      <c r="S21" s="65">
        <v>0</v>
      </c>
      <c r="T21" s="63"/>
      <c r="U21" s="62"/>
      <c r="V21" s="62"/>
      <c r="W21" s="62"/>
    </row>
    <row r="22" spans="1:25">
      <c r="A22" s="87"/>
      <c r="B22" s="3" t="s">
        <v>18</v>
      </c>
      <c r="H22" s="3" t="s">
        <v>25</v>
      </c>
      <c r="J22" s="9">
        <f t="shared" si="2"/>
        <v>1484</v>
      </c>
      <c r="K22" s="10"/>
      <c r="L22" s="65">
        <v>1484</v>
      </c>
      <c r="M22" s="65">
        <v>0</v>
      </c>
      <c r="N22" s="65">
        <v>0</v>
      </c>
      <c r="O22" s="65">
        <v>0</v>
      </c>
      <c r="P22" s="65">
        <v>0</v>
      </c>
      <c r="Q22" s="65">
        <v>0</v>
      </c>
      <c r="R22" s="65">
        <v>0</v>
      </c>
      <c r="S22" s="65">
        <v>0</v>
      </c>
      <c r="T22" s="63"/>
      <c r="U22" s="62"/>
      <c r="V22" s="62"/>
      <c r="W22" s="62"/>
    </row>
    <row r="23" spans="1:25">
      <c r="A23" s="87"/>
      <c r="J23" s="10"/>
      <c r="K23" s="10"/>
      <c r="L23" s="63"/>
      <c r="M23" s="63"/>
      <c r="N23" s="63"/>
      <c r="O23" s="63"/>
      <c r="P23" s="63"/>
      <c r="Q23" s="63"/>
      <c r="R23" s="63"/>
      <c r="S23" s="63"/>
      <c r="T23" s="63"/>
      <c r="U23" s="63"/>
      <c r="V23" s="63"/>
      <c r="W23" s="63"/>
    </row>
    <row r="24" spans="1:25">
      <c r="A24" s="87"/>
      <c r="B24" s="8" t="s">
        <v>19</v>
      </c>
      <c r="C24" s="8"/>
      <c r="D24" s="8"/>
      <c r="E24" s="8"/>
      <c r="F24" s="8"/>
      <c r="J24" s="10"/>
      <c r="K24" s="10"/>
      <c r="L24" s="63"/>
      <c r="M24" s="63"/>
      <c r="N24" s="63"/>
      <c r="O24" s="63"/>
      <c r="P24" s="63"/>
      <c r="Q24" s="63"/>
      <c r="R24" s="63"/>
      <c r="S24" s="63"/>
      <c r="T24" s="63"/>
      <c r="U24" s="63"/>
      <c r="V24" s="63"/>
      <c r="W24" s="63"/>
    </row>
    <row r="25" spans="1:25" ht="15">
      <c r="A25" s="87"/>
      <c r="B25" s="3" t="s">
        <v>20</v>
      </c>
      <c r="C25" s="87"/>
      <c r="D25" s="13"/>
      <c r="H25" s="3" t="s">
        <v>25</v>
      </c>
      <c r="J25" s="9">
        <f t="shared" ref="J25:J28" si="3">SUM(L25:S25)</f>
        <v>5785744.5088608395</v>
      </c>
      <c r="K25" s="10"/>
      <c r="L25" s="84">
        <v>28737.208160840109</v>
      </c>
      <c r="M25" s="84">
        <v>0</v>
      </c>
      <c r="N25" s="84">
        <v>897000</v>
      </c>
      <c r="O25" s="84">
        <v>705744</v>
      </c>
      <c r="P25" s="84">
        <v>3263.3006999999998</v>
      </c>
      <c r="Q25" s="84">
        <v>4000000</v>
      </c>
      <c r="R25" s="84">
        <v>0</v>
      </c>
      <c r="S25" s="84">
        <v>151000</v>
      </c>
      <c r="T25" s="63"/>
      <c r="U25" s="62"/>
      <c r="V25" s="62"/>
      <c r="W25" s="62"/>
      <c r="Y25" s="79" t="s">
        <v>301</v>
      </c>
    </row>
    <row r="26" spans="1:25" ht="15">
      <c r="A26" s="87"/>
      <c r="B26" s="3" t="s">
        <v>21</v>
      </c>
      <c r="C26" s="87"/>
      <c r="H26" s="3" t="s">
        <v>25</v>
      </c>
      <c r="J26" s="9">
        <f t="shared" si="3"/>
        <v>947542.48477746267</v>
      </c>
      <c r="K26" s="10"/>
      <c r="L26" s="68">
        <f>((L51/(1+CPI!$M$20))+(L77/(1+CPI!$M$21))+(L103/(1+CPI!$M$22)))/3</f>
        <v>-54.294998973977982</v>
      </c>
      <c r="M26" s="68">
        <f>((M51/(1+CPI!$M$20))+(M77/(1+CPI!$M$21))+(M103/(1+CPI!$M$22)))/3</f>
        <v>0</v>
      </c>
      <c r="N26" s="68">
        <f>((N51/(1+CPI!$M$20))+(N77/(1+CPI!$M$21))+(N103/(1+CPI!$M$22)))/3</f>
        <v>455909.32626629254</v>
      </c>
      <c r="O26" s="68">
        <f>((O51/(1+CPI!$M$20))+(O77/(1+CPI!$M$21))+(O103/(1+CPI!$M$22)))/3</f>
        <v>0</v>
      </c>
      <c r="P26" s="68">
        <f>((P51/(1+CPI!$M$20))+(P77/(1+CPI!$M$21))+(P103/(1+CPI!$M$22)))/3</f>
        <v>-289.38653862875952</v>
      </c>
      <c r="Q26" s="68">
        <f>((Q51/(1+CPI!$M$20))+(Q77/(1+CPI!$M$21))+(Q103/(1+CPI!$M$22)))/3</f>
        <v>481054.56764304871</v>
      </c>
      <c r="R26" s="68">
        <f>((R51/(1+CPI!$M$20))+(R77/(1+CPI!$M$21))+(R103/(1+CPI!$M$22)))/3</f>
        <v>0</v>
      </c>
      <c r="S26" s="68">
        <f>((S51/(1+CPI!$M$20))+(S77/(1+CPI!$M$21))+(S103/(1+CPI!$M$22)))/3</f>
        <v>10922.272405724121</v>
      </c>
      <c r="T26" s="63"/>
      <c r="U26" s="62"/>
      <c r="V26" s="62"/>
      <c r="W26" s="62"/>
    </row>
    <row r="27" spans="1:25" ht="15">
      <c r="A27" s="87"/>
      <c r="B27" s="3" t="s">
        <v>22</v>
      </c>
      <c r="H27" s="3" t="s">
        <v>25</v>
      </c>
      <c r="J27" s="9">
        <f t="shared" si="3"/>
        <v>5263289.2005261993</v>
      </c>
      <c r="K27" s="10"/>
      <c r="L27" s="84">
        <v>30894</v>
      </c>
      <c r="M27" s="84">
        <v>113082.90043756668</v>
      </c>
      <c r="N27" s="84">
        <v>1592417.5369157223</v>
      </c>
      <c r="O27" s="84">
        <v>1747367.0458747949</v>
      </c>
      <c r="P27" s="84">
        <v>37126.31</v>
      </c>
      <c r="Q27" s="84">
        <v>1467903.3519429786</v>
      </c>
      <c r="R27" s="84">
        <v>205281.53144187349</v>
      </c>
      <c r="S27" s="84">
        <v>69216.523913263387</v>
      </c>
      <c r="T27" s="63"/>
      <c r="U27" s="62"/>
      <c r="V27" s="62"/>
      <c r="W27" s="62"/>
    </row>
    <row r="28" spans="1:25" ht="15">
      <c r="A28" s="87"/>
      <c r="B28" s="3" t="s">
        <v>23</v>
      </c>
      <c r="H28" s="3" t="s">
        <v>25</v>
      </c>
      <c r="J28" s="9">
        <f t="shared" si="3"/>
        <v>18798386.207195289</v>
      </c>
      <c r="K28" s="10"/>
      <c r="L28" s="84">
        <v>0</v>
      </c>
      <c r="M28" s="84">
        <v>95907.53</v>
      </c>
      <c r="N28" s="84">
        <v>6084709.2708396483</v>
      </c>
      <c r="O28" s="84">
        <v>11890028.667398341</v>
      </c>
      <c r="P28" s="84">
        <v>38704.22</v>
      </c>
      <c r="Q28" s="84">
        <v>285737.56154795532</v>
      </c>
      <c r="R28" s="84">
        <v>105500</v>
      </c>
      <c r="S28" s="84">
        <v>297798.95740934968</v>
      </c>
      <c r="T28" s="63"/>
      <c r="U28" s="62"/>
      <c r="V28" s="62"/>
      <c r="W28" s="62"/>
    </row>
    <row r="29" spans="1:25">
      <c r="A29" s="87"/>
      <c r="J29" s="10"/>
      <c r="K29" s="10"/>
      <c r="L29" s="63"/>
      <c r="M29" s="63"/>
      <c r="N29" s="63"/>
      <c r="O29" s="63"/>
      <c r="P29" s="63"/>
      <c r="Q29" s="63"/>
      <c r="R29" s="63"/>
      <c r="S29" s="63"/>
      <c r="T29" s="63"/>
      <c r="U29" s="63"/>
      <c r="V29" s="63"/>
      <c r="W29" s="63"/>
    </row>
    <row r="30" spans="1:25">
      <c r="A30" s="87"/>
      <c r="B30" s="3" t="s">
        <v>24</v>
      </c>
      <c r="C30" s="8"/>
      <c r="D30" s="8"/>
      <c r="E30" s="8"/>
      <c r="F30" s="8"/>
      <c r="H30" s="3" t="s">
        <v>25</v>
      </c>
      <c r="J30" s="9">
        <f>SUM(L30:S30)</f>
        <v>1585511282.5131097</v>
      </c>
      <c r="K30" s="12"/>
      <c r="L30" s="60">
        <f t="shared" ref="L30:W30" si="4">SUM(L11:L14,L17:L18,L21:L22,L25:L28)</f>
        <v>8887025.9131618664</v>
      </c>
      <c r="M30" s="60">
        <f t="shared" si="4"/>
        <v>41024280.608426251</v>
      </c>
      <c r="N30" s="60">
        <f t="shared" si="4"/>
        <v>486818646.54868841</v>
      </c>
      <c r="O30" s="60">
        <f t="shared" si="4"/>
        <v>630964839.8910085</v>
      </c>
      <c r="P30" s="60">
        <f t="shared" si="4"/>
        <v>5143862.9141613701</v>
      </c>
      <c r="Q30" s="60">
        <f t="shared" si="4"/>
        <v>371743737.54024595</v>
      </c>
      <c r="R30" s="60">
        <f t="shared" si="4"/>
        <v>22192682.122459009</v>
      </c>
      <c r="S30" s="60">
        <f>SUM(S11:S14,S17:S18,S21:S22,S25:S28)</f>
        <v>18736206.974958129</v>
      </c>
      <c r="T30" s="63"/>
      <c r="U30" s="60">
        <f t="shared" si="4"/>
        <v>0</v>
      </c>
      <c r="V30" s="60">
        <f t="shared" si="4"/>
        <v>0</v>
      </c>
      <c r="W30" s="60">
        <f t="shared" si="4"/>
        <v>0</v>
      </c>
    </row>
    <row r="31" spans="1:25">
      <c r="J31" s="10"/>
      <c r="K31" s="10"/>
      <c r="L31" s="63"/>
      <c r="M31" s="63"/>
      <c r="N31" s="63"/>
      <c r="O31" s="63"/>
      <c r="P31" s="63"/>
      <c r="Q31" s="63"/>
      <c r="R31" s="63"/>
      <c r="S31" s="63"/>
      <c r="T31" s="63"/>
      <c r="U31" s="63"/>
      <c r="V31" s="63"/>
    </row>
    <row r="32" spans="1:25">
      <c r="J32" s="10"/>
      <c r="K32" s="10"/>
      <c r="L32" s="63"/>
      <c r="M32" s="63"/>
      <c r="N32" s="63"/>
      <c r="O32" s="63"/>
      <c r="P32" s="63"/>
      <c r="Q32" s="63"/>
      <c r="R32" s="63"/>
      <c r="S32" s="63"/>
      <c r="T32" s="63"/>
      <c r="U32" s="63"/>
      <c r="V32" s="63"/>
    </row>
    <row r="33" spans="1:25" s="4" customFormat="1">
      <c r="B33" s="4" t="s">
        <v>27</v>
      </c>
      <c r="J33" s="5"/>
      <c r="K33" s="5"/>
      <c r="L33" s="64"/>
      <c r="M33" s="64"/>
      <c r="N33" s="64"/>
      <c r="O33" s="64"/>
      <c r="P33" s="64"/>
      <c r="Q33" s="64"/>
      <c r="R33" s="64"/>
      <c r="S33" s="64"/>
      <c r="T33" s="64"/>
      <c r="U33" s="64"/>
      <c r="V33" s="64"/>
      <c r="X33" s="102"/>
    </row>
    <row r="34" spans="1:25">
      <c r="J34" s="10"/>
      <c r="K34" s="10"/>
      <c r="L34" s="63"/>
      <c r="M34" s="63"/>
      <c r="N34" s="63"/>
      <c r="O34" s="63"/>
      <c r="P34" s="63"/>
      <c r="Q34" s="63"/>
      <c r="R34" s="63"/>
      <c r="S34" s="63"/>
      <c r="T34" s="63"/>
      <c r="U34" s="63"/>
      <c r="V34" s="63"/>
    </row>
    <row r="35" spans="1:25">
      <c r="A35" s="87"/>
      <c r="B35" s="8" t="s">
        <v>8</v>
      </c>
      <c r="J35" s="10"/>
      <c r="K35" s="10"/>
      <c r="L35" s="63"/>
      <c r="M35" s="63"/>
      <c r="N35" s="63"/>
      <c r="O35" s="63"/>
      <c r="P35" s="63"/>
      <c r="Q35" s="63"/>
      <c r="R35" s="63"/>
      <c r="S35" s="63"/>
      <c r="T35" s="63"/>
      <c r="U35" s="63"/>
      <c r="V35" s="63"/>
    </row>
    <row r="36" spans="1:25">
      <c r="A36" s="87"/>
      <c r="B36" s="3" t="s">
        <v>9</v>
      </c>
      <c r="H36" s="3" t="s">
        <v>28</v>
      </c>
      <c r="J36" s="9">
        <f t="shared" ref="J36:J39" si="5">SUM(L36:S36)</f>
        <v>352832329.41871083</v>
      </c>
      <c r="K36" s="10"/>
      <c r="L36" s="65"/>
      <c r="M36" s="65">
        <v>8215832.6700000409</v>
      </c>
      <c r="N36" s="65">
        <v>144632282.83000001</v>
      </c>
      <c r="O36" s="65">
        <v>124350203.34999999</v>
      </c>
      <c r="P36" s="65"/>
      <c r="Q36" s="65">
        <v>67749079.479999989</v>
      </c>
      <c r="R36" s="65">
        <v>7884931.0887107914</v>
      </c>
      <c r="S36" s="65">
        <v>0</v>
      </c>
      <c r="T36" s="63"/>
      <c r="U36" s="85">
        <v>4354753.2083242899</v>
      </c>
      <c r="V36" s="65">
        <v>67749079.479999989</v>
      </c>
      <c r="W36" s="65"/>
      <c r="Y36" s="79" t="s">
        <v>299</v>
      </c>
    </row>
    <row r="37" spans="1:25">
      <c r="A37" s="87"/>
      <c r="B37" s="3" t="s">
        <v>10</v>
      </c>
      <c r="H37" s="3" t="s">
        <v>28</v>
      </c>
      <c r="J37" s="9">
        <f t="shared" si="5"/>
        <v>18339044.891416967</v>
      </c>
      <c r="K37" s="10"/>
      <c r="L37" s="65">
        <v>3296524.649999999</v>
      </c>
      <c r="M37" s="65"/>
      <c r="N37" s="65">
        <v>1011085.9479199999</v>
      </c>
      <c r="O37" s="65">
        <v>775274.64833333343</v>
      </c>
      <c r="P37" s="65">
        <v>2088919.51</v>
      </c>
      <c r="Q37" s="65">
        <v>4013382.7863636371</v>
      </c>
      <c r="R37" s="65">
        <v>203863.00879999885</v>
      </c>
      <c r="S37" s="65">
        <v>6949994.3399999999</v>
      </c>
      <c r="T37" s="63"/>
      <c r="U37" s="65">
        <v>677273.73999999987</v>
      </c>
      <c r="V37" s="65">
        <v>0</v>
      </c>
      <c r="W37" s="65"/>
      <c r="Y37" s="79" t="s">
        <v>319</v>
      </c>
    </row>
    <row r="38" spans="1:25">
      <c r="A38" s="87"/>
      <c r="B38" s="3" t="s">
        <v>11</v>
      </c>
      <c r="H38" s="3" t="s">
        <v>28</v>
      </c>
      <c r="J38" s="9">
        <f t="shared" si="5"/>
        <v>217123614.08568338</v>
      </c>
      <c r="K38" s="10"/>
      <c r="L38" s="65">
        <v>1065236.2</v>
      </c>
      <c r="M38" s="65">
        <v>5352255.3500000015</v>
      </c>
      <c r="N38" s="65">
        <v>84045729.455683336</v>
      </c>
      <c r="O38" s="65">
        <v>70209363.38000001</v>
      </c>
      <c r="P38" s="65">
        <v>510484.43</v>
      </c>
      <c r="Q38" s="65">
        <v>50740372.970000006</v>
      </c>
      <c r="R38" s="65">
        <v>3516492.3399999994</v>
      </c>
      <c r="S38" s="65">
        <v>1683679.9599999997</v>
      </c>
      <c r="T38" s="63"/>
      <c r="U38" s="65">
        <v>2037016</v>
      </c>
      <c r="V38" s="65">
        <v>2045693.04</v>
      </c>
      <c r="W38" s="65"/>
      <c r="Y38" s="79" t="s">
        <v>264</v>
      </c>
    </row>
    <row r="39" spans="1:25">
      <c r="A39" s="87"/>
      <c r="B39" s="3" t="s">
        <v>12</v>
      </c>
      <c r="H39" s="3" t="s">
        <v>28</v>
      </c>
      <c r="J39" s="9">
        <f t="shared" si="5"/>
        <v>4966.5099999999993</v>
      </c>
      <c r="K39" s="10"/>
      <c r="L39" s="65">
        <v>4966.5099999999993</v>
      </c>
      <c r="M39" s="65"/>
      <c r="N39" s="65"/>
      <c r="O39" s="65"/>
      <c r="P39" s="65"/>
      <c r="Q39" s="65">
        <v>0</v>
      </c>
      <c r="R39" s="65"/>
      <c r="S39" s="65">
        <v>0</v>
      </c>
      <c r="T39" s="63"/>
      <c r="U39" s="65"/>
      <c r="V39" s="65">
        <v>0</v>
      </c>
      <c r="W39" s="65"/>
      <c r="Y39" s="79" t="s">
        <v>318</v>
      </c>
    </row>
    <row r="40" spans="1:25">
      <c r="A40" s="87"/>
      <c r="J40" s="10"/>
      <c r="K40" s="10"/>
      <c r="L40" s="63"/>
      <c r="M40" s="63"/>
      <c r="N40" s="63"/>
      <c r="O40" s="63"/>
      <c r="P40" s="63"/>
      <c r="Q40" s="63"/>
      <c r="R40" s="63"/>
      <c r="S40" s="63"/>
      <c r="T40" s="63"/>
      <c r="U40" s="63"/>
      <c r="V40" s="63"/>
      <c r="W40" s="63"/>
    </row>
    <row r="41" spans="1:25">
      <c r="A41" s="87"/>
      <c r="B41" s="8" t="s">
        <v>13</v>
      </c>
      <c r="J41" s="10"/>
      <c r="K41" s="10"/>
      <c r="L41" s="63"/>
      <c r="M41" s="63"/>
      <c r="N41" s="63"/>
      <c r="O41" s="63"/>
      <c r="P41" s="63"/>
      <c r="Q41" s="63"/>
      <c r="R41" s="63"/>
      <c r="S41" s="63"/>
      <c r="T41" s="63"/>
      <c r="U41" s="63"/>
      <c r="V41" s="63"/>
      <c r="W41" s="63"/>
    </row>
    <row r="42" spans="1:25">
      <c r="A42" s="87"/>
      <c r="B42" s="3" t="s">
        <v>14</v>
      </c>
      <c r="H42" s="3" t="s">
        <v>28</v>
      </c>
      <c r="J42" s="9">
        <f t="shared" ref="J42:J43" si="6">SUM(L42:S42)</f>
        <v>869206334.23602557</v>
      </c>
      <c r="K42" s="10"/>
      <c r="L42" s="65">
        <v>4803133.1930687549</v>
      </c>
      <c r="M42" s="65">
        <v>24696646.011580497</v>
      </c>
      <c r="N42" s="70">
        <v>244507078.8154262</v>
      </c>
      <c r="O42" s="65">
        <v>368996107.99925345</v>
      </c>
      <c r="P42" s="65">
        <v>1951528.21</v>
      </c>
      <c r="Q42" s="65">
        <v>203930687.87268955</v>
      </c>
      <c r="R42" s="65">
        <v>10425271.524883626</v>
      </c>
      <c r="S42" s="65">
        <v>9895880.6091236062</v>
      </c>
      <c r="T42" s="63"/>
      <c r="U42" s="65">
        <v>7027961</v>
      </c>
      <c r="V42" s="65"/>
      <c r="W42" s="65"/>
    </row>
    <row r="43" spans="1:25">
      <c r="A43" s="87"/>
      <c r="B43" s="3" t="s">
        <v>15</v>
      </c>
      <c r="H43" s="3" t="s">
        <v>28</v>
      </c>
      <c r="J43" s="9">
        <f t="shared" si="6"/>
        <v>18293998.096575361</v>
      </c>
      <c r="K43" s="10"/>
      <c r="L43" s="65"/>
      <c r="M43" s="65"/>
      <c r="N43" s="70"/>
      <c r="O43" s="65"/>
      <c r="P43" s="65">
        <v>489713.73</v>
      </c>
      <c r="Q43" s="65">
        <v>17804284.36657536</v>
      </c>
      <c r="R43" s="65"/>
      <c r="S43" s="65">
        <v>0</v>
      </c>
      <c r="T43" s="63"/>
      <c r="U43" s="65"/>
      <c r="V43" s="65">
        <v>5818154.0616568001</v>
      </c>
      <c r="W43" s="65">
        <v>2160</v>
      </c>
    </row>
    <row r="44" spans="1:25">
      <c r="A44" s="87"/>
      <c r="J44" s="10"/>
      <c r="K44" s="10"/>
      <c r="L44" s="63"/>
      <c r="M44" s="63"/>
      <c r="N44" s="63"/>
      <c r="O44" s="63"/>
      <c r="P44" s="63"/>
      <c r="Q44" s="63"/>
      <c r="R44" s="63"/>
      <c r="S44" s="63"/>
      <c r="T44" s="63"/>
      <c r="U44" s="63"/>
      <c r="V44" s="63"/>
      <c r="W44" s="63"/>
    </row>
    <row r="45" spans="1:25">
      <c r="A45" s="87"/>
      <c r="B45" s="8" t="s">
        <v>16</v>
      </c>
      <c r="J45" s="10"/>
      <c r="K45" s="10"/>
      <c r="L45" s="63"/>
      <c r="M45" s="63"/>
      <c r="N45" s="63"/>
      <c r="O45" s="63"/>
      <c r="P45" s="63"/>
      <c r="Q45" s="63"/>
      <c r="R45" s="63"/>
      <c r="S45" s="63"/>
      <c r="T45" s="63"/>
      <c r="U45" s="63"/>
      <c r="V45" s="63"/>
      <c r="W45" s="63"/>
    </row>
    <row r="46" spans="1:25">
      <c r="A46" s="87"/>
      <c r="B46" s="3" t="s">
        <v>17</v>
      </c>
      <c r="H46" s="3" t="s">
        <v>28</v>
      </c>
      <c r="J46" s="9">
        <f t="shared" ref="J46:J47" si="7">SUM(L46:S46)</f>
        <v>58078948.739999995</v>
      </c>
      <c r="K46" s="10"/>
      <c r="L46" s="65"/>
      <c r="M46" s="65">
        <v>991640</v>
      </c>
      <c r="N46" s="65"/>
      <c r="O46" s="65">
        <v>41444801.299999997</v>
      </c>
      <c r="P46" s="47"/>
      <c r="Q46" s="65">
        <v>15610776</v>
      </c>
      <c r="R46" s="65">
        <v>31731.439999999999</v>
      </c>
      <c r="S46" s="65">
        <v>0</v>
      </c>
      <c r="T46" s="63"/>
      <c r="U46" s="47"/>
      <c r="V46" s="65">
        <v>265957.19999999995</v>
      </c>
      <c r="W46" s="65"/>
    </row>
    <row r="47" spans="1:25">
      <c r="A47" s="87"/>
      <c r="B47" s="3" t="s">
        <v>18</v>
      </c>
      <c r="H47" s="3" t="s">
        <v>28</v>
      </c>
      <c r="J47" s="9">
        <f t="shared" si="7"/>
        <v>1481418.5229985795</v>
      </c>
      <c r="K47" s="10"/>
      <c r="L47" s="65">
        <v>551.77859999999998</v>
      </c>
      <c r="M47" s="65"/>
      <c r="N47" s="65">
        <v>1480866.7443985795</v>
      </c>
      <c r="O47" s="65"/>
      <c r="P47" s="47"/>
      <c r="Q47" s="65">
        <v>0</v>
      </c>
      <c r="R47" s="65"/>
      <c r="S47" s="65">
        <v>0</v>
      </c>
      <c r="T47" s="63"/>
      <c r="U47" s="47"/>
      <c r="V47" s="65">
        <v>0</v>
      </c>
      <c r="W47" s="65"/>
    </row>
    <row r="48" spans="1:25">
      <c r="A48" s="87"/>
      <c r="J48" s="10"/>
      <c r="K48" s="10"/>
      <c r="L48" s="63"/>
      <c r="M48" s="63"/>
      <c r="N48" s="63"/>
      <c r="O48" s="63"/>
      <c r="P48" s="63"/>
      <c r="Q48" s="63"/>
      <c r="R48" s="63"/>
      <c r="S48" s="63"/>
      <c r="T48" s="63"/>
      <c r="U48" s="63"/>
      <c r="V48" s="63"/>
      <c r="W48" s="63"/>
    </row>
    <row r="49" spans="1:25">
      <c r="A49" s="87"/>
      <c r="B49" s="8" t="s">
        <v>19</v>
      </c>
      <c r="J49" s="10"/>
      <c r="K49" s="10"/>
      <c r="L49" s="63"/>
      <c r="M49" s="63"/>
      <c r="N49" s="63"/>
      <c r="O49" s="63"/>
      <c r="P49" s="63"/>
      <c r="Q49" s="63"/>
      <c r="R49" s="63"/>
      <c r="S49" s="63"/>
      <c r="T49" s="63"/>
      <c r="U49" s="63"/>
      <c r="V49" s="63"/>
      <c r="W49" s="63"/>
    </row>
    <row r="50" spans="1:25">
      <c r="A50" s="87"/>
      <c r="B50" s="3" t="s">
        <v>20</v>
      </c>
      <c r="H50" s="3" t="s">
        <v>28</v>
      </c>
      <c r="J50" s="9">
        <f t="shared" ref="J50:J53" si="8">SUM(L50:S50)</f>
        <v>6311394.7387499996</v>
      </c>
      <c r="K50" s="10"/>
      <c r="L50" s="65">
        <v>0</v>
      </c>
      <c r="M50" s="65">
        <v>0</v>
      </c>
      <c r="N50" s="65">
        <v>1559000</v>
      </c>
      <c r="O50" s="65">
        <v>377716</v>
      </c>
      <c r="P50" s="65">
        <v>5963.29</v>
      </c>
      <c r="Q50" s="65">
        <v>4000433</v>
      </c>
      <c r="R50" s="65">
        <v>0</v>
      </c>
      <c r="S50" s="65">
        <v>368282.44874999998</v>
      </c>
      <c r="T50" s="63"/>
      <c r="U50" s="65">
        <v>0</v>
      </c>
      <c r="V50" s="65">
        <v>0</v>
      </c>
      <c r="W50" s="65"/>
      <c r="Y50" s="79" t="s">
        <v>302</v>
      </c>
    </row>
    <row r="51" spans="1:25">
      <c r="A51" s="87"/>
      <c r="B51" s="3" t="s">
        <v>21</v>
      </c>
      <c r="C51" s="87"/>
      <c r="H51" s="3" t="s">
        <v>28</v>
      </c>
      <c r="J51" s="9">
        <f t="shared" si="8"/>
        <v>289953.94998586364</v>
      </c>
      <c r="K51" s="10"/>
      <c r="L51" s="47"/>
      <c r="M51" s="65"/>
      <c r="N51" s="65">
        <v>209173.208753076</v>
      </c>
      <c r="O51" s="65">
        <v>0</v>
      </c>
      <c r="P51" s="65">
        <v>-6631.57</v>
      </c>
      <c r="Q51" s="65">
        <v>77271.368429398106</v>
      </c>
      <c r="R51" s="65"/>
      <c r="S51" s="65">
        <v>10140.9428033895</v>
      </c>
      <c r="T51" s="63"/>
      <c r="U51" s="47"/>
      <c r="V51" s="47"/>
      <c r="W51" s="47"/>
    </row>
    <row r="52" spans="1:25">
      <c r="A52" s="87"/>
      <c r="B52" s="3" t="s">
        <v>22</v>
      </c>
      <c r="H52" s="3" t="s">
        <v>28</v>
      </c>
      <c r="J52" s="9">
        <f t="shared" si="8"/>
        <v>1838395.9156653315</v>
      </c>
      <c r="K52" s="10"/>
      <c r="L52" s="47"/>
      <c r="M52" s="65"/>
      <c r="N52" s="65">
        <v>291978.37168967264</v>
      </c>
      <c r="O52" s="65">
        <v>938649.75574271812</v>
      </c>
      <c r="P52" s="65">
        <v>4597.8700000000008</v>
      </c>
      <c r="Q52" s="65">
        <v>343546.291588575</v>
      </c>
      <c r="R52" s="65">
        <v>190042.84</v>
      </c>
      <c r="S52" s="65">
        <v>69580.786644365638</v>
      </c>
      <c r="T52" s="63"/>
      <c r="U52" s="47"/>
      <c r="V52" s="47"/>
      <c r="W52" s="47"/>
    </row>
    <row r="53" spans="1:25">
      <c r="A53" s="87"/>
      <c r="B53" s="3" t="s">
        <v>23</v>
      </c>
      <c r="H53" s="3" t="s">
        <v>28</v>
      </c>
      <c r="J53" s="9">
        <f t="shared" si="8"/>
        <v>17435206.660902489</v>
      </c>
      <c r="K53" s="10"/>
      <c r="L53" s="47"/>
      <c r="M53" s="65">
        <v>-16957.805764429053</v>
      </c>
      <c r="N53" s="65">
        <v>3858468.3415098139</v>
      </c>
      <c r="O53" s="65">
        <v>13160464.142513096</v>
      </c>
      <c r="P53" s="65">
        <v>29747.040000000001</v>
      </c>
      <c r="Q53" s="65">
        <v>174642.41007264235</v>
      </c>
      <c r="R53" s="65">
        <v>25970</v>
      </c>
      <c r="S53" s="65">
        <v>202872.53257136588</v>
      </c>
      <c r="T53" s="63"/>
      <c r="U53" s="47"/>
      <c r="V53" s="47"/>
      <c r="W53" s="47"/>
    </row>
    <row r="54" spans="1:25">
      <c r="A54" s="87"/>
      <c r="J54" s="10"/>
      <c r="K54" s="10"/>
      <c r="L54" s="63"/>
      <c r="M54" s="63"/>
      <c r="N54" s="63"/>
      <c r="O54" s="63"/>
      <c r="P54" s="63"/>
      <c r="Q54" s="63"/>
      <c r="R54" s="63"/>
      <c r="S54" s="63"/>
      <c r="T54" s="63"/>
      <c r="U54" s="63"/>
      <c r="V54" s="63"/>
      <c r="W54" s="63"/>
    </row>
    <row r="55" spans="1:25">
      <c r="A55" s="87"/>
      <c r="B55" s="8" t="s">
        <v>24</v>
      </c>
      <c r="H55" s="3" t="s">
        <v>28</v>
      </c>
      <c r="J55" s="9">
        <f t="shared" ref="J55" si="9">SUM(L55:S55)</f>
        <v>1561235605.7667146</v>
      </c>
      <c r="K55" s="12"/>
      <c r="L55" s="60">
        <f t="shared" ref="L55:V55" si="10">SUM(L36:L39,L42:L43,L46:L47,L50:L53)</f>
        <v>9170412.3316687532</v>
      </c>
      <c r="M55" s="60">
        <f>SUM(M36:M39,M42:M43,M46:M47,M50:M53)</f>
        <v>39239416.225816108</v>
      </c>
      <c r="N55" s="60">
        <f t="shared" si="10"/>
        <v>481595663.71538073</v>
      </c>
      <c r="O55" s="60">
        <f t="shared" si="10"/>
        <v>620252580.57584262</v>
      </c>
      <c r="P55" s="60">
        <f t="shared" si="10"/>
        <v>5074322.5100000007</v>
      </c>
      <c r="Q55" s="60">
        <f t="shared" si="10"/>
        <v>364444476.54571915</v>
      </c>
      <c r="R55" s="60">
        <f t="shared" si="10"/>
        <v>22278302.242394418</v>
      </c>
      <c r="S55" s="60">
        <f>SUM(S36:S39,S42:S43,S46:S47,S50:S53)</f>
        <v>19180431.619892728</v>
      </c>
      <c r="T55" s="60"/>
      <c r="U55" s="60">
        <f t="shared" si="10"/>
        <v>14097003.948324289</v>
      </c>
      <c r="V55" s="60">
        <f t="shared" si="10"/>
        <v>75878883.781656802</v>
      </c>
      <c r="W55" s="60">
        <f t="shared" ref="W55" si="11">SUM(W36:W39,W42:W43,W46:W47,W50:W53)</f>
        <v>2160</v>
      </c>
    </row>
    <row r="56" spans="1:25">
      <c r="J56" s="10"/>
      <c r="K56" s="10"/>
      <c r="L56" s="10"/>
      <c r="M56" s="10"/>
      <c r="N56" s="10"/>
      <c r="O56" s="10"/>
      <c r="P56" s="10"/>
      <c r="Q56" s="10"/>
      <c r="R56" s="10"/>
      <c r="S56" s="10"/>
      <c r="T56" s="10"/>
      <c r="U56" s="10"/>
      <c r="V56" s="10"/>
    </row>
    <row r="57" spans="1:25">
      <c r="J57" s="10"/>
      <c r="K57" s="10"/>
      <c r="L57" s="10"/>
      <c r="M57" s="10"/>
      <c r="N57" s="10"/>
      <c r="O57" s="10"/>
      <c r="P57" s="10"/>
      <c r="Q57" s="10"/>
      <c r="R57" s="10"/>
      <c r="S57" s="10"/>
      <c r="T57" s="10"/>
      <c r="U57" s="10"/>
      <c r="V57" s="10"/>
    </row>
    <row r="58" spans="1:25" s="4" customFormat="1">
      <c r="B58" s="4" t="s">
        <v>29</v>
      </c>
      <c r="J58" s="5"/>
      <c r="K58" s="5"/>
      <c r="L58" s="5"/>
      <c r="M58" s="5"/>
      <c r="N58" s="5"/>
      <c r="O58" s="5"/>
      <c r="P58" s="5"/>
      <c r="Q58" s="5"/>
      <c r="R58" s="5"/>
      <c r="S58" s="5"/>
      <c r="T58" s="5"/>
      <c r="U58" s="5"/>
      <c r="V58" s="5"/>
      <c r="X58" s="102"/>
    </row>
    <row r="59" spans="1:25">
      <c r="J59" s="10"/>
      <c r="K59" s="10"/>
      <c r="L59" s="10"/>
      <c r="M59" s="10"/>
      <c r="N59" s="10"/>
      <c r="O59" s="10"/>
      <c r="P59" s="10"/>
      <c r="Q59" s="10"/>
      <c r="R59" s="10"/>
      <c r="S59" s="10"/>
      <c r="T59" s="10"/>
      <c r="U59" s="10"/>
      <c r="V59" s="10"/>
    </row>
    <row r="60" spans="1:25">
      <c r="A60" s="87"/>
      <c r="B60" s="8" t="s">
        <v>8</v>
      </c>
      <c r="J60" s="10"/>
      <c r="K60" s="10"/>
      <c r="L60" s="10"/>
      <c r="M60" s="10"/>
      <c r="N60" s="10"/>
      <c r="O60" s="10"/>
      <c r="P60" s="10"/>
      <c r="Q60" s="10"/>
      <c r="R60" s="10"/>
      <c r="S60" s="10"/>
      <c r="T60" s="10"/>
      <c r="U60" s="10"/>
      <c r="V60" s="10"/>
    </row>
    <row r="61" spans="1:25">
      <c r="A61" s="87"/>
      <c r="B61" s="3" t="s">
        <v>9</v>
      </c>
      <c r="H61" s="3" t="s">
        <v>30</v>
      </c>
      <c r="J61" s="9">
        <f t="shared" ref="J61:J64" si="12">SUM(L61:S61)</f>
        <v>388485395.21986371</v>
      </c>
      <c r="K61" s="10"/>
      <c r="L61" s="49"/>
      <c r="M61" s="50">
        <v>8687193.3200000022</v>
      </c>
      <c r="N61" s="50">
        <v>153751852.24999997</v>
      </c>
      <c r="O61" s="50">
        <v>133511956.96000001</v>
      </c>
      <c r="P61" s="50"/>
      <c r="Q61" s="50">
        <v>83860478.120000005</v>
      </c>
      <c r="R61" s="50">
        <v>8673914.5698637087</v>
      </c>
      <c r="S61" s="59">
        <v>0</v>
      </c>
      <c r="T61" s="63"/>
      <c r="U61" s="72">
        <v>4584473.5586680938</v>
      </c>
      <c r="V61" s="52">
        <v>83860478.120000005</v>
      </c>
      <c r="W61" s="52"/>
      <c r="Y61" s="79" t="s">
        <v>265</v>
      </c>
    </row>
    <row r="62" spans="1:25">
      <c r="A62" s="87"/>
      <c r="B62" s="3" t="s">
        <v>10</v>
      </c>
      <c r="H62" s="3" t="s">
        <v>30</v>
      </c>
      <c r="J62" s="9">
        <f t="shared" si="12"/>
        <v>19109686.717</v>
      </c>
      <c r="K62" s="10"/>
      <c r="L62" s="51">
        <v>3337227</v>
      </c>
      <c r="M62" s="52"/>
      <c r="N62" s="52">
        <v>577395.04720000003</v>
      </c>
      <c r="O62" s="52">
        <v>792392.82000000007</v>
      </c>
      <c r="P62" s="52">
        <v>2286987.17</v>
      </c>
      <c r="Q62" s="52">
        <v>4928024.4050000003</v>
      </c>
      <c r="R62" s="52">
        <v>181199.03480000034</v>
      </c>
      <c r="S62" s="53">
        <v>7006461.2400000002</v>
      </c>
      <c r="T62" s="63"/>
      <c r="U62" s="72">
        <v>315433.19999999995</v>
      </c>
      <c r="V62" s="52">
        <v>0</v>
      </c>
      <c r="W62" s="52"/>
      <c r="Y62" s="79" t="s">
        <v>319</v>
      </c>
    </row>
    <row r="63" spans="1:25">
      <c r="A63" s="87"/>
      <c r="B63" s="3" t="s">
        <v>11</v>
      </c>
      <c r="H63" s="3" t="s">
        <v>30</v>
      </c>
      <c r="J63" s="9">
        <f t="shared" si="12"/>
        <v>218483408.52166292</v>
      </c>
      <c r="K63" s="10"/>
      <c r="L63" s="51">
        <v>754058.13</v>
      </c>
      <c r="M63" s="52">
        <v>4394583.4499999993</v>
      </c>
      <c r="N63" s="52">
        <v>88641927.667999998</v>
      </c>
      <c r="O63" s="52">
        <v>81068868</v>
      </c>
      <c r="P63" s="52">
        <v>509618.77</v>
      </c>
      <c r="Q63" s="52">
        <v>38014261.883662902</v>
      </c>
      <c r="R63" s="52">
        <v>2552334.4299999997</v>
      </c>
      <c r="S63" s="53">
        <v>2547756.19</v>
      </c>
      <c r="T63" s="63"/>
      <c r="U63" s="72">
        <v>2049112.9</v>
      </c>
      <c r="V63" s="52">
        <v>1667871.98</v>
      </c>
      <c r="W63" s="52"/>
      <c r="Y63" s="79" t="s">
        <v>264</v>
      </c>
    </row>
    <row r="64" spans="1:25">
      <c r="A64" s="87"/>
      <c r="B64" s="3" t="s">
        <v>12</v>
      </c>
      <c r="H64" s="3" t="s">
        <v>30</v>
      </c>
      <c r="J64" s="9">
        <f t="shared" si="12"/>
        <v>0</v>
      </c>
      <c r="K64" s="10"/>
      <c r="L64" s="54"/>
      <c r="M64" s="55"/>
      <c r="N64" s="55"/>
      <c r="O64" s="55"/>
      <c r="P64" s="55"/>
      <c r="Q64" s="55"/>
      <c r="R64" s="55"/>
      <c r="S64" s="56">
        <v>0</v>
      </c>
      <c r="T64" s="63"/>
      <c r="U64" s="72"/>
      <c r="V64" s="52">
        <v>0</v>
      </c>
      <c r="W64" s="52"/>
      <c r="Y64" s="79" t="s">
        <v>318</v>
      </c>
    </row>
    <row r="65" spans="1:23">
      <c r="A65" s="87"/>
      <c r="J65" s="10"/>
      <c r="K65" s="10"/>
      <c r="L65" s="10"/>
      <c r="M65" s="10"/>
      <c r="N65" s="10"/>
      <c r="O65" s="10"/>
      <c r="P65" s="10"/>
      <c r="Q65" s="10"/>
      <c r="R65" s="10"/>
      <c r="S65" s="10"/>
      <c r="T65" s="63"/>
      <c r="U65" s="10"/>
      <c r="V65" s="10"/>
      <c r="W65" s="10"/>
    </row>
    <row r="66" spans="1:23">
      <c r="A66" s="87"/>
      <c r="B66" s="8" t="s">
        <v>13</v>
      </c>
      <c r="J66" s="10"/>
      <c r="K66" s="10"/>
      <c r="L66" s="10"/>
      <c r="M66" s="10"/>
      <c r="N66" s="10"/>
      <c r="O66" s="10"/>
      <c r="P66" s="10"/>
      <c r="Q66" s="10"/>
      <c r="R66" s="10"/>
      <c r="S66" s="10"/>
      <c r="T66" s="63"/>
      <c r="U66" s="10"/>
      <c r="V66" s="10"/>
      <c r="W66" s="10"/>
    </row>
    <row r="67" spans="1:23">
      <c r="A67" s="87"/>
      <c r="B67" s="3" t="s">
        <v>14</v>
      </c>
      <c r="H67" s="3" t="s">
        <v>30</v>
      </c>
      <c r="J67" s="9">
        <f t="shared" ref="J67:J69" si="13">SUM(L67:S67)</f>
        <v>819236838.40818977</v>
      </c>
      <c r="K67" s="10"/>
      <c r="L67" s="49">
        <v>4611195</v>
      </c>
      <c r="M67" s="50">
        <v>22229513.247884039</v>
      </c>
      <c r="N67" s="50">
        <v>234040965.97842473</v>
      </c>
      <c r="O67" s="50">
        <v>353796433.60382622</v>
      </c>
      <c r="P67" s="50">
        <v>2063983.05</v>
      </c>
      <c r="Q67" s="50">
        <v>184118025.35547882</v>
      </c>
      <c r="R67" s="50">
        <v>10166660.071049457</v>
      </c>
      <c r="S67" s="59">
        <v>8210062.1015264755</v>
      </c>
      <c r="T67" s="63"/>
      <c r="U67" s="72">
        <v>6702883</v>
      </c>
      <c r="V67" s="52"/>
      <c r="W67" s="52"/>
    </row>
    <row r="68" spans="1:23">
      <c r="A68" s="87"/>
      <c r="B68" s="3" t="s">
        <v>76</v>
      </c>
      <c r="H68" s="3" t="s">
        <v>30</v>
      </c>
      <c r="J68" s="9">
        <f t="shared" si="13"/>
        <v>0</v>
      </c>
      <c r="K68" s="10"/>
      <c r="L68" s="51"/>
      <c r="M68" s="52"/>
      <c r="N68" s="52"/>
      <c r="O68" s="52"/>
      <c r="P68" s="52"/>
      <c r="Q68" s="52"/>
      <c r="R68" s="52"/>
      <c r="S68" s="53"/>
      <c r="T68" s="63"/>
      <c r="U68" s="72"/>
      <c r="V68" s="52"/>
      <c r="W68" s="52"/>
    </row>
    <row r="69" spans="1:23">
      <c r="A69" s="87"/>
      <c r="B69" s="3" t="s">
        <v>15</v>
      </c>
      <c r="H69" s="3" t="s">
        <v>30</v>
      </c>
      <c r="J69" s="9">
        <f t="shared" si="13"/>
        <v>20404667.537016392</v>
      </c>
      <c r="K69" s="10"/>
      <c r="L69" s="54"/>
      <c r="M69" s="55"/>
      <c r="N69" s="55"/>
      <c r="O69" s="55"/>
      <c r="P69" s="55">
        <v>370824.85</v>
      </c>
      <c r="Q69" s="55">
        <v>20033842.68701639</v>
      </c>
      <c r="R69" s="55"/>
      <c r="S69" s="56">
        <v>0</v>
      </c>
      <c r="T69" s="63"/>
      <c r="U69" s="72"/>
      <c r="V69" s="52">
        <v>6379250.1173999999</v>
      </c>
      <c r="W69" s="52">
        <v>862</v>
      </c>
    </row>
    <row r="70" spans="1:23">
      <c r="A70" s="87"/>
      <c r="J70" s="10"/>
      <c r="K70" s="10"/>
      <c r="L70" s="10"/>
      <c r="M70" s="10"/>
      <c r="N70" s="10"/>
      <c r="O70" s="10"/>
      <c r="P70" s="10"/>
      <c r="Q70" s="10"/>
      <c r="R70" s="10"/>
      <c r="S70" s="10"/>
      <c r="T70" s="63"/>
      <c r="U70" s="10"/>
      <c r="V70" s="10"/>
      <c r="W70" s="10"/>
    </row>
    <row r="71" spans="1:23">
      <c r="A71" s="87"/>
      <c r="B71" s="8" t="s">
        <v>16</v>
      </c>
      <c r="J71" s="10"/>
      <c r="K71" s="10"/>
      <c r="L71" s="10"/>
      <c r="M71" s="10"/>
      <c r="N71" s="10"/>
      <c r="O71" s="10"/>
      <c r="P71" s="10"/>
      <c r="Q71" s="10"/>
      <c r="R71" s="10"/>
      <c r="S71" s="10"/>
      <c r="T71" s="63"/>
      <c r="U71" s="10"/>
      <c r="V71" s="10"/>
      <c r="W71" s="10"/>
    </row>
    <row r="72" spans="1:23">
      <c r="A72" s="87"/>
      <c r="B72" s="3" t="s">
        <v>17</v>
      </c>
      <c r="H72" s="3" t="s">
        <v>30</v>
      </c>
      <c r="J72" s="9">
        <f t="shared" ref="J72:J73" si="14">SUM(L72:S72)</f>
        <v>75027909.039999992</v>
      </c>
      <c r="K72" s="10"/>
      <c r="L72" s="57"/>
      <c r="M72" s="58">
        <v>949986</v>
      </c>
      <c r="N72" s="58"/>
      <c r="O72" s="58">
        <v>55143670.659999996</v>
      </c>
      <c r="P72" s="58"/>
      <c r="Q72" s="58">
        <v>18895613</v>
      </c>
      <c r="R72" s="58">
        <v>38639.379999999997</v>
      </c>
      <c r="S72" s="59">
        <v>0</v>
      </c>
      <c r="T72" s="63"/>
      <c r="U72" s="52"/>
      <c r="V72" s="52">
        <v>288120.30000000005</v>
      </c>
      <c r="W72" s="52"/>
    </row>
    <row r="73" spans="1:23">
      <c r="A73" s="87"/>
      <c r="B73" s="3" t="s">
        <v>18</v>
      </c>
      <c r="H73" s="3" t="s">
        <v>30</v>
      </c>
      <c r="J73" s="9">
        <f t="shared" si="14"/>
        <v>1402489.0953262288</v>
      </c>
      <c r="K73" s="10"/>
      <c r="L73" s="54">
        <v>1875.1105000000002</v>
      </c>
      <c r="M73" s="55"/>
      <c r="N73" s="55">
        <v>1400613.9848262288</v>
      </c>
      <c r="O73" s="55"/>
      <c r="P73" s="55"/>
      <c r="Q73" s="55">
        <v>0</v>
      </c>
      <c r="R73" s="55"/>
      <c r="S73" s="56">
        <v>0</v>
      </c>
      <c r="T73" s="63"/>
      <c r="U73" s="52"/>
      <c r="V73" s="52"/>
      <c r="W73" s="52"/>
    </row>
    <row r="74" spans="1:23">
      <c r="A74" s="87"/>
      <c r="J74" s="10"/>
      <c r="K74" s="10"/>
      <c r="L74" s="10"/>
      <c r="M74" s="10"/>
      <c r="N74" s="10"/>
      <c r="O74" s="10"/>
      <c r="P74" s="10"/>
      <c r="Q74" s="10"/>
      <c r="R74" s="10"/>
      <c r="S74" s="10"/>
      <c r="T74" s="63"/>
      <c r="U74" s="10"/>
      <c r="V74" s="10"/>
      <c r="W74" s="10"/>
    </row>
    <row r="75" spans="1:23">
      <c r="A75" s="87"/>
      <c r="B75" s="8" t="s">
        <v>19</v>
      </c>
      <c r="J75" s="10"/>
      <c r="K75" s="10"/>
      <c r="L75" s="10"/>
      <c r="M75" s="10"/>
      <c r="N75" s="10"/>
      <c r="O75" s="10"/>
      <c r="P75" s="10"/>
      <c r="Q75" s="10"/>
      <c r="R75" s="10"/>
      <c r="S75" s="10"/>
      <c r="T75" s="63"/>
      <c r="U75" s="10"/>
      <c r="V75" s="10"/>
      <c r="W75" s="10"/>
    </row>
    <row r="76" spans="1:23">
      <c r="A76" s="87"/>
      <c r="B76" s="3" t="s">
        <v>20</v>
      </c>
      <c r="H76" s="3" t="s">
        <v>30</v>
      </c>
      <c r="J76" s="9">
        <f t="shared" ref="J76:J79" si="15">SUM(L76:S76)</f>
        <v>6200346.0689642597</v>
      </c>
      <c r="K76" s="10"/>
      <c r="L76" s="57"/>
      <c r="M76" s="58"/>
      <c r="N76" s="58">
        <v>2248068.4261570158</v>
      </c>
      <c r="O76" s="58">
        <v>1274555.3699999999</v>
      </c>
      <c r="P76" s="58">
        <v>860.49</v>
      </c>
      <c r="Q76" s="58">
        <v>2492873.7806741972</v>
      </c>
      <c r="R76" s="58">
        <v>21318.29</v>
      </c>
      <c r="S76" s="58">
        <v>162669.7121330474</v>
      </c>
      <c r="T76" s="63"/>
      <c r="U76" s="52"/>
      <c r="V76" s="52"/>
      <c r="W76" s="52"/>
    </row>
    <row r="77" spans="1:23">
      <c r="A77" s="87"/>
      <c r="B77" s="3" t="s">
        <v>21</v>
      </c>
      <c r="H77" s="3" t="s">
        <v>30</v>
      </c>
      <c r="J77" s="9">
        <f t="shared" si="15"/>
        <v>1413999.6245663145</v>
      </c>
      <c r="K77" s="10"/>
      <c r="L77" s="51"/>
      <c r="M77" s="52"/>
      <c r="N77" s="52">
        <v>29141.282931903228</v>
      </c>
      <c r="O77" s="52"/>
      <c r="P77" s="52">
        <v>2319.17</v>
      </c>
      <c r="Q77" s="52">
        <v>1381710.8635559368</v>
      </c>
      <c r="R77" s="52"/>
      <c r="S77" s="52">
        <v>828.30807847431663</v>
      </c>
      <c r="T77" s="63"/>
      <c r="U77" s="52"/>
      <c r="V77" s="52"/>
      <c r="W77" s="52"/>
    </row>
    <row r="78" spans="1:23">
      <c r="A78" s="87"/>
      <c r="B78" s="3" t="s">
        <v>22</v>
      </c>
      <c r="H78" s="3" t="s">
        <v>30</v>
      </c>
      <c r="J78" s="9">
        <f t="shared" si="15"/>
        <v>2676407.5707897902</v>
      </c>
      <c r="K78" s="10"/>
      <c r="L78" s="51">
        <v>-1459.1200000000003</v>
      </c>
      <c r="M78" s="52"/>
      <c r="N78" s="52">
        <v>941422.82138907642</v>
      </c>
      <c r="O78" s="52">
        <v>1155865.7587890474</v>
      </c>
      <c r="P78" s="52">
        <v>4200.49</v>
      </c>
      <c r="Q78" s="52">
        <v>446094.74020869751</v>
      </c>
      <c r="R78" s="52">
        <v>92057.805292279998</v>
      </c>
      <c r="S78" s="52">
        <v>38225.075110688638</v>
      </c>
      <c r="T78" s="63"/>
      <c r="U78" s="52"/>
      <c r="V78" s="52"/>
      <c r="W78" s="52"/>
    </row>
    <row r="79" spans="1:23">
      <c r="A79" s="87"/>
      <c r="B79" s="3" t="s">
        <v>23</v>
      </c>
      <c r="H79" s="3" t="s">
        <v>30</v>
      </c>
      <c r="J79" s="9">
        <f t="shared" si="15"/>
        <v>20512651.340778485</v>
      </c>
      <c r="K79" s="10"/>
      <c r="L79" s="54"/>
      <c r="M79" s="55">
        <v>2026000</v>
      </c>
      <c r="N79" s="55">
        <v>2029997.356709898</v>
      </c>
      <c r="O79" s="55">
        <v>15908961.198163832</v>
      </c>
      <c r="P79" s="55">
        <v>5536.47</v>
      </c>
      <c r="Q79" s="55">
        <v>166752.14019207106</v>
      </c>
      <c r="R79" s="55">
        <v>12250</v>
      </c>
      <c r="S79" s="55">
        <v>363154.17571268091</v>
      </c>
      <c r="T79" s="63"/>
      <c r="U79" s="52"/>
      <c r="V79" s="52"/>
      <c r="W79" s="52"/>
    </row>
    <row r="80" spans="1:23">
      <c r="A80" s="87"/>
      <c r="J80" s="10"/>
      <c r="K80" s="10"/>
      <c r="L80" s="10"/>
      <c r="M80" s="10"/>
      <c r="N80" s="10"/>
      <c r="O80" s="10"/>
      <c r="P80" s="10"/>
      <c r="Q80" s="10"/>
      <c r="R80" s="10"/>
      <c r="S80" s="10"/>
      <c r="T80" s="10"/>
      <c r="U80" s="10"/>
      <c r="V80" s="10"/>
      <c r="W80" s="10"/>
    </row>
    <row r="81" spans="1:25">
      <c r="A81" s="87"/>
      <c r="B81" s="8" t="s">
        <v>24</v>
      </c>
      <c r="H81" s="3" t="s">
        <v>30</v>
      </c>
      <c r="J81" s="9">
        <f t="shared" ref="J81" si="16">SUM(L81:S81)</f>
        <v>1572953799.1441576</v>
      </c>
      <c r="K81" s="12"/>
      <c r="L81" s="9">
        <f t="shared" ref="L81:U81" si="17">SUM(L61:L64,L67:L69,L72:L73,L76:L79)</f>
        <v>8702896.1205000002</v>
      </c>
      <c r="M81" s="9">
        <f t="shared" si="17"/>
        <v>38287276.017884038</v>
      </c>
      <c r="N81" s="9">
        <f t="shared" si="17"/>
        <v>483661384.81563878</v>
      </c>
      <c r="O81" s="9">
        <f t="shared" si="17"/>
        <v>642652704.37077916</v>
      </c>
      <c r="P81" s="9">
        <f t="shared" si="17"/>
        <v>5244330.46</v>
      </c>
      <c r="Q81" s="9">
        <f t="shared" si="17"/>
        <v>354337676.97578901</v>
      </c>
      <c r="R81" s="9">
        <f t="shared" si="17"/>
        <v>21738373.581005443</v>
      </c>
      <c r="S81" s="9">
        <f>SUM(S61:S64,S67:S69,S72:S73,S76:S79)</f>
        <v>18329156.802561369</v>
      </c>
      <c r="T81" s="9"/>
      <c r="U81" s="9">
        <f t="shared" si="17"/>
        <v>13651902.658668093</v>
      </c>
      <c r="V81" s="9">
        <f>SUM(V61:V64,V67:V69,V72:V73,V76:V79)</f>
        <v>92195720.517400011</v>
      </c>
      <c r="W81" s="9">
        <f>SUM(W61:W64,W67:W69,W72:W73,W76:W79)</f>
        <v>862</v>
      </c>
    </row>
    <row r="82" spans="1:25">
      <c r="J82" s="10"/>
      <c r="K82" s="10"/>
      <c r="L82" s="10"/>
      <c r="M82" s="10"/>
      <c r="N82" s="10"/>
      <c r="O82" s="10"/>
      <c r="P82" s="10"/>
      <c r="Q82" s="10"/>
      <c r="R82" s="10"/>
      <c r="S82" s="10"/>
      <c r="T82" s="10"/>
      <c r="U82" s="10"/>
      <c r="V82" s="10"/>
    </row>
    <row r="83" spans="1:25">
      <c r="J83" s="10"/>
      <c r="K83" s="10"/>
      <c r="L83" s="10"/>
      <c r="M83" s="10"/>
      <c r="N83" s="10"/>
      <c r="O83" s="10"/>
      <c r="P83" s="10"/>
      <c r="Q83" s="10"/>
      <c r="R83" s="10"/>
      <c r="S83" s="10"/>
      <c r="T83" s="10"/>
      <c r="U83" s="10"/>
      <c r="V83" s="10"/>
    </row>
    <row r="84" spans="1:25" s="4" customFormat="1">
      <c r="B84" s="4" t="s">
        <v>31</v>
      </c>
      <c r="J84" s="5"/>
      <c r="K84" s="5"/>
      <c r="L84" s="5"/>
      <c r="M84" s="5"/>
      <c r="N84" s="5"/>
      <c r="O84" s="5"/>
      <c r="P84" s="5"/>
      <c r="Q84" s="5"/>
      <c r="R84" s="5"/>
      <c r="S84" s="5"/>
      <c r="T84" s="5"/>
      <c r="U84" s="5"/>
      <c r="V84" s="5"/>
      <c r="X84" s="102"/>
    </row>
    <row r="85" spans="1:25">
      <c r="J85" s="10"/>
      <c r="K85" s="10"/>
      <c r="L85" s="10"/>
      <c r="M85" s="10"/>
      <c r="N85" s="10"/>
      <c r="O85" s="10"/>
      <c r="P85" s="10"/>
      <c r="Q85" s="10"/>
      <c r="R85" s="10"/>
      <c r="S85" s="10"/>
      <c r="T85" s="10"/>
      <c r="U85" s="10"/>
      <c r="V85" s="10"/>
    </row>
    <row r="86" spans="1:25">
      <c r="A86" s="87"/>
      <c r="B86" s="8" t="s">
        <v>8</v>
      </c>
      <c r="J86" s="10"/>
      <c r="K86" s="10"/>
      <c r="L86" s="10"/>
      <c r="M86" s="10"/>
      <c r="N86" s="10"/>
      <c r="O86" s="10"/>
      <c r="P86" s="10"/>
      <c r="Q86" s="10"/>
      <c r="R86" s="10"/>
      <c r="S86" s="10"/>
      <c r="T86" s="10"/>
      <c r="U86" s="10"/>
      <c r="V86" s="10"/>
    </row>
    <row r="87" spans="1:25">
      <c r="A87" s="87"/>
      <c r="B87" s="3" t="s">
        <v>9</v>
      </c>
      <c r="H87" s="3" t="s">
        <v>32</v>
      </c>
      <c r="J87" s="9">
        <f t="shared" ref="J87:J90" si="18">SUM(L87:S87)</f>
        <v>433873298.06598151</v>
      </c>
      <c r="K87" s="10"/>
      <c r="L87" s="57"/>
      <c r="M87" s="58">
        <v>8791419.5600000024</v>
      </c>
      <c r="N87" s="58">
        <v>166429996.20999995</v>
      </c>
      <c r="O87" s="58">
        <v>151138144.63999999</v>
      </c>
      <c r="P87" s="58"/>
      <c r="Q87" s="58">
        <v>97956760.129999995</v>
      </c>
      <c r="R87" s="58">
        <v>9556977.525981538</v>
      </c>
      <c r="S87" s="95">
        <v>0</v>
      </c>
      <c r="T87" s="63"/>
      <c r="U87" s="72">
        <v>4858637.4713787911</v>
      </c>
      <c r="V87" s="73"/>
      <c r="W87" s="52"/>
      <c r="Y87" s="79" t="s">
        <v>320</v>
      </c>
    </row>
    <row r="88" spans="1:25">
      <c r="A88" s="87"/>
      <c r="B88" s="3" t="s">
        <v>10</v>
      </c>
      <c r="H88" s="3" t="s">
        <v>32</v>
      </c>
      <c r="J88" s="9">
        <f t="shared" si="18"/>
        <v>19118331.698526666</v>
      </c>
      <c r="K88" s="10"/>
      <c r="L88" s="51">
        <v>3321046.5</v>
      </c>
      <c r="M88" s="52"/>
      <c r="N88" s="52">
        <v>547438.56319999998</v>
      </c>
      <c r="O88" s="52">
        <v>906212.30845999997</v>
      </c>
      <c r="P88" s="52">
        <v>2205049.6699999995</v>
      </c>
      <c r="Q88" s="52">
        <v>5139266.841</v>
      </c>
      <c r="R88" s="52">
        <v>93628.515866666668</v>
      </c>
      <c r="S88" s="53">
        <v>6905689.2999999998</v>
      </c>
      <c r="T88" s="63"/>
      <c r="U88" s="72">
        <v>293626.12000000005</v>
      </c>
      <c r="V88" s="73"/>
      <c r="W88" s="52"/>
      <c r="Y88" s="79" t="s">
        <v>264</v>
      </c>
    </row>
    <row r="89" spans="1:25">
      <c r="A89" s="87"/>
      <c r="B89" s="3" t="s">
        <v>11</v>
      </c>
      <c r="H89" s="3" t="s">
        <v>32</v>
      </c>
      <c r="J89" s="9">
        <f t="shared" si="18"/>
        <v>181349105.17467615</v>
      </c>
      <c r="K89" s="10"/>
      <c r="L89" s="51">
        <v>727083.75999999989</v>
      </c>
      <c r="M89" s="52">
        <v>3926803.8199999994</v>
      </c>
      <c r="N89" s="52">
        <v>64614659.025256656</v>
      </c>
      <c r="O89" s="52">
        <v>70847774.689999998</v>
      </c>
      <c r="P89" s="52">
        <v>458862.42</v>
      </c>
      <c r="Q89" s="52">
        <v>37378653.969419494</v>
      </c>
      <c r="R89" s="52">
        <v>1521059.1</v>
      </c>
      <c r="S89" s="53">
        <v>1874208.3899999997</v>
      </c>
      <c r="T89" s="63"/>
      <c r="U89" s="72">
        <v>1802721.3586979506</v>
      </c>
      <c r="V89" s="73"/>
      <c r="W89" s="52"/>
      <c r="Y89" s="79" t="s">
        <v>318</v>
      </c>
    </row>
    <row r="90" spans="1:25">
      <c r="A90" s="87"/>
      <c r="B90" s="3" t="s">
        <v>12</v>
      </c>
      <c r="H90" s="3" t="s">
        <v>32</v>
      </c>
      <c r="J90" s="9">
        <f t="shared" si="18"/>
        <v>0</v>
      </c>
      <c r="K90" s="10"/>
      <c r="L90" s="54"/>
      <c r="M90" s="55"/>
      <c r="N90" s="55"/>
      <c r="O90" s="55"/>
      <c r="P90" s="55"/>
      <c r="Q90" s="55"/>
      <c r="R90" s="55"/>
      <c r="S90" s="56">
        <v>0</v>
      </c>
      <c r="T90" s="63"/>
      <c r="U90" s="72"/>
      <c r="V90" s="73"/>
      <c r="W90" s="52"/>
    </row>
    <row r="91" spans="1:25" ht="15">
      <c r="A91" s="87"/>
      <c r="J91" s="10"/>
      <c r="K91" s="10"/>
      <c r="L91" s="10"/>
      <c r="M91" s="10"/>
      <c r="N91" s="10"/>
      <c r="O91" s="10"/>
      <c r="P91" s="10"/>
      <c r="Q91" s="10"/>
      <c r="R91" s="10"/>
      <c r="S91" s="10"/>
      <c r="T91" s="63"/>
      <c r="U91" s="103"/>
      <c r="V91" s="44"/>
      <c r="W91" s="44"/>
    </row>
    <row r="92" spans="1:25" ht="15">
      <c r="A92" s="87"/>
      <c r="B92" s="8" t="s">
        <v>13</v>
      </c>
      <c r="J92" s="10"/>
      <c r="K92" s="10"/>
      <c r="L92" s="10"/>
      <c r="M92" s="10"/>
      <c r="N92" s="10"/>
      <c r="O92" s="10"/>
      <c r="P92" s="10"/>
      <c r="Q92" s="10"/>
      <c r="R92" s="10"/>
      <c r="S92" s="10"/>
      <c r="T92" s="63"/>
      <c r="U92" s="103"/>
      <c r="V92" s="44"/>
      <c r="W92" s="44"/>
    </row>
    <row r="93" spans="1:25">
      <c r="A93" s="87"/>
      <c r="B93" s="3" t="s">
        <v>14</v>
      </c>
      <c r="H93" s="3" t="s">
        <v>32</v>
      </c>
      <c r="J93" s="9">
        <f t="shared" ref="J93:J95" si="19">SUM(L93:S93)</f>
        <v>843407209.24740124</v>
      </c>
      <c r="K93" s="10"/>
      <c r="L93" s="57">
        <v>3993305.2884554057</v>
      </c>
      <c r="M93" s="58">
        <v>22162693.798182774</v>
      </c>
      <c r="N93" s="143">
        <v>249111339.53653699</v>
      </c>
      <c r="O93" s="58">
        <v>358564457.67821509</v>
      </c>
      <c r="P93" s="58">
        <v>2121105.62</v>
      </c>
      <c r="Q93" s="143">
        <v>189212635.77620476</v>
      </c>
      <c r="R93" s="58">
        <v>11056134.162798595</v>
      </c>
      <c r="S93" s="95">
        <v>7185537.3870076966</v>
      </c>
      <c r="T93" s="63"/>
      <c r="U93" s="72">
        <v>7157172</v>
      </c>
      <c r="V93" s="73"/>
      <c r="W93" s="52"/>
    </row>
    <row r="94" spans="1:25">
      <c r="A94" s="87"/>
      <c r="B94" s="3" t="s">
        <v>76</v>
      </c>
      <c r="H94" s="3" t="s">
        <v>32</v>
      </c>
      <c r="J94" s="9">
        <f t="shared" si="19"/>
        <v>1329154.2823920669</v>
      </c>
      <c r="K94" s="10"/>
      <c r="L94" s="51">
        <v>6668</v>
      </c>
      <c r="M94" s="52">
        <v>37220.699999999997</v>
      </c>
      <c r="N94" s="52">
        <v>434554.80630178476</v>
      </c>
      <c r="O94" s="52">
        <v>498522.66</v>
      </c>
      <c r="P94" s="52">
        <v>6487.46</v>
      </c>
      <c r="Q94" s="52">
        <v>308790.94751250098</v>
      </c>
      <c r="R94" s="52">
        <v>20309.5145777814</v>
      </c>
      <c r="S94" s="53">
        <v>16600.194</v>
      </c>
      <c r="T94" s="63"/>
      <c r="U94" s="72"/>
      <c r="V94" s="73"/>
      <c r="W94" s="52"/>
    </row>
    <row r="95" spans="1:25">
      <c r="A95" s="87"/>
      <c r="B95" s="3" t="s">
        <v>15</v>
      </c>
      <c r="H95" s="3" t="s">
        <v>32</v>
      </c>
      <c r="J95" s="9">
        <f t="shared" si="19"/>
        <v>254626.56</v>
      </c>
      <c r="K95" s="10"/>
      <c r="L95" s="54"/>
      <c r="M95" s="55"/>
      <c r="N95" s="55">
        <v>0</v>
      </c>
      <c r="O95" s="55"/>
      <c r="P95" s="55">
        <v>254626.56</v>
      </c>
      <c r="Q95" s="55"/>
      <c r="R95" s="55"/>
      <c r="S95" s="56">
        <v>0</v>
      </c>
      <c r="T95" s="63"/>
      <c r="U95" s="72"/>
      <c r="V95" s="73"/>
      <c r="W95" s="52">
        <v>995</v>
      </c>
    </row>
    <row r="96" spans="1:25" ht="15">
      <c r="A96" s="87"/>
      <c r="J96" s="10"/>
      <c r="K96" s="10"/>
      <c r="L96" s="10"/>
      <c r="M96" s="10"/>
      <c r="N96" s="10"/>
      <c r="O96" s="10"/>
      <c r="P96" s="10"/>
      <c r="Q96" s="10"/>
      <c r="R96" s="10"/>
      <c r="S96" s="10"/>
      <c r="T96" s="63"/>
      <c r="U96" s="104"/>
      <c r="V96" s="44"/>
      <c r="W96" s="44"/>
    </row>
    <row r="97" spans="1:23" ht="15">
      <c r="A97" s="87"/>
      <c r="B97" s="8" t="s">
        <v>16</v>
      </c>
      <c r="J97" s="10"/>
      <c r="K97" s="10"/>
      <c r="L97" s="10"/>
      <c r="M97" s="10"/>
      <c r="N97" s="10"/>
      <c r="O97" s="10"/>
      <c r="P97" s="10"/>
      <c r="Q97" s="10"/>
      <c r="R97" s="10"/>
      <c r="S97" s="10"/>
      <c r="T97" s="63"/>
      <c r="U97" s="104"/>
      <c r="V97" s="44"/>
      <c r="W97" s="44"/>
    </row>
    <row r="98" spans="1:23">
      <c r="A98" s="87"/>
      <c r="B98" s="3" t="s">
        <v>17</v>
      </c>
      <c r="H98" s="3" t="s">
        <v>32</v>
      </c>
      <c r="J98" s="9">
        <f t="shared" ref="J98:J99" si="20">SUM(L98:S98)</f>
        <v>102713848.27891877</v>
      </c>
      <c r="K98" s="10"/>
      <c r="L98" s="57"/>
      <c r="M98" s="58">
        <v>1555755</v>
      </c>
      <c r="N98" s="58">
        <v>0</v>
      </c>
      <c r="O98" s="58">
        <v>79523128.079999998</v>
      </c>
      <c r="P98" s="58"/>
      <c r="Q98" s="58">
        <v>21608574.178918783</v>
      </c>
      <c r="R98" s="58">
        <v>26391.02</v>
      </c>
      <c r="S98" s="95">
        <v>0</v>
      </c>
      <c r="T98" s="63"/>
      <c r="U98" s="72"/>
      <c r="V98" s="73"/>
      <c r="W98" s="52"/>
    </row>
    <row r="99" spans="1:23">
      <c r="A99" s="87"/>
      <c r="B99" s="3" t="s">
        <v>18</v>
      </c>
      <c r="H99" s="3" t="s">
        <v>32</v>
      </c>
      <c r="J99" s="9">
        <f t="shared" si="20"/>
        <v>1688824.2463699791</v>
      </c>
      <c r="K99" s="10"/>
      <c r="L99" s="54">
        <v>2044.9297297297298</v>
      </c>
      <c r="M99" s="55"/>
      <c r="N99" s="55">
        <v>1686779.3166402495</v>
      </c>
      <c r="O99" s="55"/>
      <c r="P99" s="55"/>
      <c r="Q99" s="55"/>
      <c r="R99" s="55"/>
      <c r="S99" s="56">
        <v>0</v>
      </c>
      <c r="T99" s="63"/>
      <c r="U99" s="72"/>
      <c r="V99" s="73"/>
      <c r="W99" s="52"/>
    </row>
    <row r="100" spans="1:23">
      <c r="A100" s="87"/>
      <c r="J100" s="10"/>
      <c r="K100" s="10"/>
      <c r="L100" s="10"/>
      <c r="M100" s="10"/>
      <c r="N100" s="10"/>
      <c r="O100" s="10"/>
      <c r="P100" s="10"/>
      <c r="Q100" s="10"/>
      <c r="R100" s="10"/>
      <c r="S100" s="10"/>
      <c r="T100" s="63"/>
      <c r="U100" s="104"/>
      <c r="V100" s="10"/>
      <c r="W100" s="10"/>
    </row>
    <row r="101" spans="1:23">
      <c r="A101" s="87"/>
      <c r="B101" s="8" t="s">
        <v>19</v>
      </c>
      <c r="J101" s="10"/>
      <c r="K101" s="10"/>
      <c r="L101" s="10"/>
      <c r="M101" s="10"/>
      <c r="N101" s="10"/>
      <c r="O101" s="10"/>
      <c r="P101" s="10"/>
      <c r="Q101" s="10"/>
      <c r="R101" s="10"/>
      <c r="S101" s="10"/>
      <c r="T101" s="63"/>
      <c r="U101" s="104"/>
      <c r="V101" s="10"/>
      <c r="W101" s="10"/>
    </row>
    <row r="102" spans="1:23">
      <c r="A102" s="87"/>
      <c r="B102" s="3" t="s">
        <v>20</v>
      </c>
      <c r="H102" s="3" t="s">
        <v>32</v>
      </c>
      <c r="J102" s="9">
        <f t="shared" ref="J102:J105" si="21">SUM(L102:S102)</f>
        <v>6853735.8912426112</v>
      </c>
      <c r="K102" s="10"/>
      <c r="L102" s="57">
        <v>8387.82</v>
      </c>
      <c r="M102" s="58"/>
      <c r="N102" s="58">
        <v>4084896.4038601629</v>
      </c>
      <c r="O102" s="58">
        <v>1311642.93</v>
      </c>
      <c r="P102" s="58"/>
      <c r="Q102" s="58">
        <v>1223423.0459824479</v>
      </c>
      <c r="R102" s="58">
        <v>12215.88</v>
      </c>
      <c r="S102" s="95">
        <v>213169.81140000001</v>
      </c>
      <c r="T102" s="63"/>
      <c r="U102" s="72"/>
      <c r="V102" s="73"/>
      <c r="W102" s="52"/>
    </row>
    <row r="103" spans="1:23">
      <c r="A103" s="87"/>
      <c r="B103" s="3" t="s">
        <v>21</v>
      </c>
      <c r="H103" s="3" t="s">
        <v>32</v>
      </c>
      <c r="J103" s="9">
        <f t="shared" si="21"/>
        <v>1290133.4196464692</v>
      </c>
      <c r="K103" s="10"/>
      <c r="L103" s="51">
        <v>-173.01</v>
      </c>
      <c r="M103" s="52"/>
      <c r="N103" s="52">
        <v>1206133.4968159606</v>
      </c>
      <c r="O103" s="52">
        <v>0</v>
      </c>
      <c r="P103" s="52">
        <v>3620.94</v>
      </c>
      <c r="Q103" s="52">
        <v>57114.1050908795</v>
      </c>
      <c r="R103" s="52"/>
      <c r="S103" s="53">
        <v>23437.887739629063</v>
      </c>
      <c r="T103" s="63"/>
      <c r="U103" s="72"/>
      <c r="V103" s="73"/>
      <c r="W103" s="52"/>
    </row>
    <row r="104" spans="1:23">
      <c r="A104" s="87"/>
      <c r="B104" s="3" t="s">
        <v>22</v>
      </c>
      <c r="H104" s="3" t="s">
        <v>32</v>
      </c>
      <c r="J104" s="9">
        <f t="shared" si="21"/>
        <v>2581312.6533622276</v>
      </c>
      <c r="K104" s="10"/>
      <c r="L104" s="51">
        <v>824.12</v>
      </c>
      <c r="M104" s="52">
        <v>148917.64444861509</v>
      </c>
      <c r="N104" s="52">
        <v>899539.71584453096</v>
      </c>
      <c r="O104" s="52">
        <v>1007992.2916745904</v>
      </c>
      <c r="P104" s="52">
        <v>4435.88</v>
      </c>
      <c r="Q104" s="52">
        <v>400446.09236658848</v>
      </c>
      <c r="R104" s="52">
        <v>83110.539999999994</v>
      </c>
      <c r="S104" s="53">
        <v>36046.369027902765</v>
      </c>
      <c r="T104" s="63"/>
      <c r="U104" s="72"/>
      <c r="V104" s="73"/>
      <c r="W104" s="52"/>
    </row>
    <row r="105" spans="1:23">
      <c r="A105" s="87"/>
      <c r="B105" s="3" t="s">
        <v>23</v>
      </c>
      <c r="H105" s="3" t="s">
        <v>32</v>
      </c>
      <c r="J105" s="9">
        <f t="shared" si="21"/>
        <v>29742317.310290616</v>
      </c>
      <c r="K105" s="10"/>
      <c r="L105" s="54"/>
      <c r="M105" s="55"/>
      <c r="N105" s="55">
        <v>2445728.6950490172</v>
      </c>
      <c r="O105" s="55">
        <v>16619999.029893739</v>
      </c>
      <c r="P105" s="55">
        <v>10148.17</v>
      </c>
      <c r="Q105" s="55">
        <v>10417398.218891213</v>
      </c>
      <c r="R105" s="55">
        <v>490</v>
      </c>
      <c r="S105" s="56">
        <v>248553.19645664634</v>
      </c>
      <c r="T105" s="63"/>
      <c r="U105" s="72"/>
      <c r="V105" s="73"/>
      <c r="W105" s="52"/>
    </row>
    <row r="106" spans="1:23">
      <c r="A106" s="87"/>
      <c r="J106" s="10"/>
      <c r="K106" s="10"/>
      <c r="L106" s="10"/>
      <c r="M106" s="10"/>
      <c r="N106" s="10"/>
      <c r="O106" s="10"/>
      <c r="P106" s="10"/>
      <c r="Q106" s="10"/>
      <c r="R106" s="10"/>
      <c r="S106" s="10"/>
      <c r="T106" s="10"/>
      <c r="U106" s="10"/>
      <c r="V106" s="10"/>
      <c r="W106" s="10"/>
    </row>
    <row r="107" spans="1:23">
      <c r="A107" s="87"/>
      <c r="B107" s="8" t="s">
        <v>24</v>
      </c>
      <c r="H107" s="3" t="s">
        <v>32</v>
      </c>
      <c r="J107" s="9">
        <f t="shared" ref="J107" si="22">SUM(L107:S107)</f>
        <v>1624201896.8288083</v>
      </c>
      <c r="K107" s="12"/>
      <c r="L107" s="9">
        <f t="shared" ref="L107:U107" si="23">SUM(L87:L90,L93:L95,L98:L99,L102:L105)</f>
        <v>8059187.4081851365</v>
      </c>
      <c r="M107" s="9">
        <f t="shared" si="23"/>
        <v>36622810.522631399</v>
      </c>
      <c r="N107" s="9">
        <f t="shared" si="23"/>
        <v>491461065.76950526</v>
      </c>
      <c r="O107" s="9">
        <f t="shared" si="23"/>
        <v>680417874.30824339</v>
      </c>
      <c r="P107" s="9">
        <f t="shared" si="23"/>
        <v>5064336.7199999988</v>
      </c>
      <c r="Q107" s="9">
        <f t="shared" si="23"/>
        <v>363703063.3053866</v>
      </c>
      <c r="R107" s="9">
        <f t="shared" si="23"/>
        <v>22370316.259224575</v>
      </c>
      <c r="S107" s="9">
        <f>SUM(S87:S90,S93:S95,S98:S99,S102:S105)</f>
        <v>16503242.535631875</v>
      </c>
      <c r="T107" s="9"/>
      <c r="U107" s="9">
        <f t="shared" si="23"/>
        <v>14112156.950076742</v>
      </c>
      <c r="V107" s="9">
        <f>SUM(V87:V90,V93:V95,V98:V99,V102:V105)</f>
        <v>0</v>
      </c>
      <c r="W107" s="9">
        <f>SUM(W87:W90,W93:W95,W98:W99,W102:W105)</f>
        <v>995</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
    <tabColor rgb="FFCCFFCC"/>
  </sheetPr>
  <dimension ref="A1:Y232"/>
  <sheetViews>
    <sheetView showGridLines="0" zoomScale="85" zoomScaleNormal="85" workbookViewId="0">
      <pane xSplit="3" ySplit="6" topLeftCell="D7" activePane="bottomRight" state="frozen"/>
      <selection pane="topRight" activeCell="D1" sqref="D1"/>
      <selection pane="bottomLeft" activeCell="A7" sqref="A7"/>
      <selection pane="bottomRight" activeCell="D7" sqref="D7"/>
    </sheetView>
  </sheetViews>
  <sheetFormatPr defaultRowHeight="15"/>
  <cols>
    <col min="1" max="1" width="2.140625" customWidth="1"/>
    <col min="2" max="2" width="64.5703125" customWidth="1"/>
    <col min="3" max="3" width="2.7109375" customWidth="1"/>
    <col min="4" max="4" width="18.7109375" customWidth="1"/>
    <col min="5" max="7" width="2.7109375" customWidth="1"/>
    <col min="8" max="8" width="16" customWidth="1"/>
    <col min="9" max="9" width="3.7109375" customWidth="1"/>
    <col min="10" max="10" width="18" customWidth="1"/>
    <col min="11" max="11" width="2.85546875" customWidth="1"/>
    <col min="12" max="19" width="15.5703125" customWidth="1"/>
    <col min="20" max="20" width="4.42578125" customWidth="1"/>
    <col min="21" max="21" width="14.85546875" customWidth="1"/>
    <col min="22" max="22" width="18" customWidth="1"/>
    <col min="23" max="23" width="18.140625" customWidth="1"/>
    <col min="24" max="24" width="7.85546875" customWidth="1"/>
  </cols>
  <sheetData>
    <row r="1" spans="1:25">
      <c r="B1" s="3" t="s">
        <v>350</v>
      </c>
    </row>
    <row r="2" spans="1:25" s="1" customFormat="1" ht="18" customHeight="1">
      <c r="B2" s="2" t="s">
        <v>60</v>
      </c>
      <c r="X2" s="101"/>
    </row>
    <row r="3" spans="1:25" s="3" customFormat="1" ht="32.25" customHeight="1">
      <c r="B3" s="3" t="s">
        <v>337</v>
      </c>
    </row>
    <row r="4" spans="1:25" s="3" customFormat="1" ht="12.75">
      <c r="A4" s="87"/>
      <c r="B4" s="3" t="s">
        <v>336</v>
      </c>
    </row>
    <row r="5" spans="1:25" s="3" customFormat="1" ht="12.75"/>
    <row r="6" spans="1:25" s="4" customFormat="1" ht="12.75">
      <c r="D6" s="4" t="s">
        <v>153</v>
      </c>
      <c r="H6" s="4" t="s">
        <v>0</v>
      </c>
      <c r="J6" s="4" t="s">
        <v>1</v>
      </c>
      <c r="L6" s="4" t="s">
        <v>357</v>
      </c>
      <c r="M6" s="4" t="s">
        <v>59</v>
      </c>
      <c r="N6" s="4" t="s">
        <v>2</v>
      </c>
      <c r="O6" s="4" t="s">
        <v>3</v>
      </c>
      <c r="P6" s="4" t="s">
        <v>4</v>
      </c>
      <c r="Q6" s="4" t="s">
        <v>5</v>
      </c>
      <c r="R6" s="4" t="s">
        <v>6</v>
      </c>
      <c r="S6" s="4" t="s">
        <v>26</v>
      </c>
      <c r="U6" s="4" t="s">
        <v>176</v>
      </c>
      <c r="V6" s="4" t="s">
        <v>199</v>
      </c>
      <c r="W6" s="4" t="s">
        <v>330</v>
      </c>
      <c r="X6" s="102"/>
      <c r="Y6" s="4" t="s">
        <v>154</v>
      </c>
    </row>
    <row r="7" spans="1:25" s="3" customFormat="1" ht="12.75"/>
    <row r="8" spans="1:25" s="4" customFormat="1" ht="12.75">
      <c r="B8" s="4" t="s">
        <v>61</v>
      </c>
      <c r="X8" s="102"/>
    </row>
    <row r="9" spans="1:25" s="14" customFormat="1" ht="12.75"/>
    <row r="10" spans="1:25" s="3" customFormat="1" ht="12.75">
      <c r="A10" s="87"/>
      <c r="B10" s="27" t="s">
        <v>212</v>
      </c>
      <c r="C10" s="28"/>
      <c r="D10" s="28"/>
      <c r="E10" s="28"/>
      <c r="F10" s="28"/>
      <c r="G10" s="28"/>
    </row>
    <row r="11" spans="1:25" s="3" customFormat="1" ht="12.75">
      <c r="A11" s="87"/>
      <c r="B11" s="28" t="s">
        <v>62</v>
      </c>
      <c r="C11" s="28"/>
      <c r="D11" s="28"/>
      <c r="E11" s="28"/>
      <c r="F11" s="28"/>
      <c r="G11" s="28"/>
      <c r="H11" s="28" t="s">
        <v>69</v>
      </c>
      <c r="J11" s="9">
        <f>SUM(L11:S11)</f>
        <v>9445460.0891648028</v>
      </c>
      <c r="K11" s="10"/>
      <c r="L11" s="11">
        <v>0</v>
      </c>
      <c r="M11" s="11">
        <v>0</v>
      </c>
      <c r="N11" s="11">
        <v>4279295</v>
      </c>
      <c r="O11" s="11">
        <v>4260829.5991648044</v>
      </c>
      <c r="P11" s="11">
        <v>0</v>
      </c>
      <c r="Q11" s="11">
        <v>842444.62</v>
      </c>
      <c r="R11" s="11">
        <v>0</v>
      </c>
      <c r="S11" s="11">
        <v>62890.869999999995</v>
      </c>
      <c r="T11" s="12"/>
      <c r="U11" s="45"/>
      <c r="V11" s="45"/>
      <c r="W11" s="45"/>
      <c r="Y11" s="79" t="s">
        <v>267</v>
      </c>
    </row>
    <row r="12" spans="1:25" s="3" customFormat="1" ht="12.75">
      <c r="A12" s="87"/>
      <c r="B12" s="28" t="s">
        <v>63</v>
      </c>
      <c r="C12" s="28"/>
      <c r="D12" s="28"/>
      <c r="E12" s="28"/>
      <c r="F12" s="28"/>
      <c r="G12" s="28"/>
      <c r="H12" s="28" t="s">
        <v>69</v>
      </c>
      <c r="J12" s="9">
        <f t="shared" ref="J12:J21" si="0">SUM(L12:S12)</f>
        <v>29710363.790835194</v>
      </c>
      <c r="K12" s="10"/>
      <c r="L12" s="11">
        <v>0</v>
      </c>
      <c r="M12" s="11">
        <v>0</v>
      </c>
      <c r="N12" s="11">
        <v>18503525</v>
      </c>
      <c r="O12" s="11">
        <v>6245147.8608351946</v>
      </c>
      <c r="P12" s="11">
        <v>34755.050000000003</v>
      </c>
      <c r="Q12" s="11">
        <v>4501962.88</v>
      </c>
      <c r="R12" s="11">
        <v>424973</v>
      </c>
      <c r="S12" s="11">
        <v>0</v>
      </c>
      <c r="T12" s="12"/>
      <c r="U12" s="45"/>
      <c r="V12" s="45"/>
      <c r="W12" s="45"/>
      <c r="Y12" s="79" t="s">
        <v>319</v>
      </c>
    </row>
    <row r="13" spans="1:25" s="3" customFormat="1" ht="12.75">
      <c r="A13" s="87"/>
      <c r="B13" s="28" t="s">
        <v>64</v>
      </c>
      <c r="C13" s="28"/>
      <c r="D13" s="28"/>
      <c r="E13" s="28"/>
      <c r="F13" s="28"/>
      <c r="G13" s="28"/>
      <c r="H13" s="28" t="s">
        <v>69</v>
      </c>
      <c r="J13" s="9">
        <f t="shared" si="0"/>
        <v>13809861.001657523</v>
      </c>
      <c r="K13" s="10"/>
      <c r="L13" s="11">
        <v>0</v>
      </c>
      <c r="M13" s="11">
        <v>1112704.3580969032</v>
      </c>
      <c r="N13" s="11">
        <v>2788000.2436363632</v>
      </c>
      <c r="O13" s="105">
        <v>4296013.51</v>
      </c>
      <c r="P13" s="11">
        <v>0</v>
      </c>
      <c r="Q13" s="11">
        <v>5613142.889924258</v>
      </c>
      <c r="R13" s="11">
        <v>0</v>
      </c>
      <c r="S13" s="11">
        <v>0</v>
      </c>
      <c r="T13" s="12"/>
      <c r="U13" s="45"/>
      <c r="V13" s="45"/>
      <c r="W13" s="45"/>
      <c r="Y13" s="79" t="s">
        <v>318</v>
      </c>
    </row>
    <row r="14" spans="1:25" s="3" customFormat="1" ht="12.75">
      <c r="A14" s="87"/>
      <c r="B14" s="28" t="s">
        <v>65</v>
      </c>
      <c r="C14" s="28"/>
      <c r="D14" s="28"/>
      <c r="E14" s="28"/>
      <c r="F14" s="28"/>
      <c r="G14" s="28"/>
      <c r="H14" s="28" t="s">
        <v>69</v>
      </c>
      <c r="J14" s="9">
        <f t="shared" si="0"/>
        <v>2390139.7799999998</v>
      </c>
      <c r="K14" s="10"/>
      <c r="L14" s="11">
        <v>0</v>
      </c>
      <c r="M14" s="11">
        <v>0</v>
      </c>
      <c r="N14" s="11">
        <v>2341211</v>
      </c>
      <c r="O14" s="11">
        <v>0</v>
      </c>
      <c r="P14" s="11">
        <v>0</v>
      </c>
      <c r="Q14" s="11">
        <v>0</v>
      </c>
      <c r="R14" s="11">
        <v>0</v>
      </c>
      <c r="S14" s="11">
        <v>48928.780000000013</v>
      </c>
      <c r="T14" s="12"/>
      <c r="U14" s="45"/>
      <c r="V14" s="45"/>
      <c r="W14" s="45"/>
    </row>
    <row r="15" spans="1:25" s="3" customFormat="1" ht="12.75">
      <c r="A15" s="87"/>
      <c r="B15" s="28" t="s">
        <v>45</v>
      </c>
      <c r="C15" s="28"/>
      <c r="D15" s="28"/>
      <c r="E15" s="28"/>
      <c r="F15" s="28"/>
      <c r="G15" s="28"/>
      <c r="H15" s="28" t="s">
        <v>69</v>
      </c>
      <c r="J15" s="9">
        <f t="shared" si="0"/>
        <v>1342013.2184512443</v>
      </c>
      <c r="K15" s="10"/>
      <c r="L15" s="11">
        <v>49511.608451244327</v>
      </c>
      <c r="M15" s="11">
        <v>0</v>
      </c>
      <c r="N15" s="11">
        <v>536000</v>
      </c>
      <c r="O15" s="11">
        <v>0</v>
      </c>
      <c r="P15" s="11">
        <v>18476.099999999999</v>
      </c>
      <c r="Q15" s="11">
        <v>597977.98</v>
      </c>
      <c r="R15" s="11">
        <v>12646</v>
      </c>
      <c r="S15" s="11">
        <v>127401.53</v>
      </c>
      <c r="T15" s="12"/>
      <c r="U15" s="45"/>
      <c r="V15" s="45"/>
      <c r="W15" s="45"/>
    </row>
    <row r="16" spans="1:25" s="3" customFormat="1" ht="12.75">
      <c r="A16" s="87"/>
      <c r="B16" s="28" t="s">
        <v>66</v>
      </c>
      <c r="C16" s="28"/>
      <c r="D16" s="28"/>
      <c r="E16" s="28"/>
      <c r="F16" s="28"/>
      <c r="G16" s="28"/>
      <c r="H16" s="28" t="s">
        <v>69</v>
      </c>
      <c r="J16" s="9">
        <f t="shared" si="0"/>
        <v>926812.21184532298</v>
      </c>
      <c r="K16" s="10"/>
      <c r="L16" s="11">
        <v>0</v>
      </c>
      <c r="M16" s="11">
        <v>0</v>
      </c>
      <c r="N16" s="11">
        <v>917110.22184532299</v>
      </c>
      <c r="O16" s="11">
        <v>0</v>
      </c>
      <c r="P16" s="11">
        <v>2075.96</v>
      </c>
      <c r="Q16" s="11">
        <v>0</v>
      </c>
      <c r="R16" s="11">
        <v>0</v>
      </c>
      <c r="S16" s="11">
        <v>7626.03</v>
      </c>
      <c r="T16" s="12"/>
      <c r="U16" s="45"/>
      <c r="V16" s="45"/>
      <c r="W16" s="45"/>
    </row>
    <row r="17" spans="1:23" s="3" customFormat="1" ht="12.75">
      <c r="A17" s="87"/>
      <c r="B17" s="28" t="s">
        <v>50</v>
      </c>
      <c r="C17" s="28"/>
      <c r="D17" s="28"/>
      <c r="E17" s="28"/>
      <c r="F17" s="28"/>
      <c r="G17" s="28"/>
      <c r="H17" s="28" t="s">
        <v>69</v>
      </c>
      <c r="J17" s="9">
        <f t="shared" si="0"/>
        <v>12745606.17</v>
      </c>
      <c r="K17" s="10"/>
      <c r="L17" s="11">
        <v>0</v>
      </c>
      <c r="M17" s="11">
        <v>0</v>
      </c>
      <c r="N17" s="11">
        <v>11817279</v>
      </c>
      <c r="O17" s="11">
        <v>712998.57</v>
      </c>
      <c r="P17" s="11">
        <v>0</v>
      </c>
      <c r="Q17" s="11">
        <v>215328.60000000015</v>
      </c>
      <c r="R17" s="11">
        <v>0</v>
      </c>
      <c r="S17" s="11">
        <v>0</v>
      </c>
      <c r="T17" s="12"/>
      <c r="U17" s="45"/>
      <c r="V17" s="45"/>
      <c r="W17" s="45"/>
    </row>
    <row r="18" spans="1:23" s="3" customFormat="1" ht="12.75">
      <c r="A18" s="87"/>
      <c r="B18" s="28" t="s">
        <v>51</v>
      </c>
      <c r="C18" s="28"/>
      <c r="D18" s="28"/>
      <c r="E18" s="28"/>
      <c r="F18" s="28"/>
      <c r="G18" s="28"/>
      <c r="H18" s="28" t="s">
        <v>69</v>
      </c>
      <c r="J18" s="9">
        <f t="shared" si="0"/>
        <v>-177012.280000103</v>
      </c>
      <c r="K18" s="10"/>
      <c r="L18" s="11">
        <v>0</v>
      </c>
      <c r="M18" s="11">
        <v>0</v>
      </c>
      <c r="N18" s="11">
        <v>0</v>
      </c>
      <c r="O18" s="105">
        <v>-177012.280000103</v>
      </c>
      <c r="P18" s="11">
        <v>0</v>
      </c>
      <c r="Q18" s="11">
        <v>0</v>
      </c>
      <c r="R18" s="11">
        <v>0</v>
      </c>
      <c r="S18" s="11">
        <v>0</v>
      </c>
      <c r="T18" s="12"/>
      <c r="U18" s="45"/>
      <c r="V18" s="45"/>
      <c r="W18" s="45"/>
    </row>
    <row r="19" spans="1:23" s="3" customFormat="1" ht="12.75">
      <c r="A19" s="87"/>
      <c r="B19" s="28" t="s">
        <v>52</v>
      </c>
      <c r="C19" s="28"/>
      <c r="D19" s="28"/>
      <c r="E19" s="28"/>
      <c r="F19" s="28"/>
      <c r="G19" s="28"/>
      <c r="H19" s="28" t="s">
        <v>69</v>
      </c>
      <c r="J19" s="9">
        <f t="shared" si="0"/>
        <v>0</v>
      </c>
      <c r="K19" s="10"/>
      <c r="L19" s="11">
        <v>0</v>
      </c>
      <c r="M19" s="11">
        <v>0</v>
      </c>
      <c r="N19" s="11">
        <v>0</v>
      </c>
      <c r="O19" s="11">
        <v>0</v>
      </c>
      <c r="P19" s="11">
        <v>0</v>
      </c>
      <c r="Q19" s="11">
        <v>0</v>
      </c>
      <c r="R19" s="11">
        <v>0</v>
      </c>
      <c r="S19" s="11">
        <v>0</v>
      </c>
      <c r="T19" s="12"/>
      <c r="U19" s="45"/>
      <c r="V19" s="45"/>
      <c r="W19" s="45"/>
    </row>
    <row r="20" spans="1:23" s="3" customFormat="1" ht="12.75">
      <c r="A20" s="87"/>
      <c r="B20" s="28" t="s">
        <v>53</v>
      </c>
      <c r="C20" s="28"/>
      <c r="D20" s="28"/>
      <c r="E20" s="28"/>
      <c r="F20" s="28"/>
      <c r="G20" s="28"/>
      <c r="H20" s="28" t="s">
        <v>69</v>
      </c>
      <c r="J20" s="9">
        <f t="shared" si="0"/>
        <v>0</v>
      </c>
      <c r="K20" s="10"/>
      <c r="L20" s="11">
        <v>0</v>
      </c>
      <c r="M20" s="11">
        <v>0</v>
      </c>
      <c r="N20" s="11">
        <v>0</v>
      </c>
      <c r="O20" s="11">
        <v>0</v>
      </c>
      <c r="P20" s="11">
        <v>0</v>
      </c>
      <c r="Q20" s="11">
        <v>0</v>
      </c>
      <c r="R20" s="11">
        <v>0</v>
      </c>
      <c r="S20" s="11">
        <v>0</v>
      </c>
      <c r="T20" s="12"/>
      <c r="U20" s="45"/>
      <c r="V20" s="45"/>
      <c r="W20" s="45"/>
    </row>
    <row r="21" spans="1:23" s="3" customFormat="1" ht="12.75">
      <c r="A21" s="87"/>
      <c r="B21" s="28" t="s">
        <v>54</v>
      </c>
      <c r="C21" s="28"/>
      <c r="D21" s="28"/>
      <c r="E21" s="28"/>
      <c r="F21" s="28"/>
      <c r="G21" s="28"/>
      <c r="H21" s="28" t="s">
        <v>69</v>
      </c>
      <c r="J21" s="9">
        <f t="shared" si="0"/>
        <v>0</v>
      </c>
      <c r="K21" s="10"/>
      <c r="L21" s="11">
        <v>0</v>
      </c>
      <c r="M21" s="11">
        <v>0</v>
      </c>
      <c r="N21" s="11">
        <v>0</v>
      </c>
      <c r="O21" s="11">
        <v>0</v>
      </c>
      <c r="P21" s="11">
        <v>0</v>
      </c>
      <c r="Q21" s="11">
        <v>0</v>
      </c>
      <c r="R21" s="11">
        <v>0</v>
      </c>
      <c r="S21" s="11">
        <v>0</v>
      </c>
      <c r="T21" s="12"/>
      <c r="U21" s="45"/>
      <c r="V21" s="45"/>
      <c r="W21" s="45"/>
    </row>
    <row r="22" spans="1:23" s="3" customFormat="1" ht="12.75">
      <c r="A22" s="87"/>
      <c r="B22" s="28"/>
      <c r="C22" s="28"/>
      <c r="D22" s="28"/>
      <c r="E22" s="28"/>
      <c r="F22" s="28"/>
      <c r="G22" s="28"/>
      <c r="H22" s="28"/>
      <c r="T22" s="71"/>
    </row>
    <row r="23" spans="1:23" s="3" customFormat="1" ht="12.75">
      <c r="A23" s="87"/>
      <c r="B23" s="28" t="s">
        <v>46</v>
      </c>
      <c r="C23" s="28"/>
      <c r="D23" s="28"/>
      <c r="E23" s="28"/>
      <c r="F23" s="28"/>
      <c r="G23" s="28"/>
      <c r="H23" s="28" t="s">
        <v>69</v>
      </c>
      <c r="J23" s="9">
        <f>SUM(L23:S23)</f>
        <v>70193243.981953979</v>
      </c>
      <c r="K23" s="10"/>
      <c r="L23" s="9">
        <f>SUM(L11:L21)</f>
        <v>49511.608451244327</v>
      </c>
      <c r="M23" s="9">
        <f t="shared" ref="M23:U23" si="1">SUM(M11:M21)</f>
        <v>1112704.3580969032</v>
      </c>
      <c r="N23" s="9">
        <f t="shared" si="1"/>
        <v>41182420.465481684</v>
      </c>
      <c r="O23" s="9">
        <f t="shared" si="1"/>
        <v>15337977.259999895</v>
      </c>
      <c r="P23" s="9">
        <f t="shared" si="1"/>
        <v>55307.11</v>
      </c>
      <c r="Q23" s="9">
        <f t="shared" si="1"/>
        <v>11770856.969924258</v>
      </c>
      <c r="R23" s="9">
        <f t="shared" si="1"/>
        <v>437619</v>
      </c>
      <c r="S23" s="9">
        <f>SUM(S11:S21)</f>
        <v>246847.21</v>
      </c>
      <c r="T23" s="12"/>
      <c r="U23" s="9">
        <f t="shared" si="1"/>
        <v>0</v>
      </c>
      <c r="V23" s="9">
        <f t="shared" ref="V23" si="2">SUM(V11:V21)</f>
        <v>0</v>
      </c>
      <c r="W23" s="9">
        <f t="shared" ref="W23" si="3">SUM(W11:W21)</f>
        <v>0</v>
      </c>
    </row>
    <row r="24" spans="1:23" s="3" customFormat="1" ht="12.75">
      <c r="A24" s="87"/>
      <c r="T24" s="71"/>
    </row>
    <row r="25" spans="1:23" s="3" customFormat="1" ht="12.75">
      <c r="A25" s="87"/>
      <c r="B25" s="27"/>
      <c r="C25" s="28"/>
      <c r="D25" s="28"/>
      <c r="E25" s="28"/>
      <c r="F25" s="28"/>
      <c r="G25" s="28"/>
      <c r="H25" s="28"/>
      <c r="T25" s="71"/>
    </row>
    <row r="26" spans="1:23" s="3" customFormat="1" ht="12.75">
      <c r="A26" s="87"/>
      <c r="B26" s="27" t="s">
        <v>211</v>
      </c>
      <c r="C26" s="28"/>
      <c r="D26" s="28"/>
      <c r="E26" s="28"/>
      <c r="F26" s="28"/>
      <c r="G26" s="28"/>
      <c r="H26" s="28"/>
      <c r="T26" s="71"/>
    </row>
    <row r="27" spans="1:23" s="3" customFormat="1" ht="12.75">
      <c r="A27" s="87"/>
      <c r="B27" s="28" t="s">
        <v>62</v>
      </c>
      <c r="C27" s="28"/>
      <c r="D27" s="28"/>
      <c r="E27" s="28"/>
      <c r="F27" s="28"/>
      <c r="G27" s="28"/>
      <c r="H27" s="28" t="s">
        <v>69</v>
      </c>
      <c r="J27" s="9">
        <f t="shared" ref="J27:J37" si="4">SUM(L27:S27)</f>
        <v>9701616.0791648049</v>
      </c>
      <c r="K27" s="10"/>
      <c r="L27" s="11">
        <v>0</v>
      </c>
      <c r="M27" s="11">
        <v>0</v>
      </c>
      <c r="N27" s="11">
        <v>4279295</v>
      </c>
      <c r="O27" s="11">
        <v>4260829.5991648044</v>
      </c>
      <c r="P27" s="11">
        <v>0</v>
      </c>
      <c r="Q27" s="11">
        <v>1098600.6100000003</v>
      </c>
      <c r="R27" s="11">
        <v>0</v>
      </c>
      <c r="S27" s="11">
        <v>62890.869999999995</v>
      </c>
      <c r="T27" s="12"/>
      <c r="U27" s="45"/>
      <c r="V27" s="45"/>
      <c r="W27" s="45"/>
    </row>
    <row r="28" spans="1:23" s="3" customFormat="1" ht="12.75">
      <c r="A28" s="87"/>
      <c r="B28" s="28" t="s">
        <v>63</v>
      </c>
      <c r="C28" s="28"/>
      <c r="D28" s="28"/>
      <c r="E28" s="28"/>
      <c r="F28" s="28"/>
      <c r="G28" s="28"/>
      <c r="H28" s="28" t="s">
        <v>69</v>
      </c>
      <c r="J28" s="9">
        <f t="shared" si="4"/>
        <v>31184464.387065273</v>
      </c>
      <c r="K28" s="10"/>
      <c r="L28" s="11">
        <v>0</v>
      </c>
      <c r="M28" s="11">
        <v>0</v>
      </c>
      <c r="N28" s="11">
        <v>18503525</v>
      </c>
      <c r="O28" s="11">
        <v>6245147.8608351946</v>
      </c>
      <c r="P28" s="11">
        <v>34755</v>
      </c>
      <c r="Q28" s="11">
        <v>6040914.3599999975</v>
      </c>
      <c r="R28" s="11">
        <v>360122.16623007937</v>
      </c>
      <c r="S28" s="11">
        <v>0</v>
      </c>
      <c r="T28" s="12"/>
      <c r="U28" s="45"/>
      <c r="V28" s="45"/>
      <c r="W28" s="45"/>
    </row>
    <row r="29" spans="1:23" s="3" customFormat="1" ht="12.75">
      <c r="A29" s="87"/>
      <c r="B29" s="28" t="s">
        <v>64</v>
      </c>
      <c r="C29" s="28"/>
      <c r="D29" s="28"/>
      <c r="E29" s="28"/>
      <c r="F29" s="28"/>
      <c r="G29" s="28"/>
      <c r="H29" s="28" t="s">
        <v>69</v>
      </c>
      <c r="J29" s="9">
        <f t="shared" si="4"/>
        <v>3761219.9105818495</v>
      </c>
      <c r="K29" s="10"/>
      <c r="L29" s="11">
        <v>0</v>
      </c>
      <c r="M29" s="11">
        <v>200000</v>
      </c>
      <c r="N29" s="11">
        <v>487900.04263636383</v>
      </c>
      <c r="O29" s="105">
        <v>1333245.5720689655</v>
      </c>
      <c r="P29" s="11">
        <v>0</v>
      </c>
      <c r="Q29" s="11">
        <v>1740074.29587652</v>
      </c>
      <c r="R29" s="11">
        <v>0</v>
      </c>
      <c r="S29" s="11">
        <v>0</v>
      </c>
      <c r="T29" s="12"/>
      <c r="U29" s="45"/>
      <c r="V29" s="45"/>
      <c r="W29" s="45"/>
    </row>
    <row r="30" spans="1:23" s="3" customFormat="1" ht="12.75">
      <c r="A30" s="87"/>
      <c r="B30" s="28" t="s">
        <v>65</v>
      </c>
      <c r="C30" s="28"/>
      <c r="D30" s="28"/>
      <c r="E30" s="28"/>
      <c r="F30" s="28"/>
      <c r="G30" s="28"/>
      <c r="H30" s="28" t="s">
        <v>69</v>
      </c>
      <c r="J30" s="9">
        <f t="shared" si="4"/>
        <v>2390139.7799999998</v>
      </c>
      <c r="K30" s="10"/>
      <c r="L30" s="11">
        <v>0</v>
      </c>
      <c r="M30" s="11">
        <v>0</v>
      </c>
      <c r="N30" s="11">
        <v>2341211</v>
      </c>
      <c r="O30" s="11">
        <v>0</v>
      </c>
      <c r="P30" s="11">
        <v>0</v>
      </c>
      <c r="Q30" s="11">
        <v>0</v>
      </c>
      <c r="R30" s="11">
        <v>0</v>
      </c>
      <c r="S30" s="11">
        <v>48928.780000000013</v>
      </c>
      <c r="T30" s="12"/>
      <c r="U30" s="45"/>
      <c r="V30" s="45"/>
      <c r="W30" s="45"/>
    </row>
    <row r="31" spans="1:23" s="3" customFormat="1" ht="12.75">
      <c r="A31" s="87"/>
      <c r="B31" s="28" t="s">
        <v>45</v>
      </c>
      <c r="C31" s="28"/>
      <c r="D31" s="28"/>
      <c r="E31" s="28"/>
      <c r="F31" s="28"/>
      <c r="G31" s="28"/>
      <c r="H31" s="28" t="s">
        <v>69</v>
      </c>
      <c r="J31" s="9">
        <f t="shared" si="4"/>
        <v>1412575.3699999999</v>
      </c>
      <c r="K31" s="10"/>
      <c r="L31" s="11">
        <v>120073.75999999998</v>
      </c>
      <c r="M31" s="11">
        <v>0</v>
      </c>
      <c r="N31" s="11">
        <v>536000</v>
      </c>
      <c r="O31" s="11">
        <v>0</v>
      </c>
      <c r="P31" s="11">
        <v>18476.099999999999</v>
      </c>
      <c r="Q31" s="11">
        <v>597977.98</v>
      </c>
      <c r="R31" s="11">
        <v>12646</v>
      </c>
      <c r="S31" s="11">
        <v>127401.53</v>
      </c>
      <c r="T31" s="12"/>
      <c r="U31" s="45"/>
      <c r="V31" s="45"/>
      <c r="W31" s="45"/>
    </row>
    <row r="32" spans="1:23" s="3" customFormat="1" ht="12.75">
      <c r="A32" s="87"/>
      <c r="B32" s="28" t="s">
        <v>66</v>
      </c>
      <c r="C32" s="28"/>
      <c r="D32" s="28"/>
      <c r="E32" s="28"/>
      <c r="F32" s="28"/>
      <c r="G32" s="28"/>
      <c r="H32" s="28" t="s">
        <v>69</v>
      </c>
      <c r="J32" s="9">
        <f t="shared" si="4"/>
        <v>924736.25184532302</v>
      </c>
      <c r="K32" s="10"/>
      <c r="L32" s="11">
        <v>0</v>
      </c>
      <c r="M32" s="11">
        <v>0</v>
      </c>
      <c r="N32" s="11">
        <v>917110.22184532299</v>
      </c>
      <c r="O32" s="11">
        <v>0</v>
      </c>
      <c r="P32" s="11">
        <v>0</v>
      </c>
      <c r="Q32" s="11">
        <v>0</v>
      </c>
      <c r="R32" s="11">
        <v>0</v>
      </c>
      <c r="S32" s="11">
        <v>7626.03</v>
      </c>
      <c r="T32" s="12"/>
      <c r="U32" s="45"/>
      <c r="V32" s="45"/>
      <c r="W32" s="45"/>
    </row>
    <row r="33" spans="1:23" s="3" customFormat="1" ht="12.75">
      <c r="A33" s="87"/>
      <c r="B33" s="28" t="s">
        <v>50</v>
      </c>
      <c r="C33" s="28"/>
      <c r="D33" s="28"/>
      <c r="E33" s="28"/>
      <c r="F33" s="28"/>
      <c r="G33" s="28"/>
      <c r="H33" s="28" t="s">
        <v>69</v>
      </c>
      <c r="J33" s="9">
        <f t="shared" si="4"/>
        <v>12530277.57</v>
      </c>
      <c r="K33" s="10"/>
      <c r="L33" s="11">
        <v>0</v>
      </c>
      <c r="M33" s="11">
        <v>0</v>
      </c>
      <c r="N33" s="11">
        <v>11817279</v>
      </c>
      <c r="O33" s="11">
        <v>712998.57</v>
      </c>
      <c r="P33" s="11">
        <v>0</v>
      </c>
      <c r="Q33" s="11">
        <v>0</v>
      </c>
      <c r="R33" s="11">
        <v>0</v>
      </c>
      <c r="S33" s="11">
        <v>0</v>
      </c>
      <c r="T33" s="12"/>
      <c r="U33" s="45"/>
      <c r="V33" s="45"/>
      <c r="W33" s="45"/>
    </row>
    <row r="34" spans="1:23" s="3" customFormat="1" ht="12.75">
      <c r="A34" s="87"/>
      <c r="B34" s="28" t="s">
        <v>51</v>
      </c>
      <c r="C34" s="28"/>
      <c r="D34" s="28"/>
      <c r="E34" s="28"/>
      <c r="F34" s="28"/>
      <c r="G34" s="28"/>
      <c r="H34" s="28" t="s">
        <v>69</v>
      </c>
      <c r="J34" s="9">
        <f t="shared" si="4"/>
        <v>0</v>
      </c>
      <c r="K34" s="10"/>
      <c r="L34" s="11">
        <v>0</v>
      </c>
      <c r="M34" s="11">
        <v>0</v>
      </c>
      <c r="N34" s="11">
        <v>0</v>
      </c>
      <c r="O34" s="11">
        <v>0</v>
      </c>
      <c r="P34" s="11">
        <v>0</v>
      </c>
      <c r="Q34" s="11">
        <v>0</v>
      </c>
      <c r="R34" s="11">
        <v>0</v>
      </c>
      <c r="S34" s="11">
        <v>0</v>
      </c>
      <c r="T34" s="12"/>
      <c r="U34" s="45"/>
      <c r="V34" s="45"/>
      <c r="W34" s="45"/>
    </row>
    <row r="35" spans="1:23" s="3" customFormat="1" ht="12.75">
      <c r="A35" s="87"/>
      <c r="B35" s="28" t="s">
        <v>52</v>
      </c>
      <c r="C35" s="28"/>
      <c r="D35" s="28"/>
      <c r="E35" s="28"/>
      <c r="F35" s="28"/>
      <c r="G35" s="28"/>
      <c r="H35" s="28" t="s">
        <v>69</v>
      </c>
      <c r="J35" s="9">
        <f t="shared" si="4"/>
        <v>0</v>
      </c>
      <c r="K35" s="10"/>
      <c r="L35" s="11">
        <v>0</v>
      </c>
      <c r="M35" s="11">
        <v>0</v>
      </c>
      <c r="N35" s="11">
        <v>0</v>
      </c>
      <c r="O35" s="11">
        <v>0</v>
      </c>
      <c r="P35" s="11">
        <v>0</v>
      </c>
      <c r="Q35" s="11">
        <v>0</v>
      </c>
      <c r="R35" s="11">
        <v>0</v>
      </c>
      <c r="S35" s="11">
        <v>0</v>
      </c>
      <c r="T35" s="12"/>
      <c r="U35" s="45"/>
      <c r="V35" s="45"/>
      <c r="W35" s="45"/>
    </row>
    <row r="36" spans="1:23" s="3" customFormat="1" ht="12.75">
      <c r="A36" s="87"/>
      <c r="B36" s="28" t="s">
        <v>53</v>
      </c>
      <c r="C36" s="28"/>
      <c r="D36" s="28"/>
      <c r="E36" s="28"/>
      <c r="F36" s="28"/>
      <c r="G36" s="28"/>
      <c r="H36" s="28" t="s">
        <v>69</v>
      </c>
      <c r="J36" s="9">
        <f t="shared" si="4"/>
        <v>0</v>
      </c>
      <c r="K36" s="10"/>
      <c r="L36" s="11">
        <v>0</v>
      </c>
      <c r="M36" s="11">
        <v>0</v>
      </c>
      <c r="N36" s="11">
        <v>0</v>
      </c>
      <c r="O36" s="11">
        <v>0</v>
      </c>
      <c r="P36" s="11">
        <v>0</v>
      </c>
      <c r="Q36" s="11">
        <v>0</v>
      </c>
      <c r="R36" s="11">
        <v>0</v>
      </c>
      <c r="S36" s="11">
        <v>0</v>
      </c>
      <c r="T36" s="12"/>
      <c r="U36" s="45"/>
      <c r="V36" s="45"/>
      <c r="W36" s="45"/>
    </row>
    <row r="37" spans="1:23" s="3" customFormat="1" ht="12.75">
      <c r="A37" s="87"/>
      <c r="B37" s="28" t="s">
        <v>54</v>
      </c>
      <c r="C37" s="28"/>
      <c r="D37" s="28"/>
      <c r="E37" s="28"/>
      <c r="F37" s="28"/>
      <c r="G37" s="28"/>
      <c r="H37" s="28" t="s">
        <v>69</v>
      </c>
      <c r="J37" s="9">
        <f t="shared" si="4"/>
        <v>0</v>
      </c>
      <c r="K37" s="10"/>
      <c r="L37" s="11">
        <v>0</v>
      </c>
      <c r="M37" s="11">
        <v>0</v>
      </c>
      <c r="N37" s="11">
        <v>0</v>
      </c>
      <c r="O37" s="11">
        <v>0</v>
      </c>
      <c r="P37" s="11">
        <v>0</v>
      </c>
      <c r="Q37" s="11">
        <v>0</v>
      </c>
      <c r="R37" s="11">
        <v>0</v>
      </c>
      <c r="S37" s="11">
        <v>0</v>
      </c>
      <c r="T37" s="12"/>
      <c r="U37" s="45"/>
      <c r="V37" s="45"/>
      <c r="W37" s="45"/>
    </row>
    <row r="38" spans="1:23" s="3" customFormat="1" ht="12.75">
      <c r="A38" s="87"/>
      <c r="B38" s="28"/>
      <c r="C38" s="28"/>
      <c r="D38" s="28"/>
      <c r="E38" s="28"/>
      <c r="F38" s="28"/>
      <c r="G38" s="28"/>
      <c r="H38" s="28"/>
      <c r="T38" s="71"/>
    </row>
    <row r="39" spans="1:23" s="3" customFormat="1" ht="12.75">
      <c r="A39" s="87"/>
      <c r="B39" s="28" t="s">
        <v>46</v>
      </c>
      <c r="C39" s="28"/>
      <c r="D39" s="28"/>
      <c r="E39" s="28"/>
      <c r="F39" s="28"/>
      <c r="G39" s="28"/>
      <c r="H39" s="28" t="s">
        <v>69</v>
      </c>
      <c r="J39" s="9">
        <f>SUM(L39:S39)</f>
        <v>61905029.34865725</v>
      </c>
      <c r="K39" s="10"/>
      <c r="L39" s="9">
        <f>SUM(L27:L37)</f>
        <v>120073.75999999998</v>
      </c>
      <c r="M39" s="9">
        <f t="shared" ref="M39:U39" si="5">SUM(M27:M37)</f>
        <v>200000</v>
      </c>
      <c r="N39" s="9">
        <f t="shared" si="5"/>
        <v>38882320.264481686</v>
      </c>
      <c r="O39" s="9">
        <f t="shared" si="5"/>
        <v>12552221.602068964</v>
      </c>
      <c r="P39" s="9">
        <f t="shared" si="5"/>
        <v>53231.1</v>
      </c>
      <c r="Q39" s="9">
        <f t="shared" si="5"/>
        <v>9477567.245876519</v>
      </c>
      <c r="R39" s="9">
        <f t="shared" si="5"/>
        <v>372768.16623007937</v>
      </c>
      <c r="S39" s="9">
        <f>SUM(S27:S37)</f>
        <v>246847.21</v>
      </c>
      <c r="T39" s="12"/>
      <c r="U39" s="9">
        <f t="shared" si="5"/>
        <v>0</v>
      </c>
      <c r="V39" s="9">
        <f t="shared" ref="V39" si="6">SUM(V27:V37)</f>
        <v>0</v>
      </c>
      <c r="W39" s="9">
        <f t="shared" ref="W39" si="7">SUM(W27:W37)</f>
        <v>0</v>
      </c>
    </row>
    <row r="40" spans="1:23" s="3" customFormat="1" ht="12.75">
      <c r="A40" s="87"/>
      <c r="T40" s="71"/>
    </row>
    <row r="41" spans="1:23" s="3" customFormat="1" ht="12.75">
      <c r="A41" s="87"/>
      <c r="T41" s="71"/>
    </row>
    <row r="42" spans="1:23" s="3" customFormat="1" ht="12.75">
      <c r="A42" s="87"/>
      <c r="B42" s="27" t="s">
        <v>213</v>
      </c>
      <c r="C42" s="28"/>
      <c r="D42" s="28"/>
      <c r="E42" s="28"/>
      <c r="F42" s="28"/>
      <c r="G42" s="28"/>
      <c r="H42" s="28"/>
      <c r="T42" s="71"/>
    </row>
    <row r="43" spans="1:23" s="3" customFormat="1" ht="12.75">
      <c r="A43" s="87"/>
      <c r="B43" s="28" t="s">
        <v>41</v>
      </c>
      <c r="C43" s="28"/>
      <c r="D43" s="28"/>
      <c r="E43" s="28"/>
      <c r="F43" s="28"/>
      <c r="G43" s="28"/>
      <c r="H43" s="28" t="s">
        <v>69</v>
      </c>
      <c r="J43" s="9">
        <f t="shared" ref="J43:J52" si="8">SUM(L43:S43)</f>
        <v>13137909.678434636</v>
      </c>
      <c r="K43" s="10"/>
      <c r="L43" s="11">
        <v>103245.25000000003</v>
      </c>
      <c r="M43" s="11">
        <v>275246.9865</v>
      </c>
      <c r="N43" s="11">
        <v>5398788.3100000005</v>
      </c>
      <c r="O43" s="11">
        <v>2205448.9699999997</v>
      </c>
      <c r="P43" s="11">
        <v>29666.37</v>
      </c>
      <c r="Q43" s="11">
        <v>4857005.8400000008</v>
      </c>
      <c r="R43" s="11">
        <v>15400.680664635616</v>
      </c>
      <c r="S43" s="11">
        <v>253107.27127</v>
      </c>
      <c r="T43" s="12"/>
      <c r="U43" s="45"/>
      <c r="V43" s="45"/>
      <c r="W43" s="45"/>
    </row>
    <row r="44" spans="1:23" s="3" customFormat="1" ht="12.75">
      <c r="A44" s="87"/>
      <c r="B44" s="28" t="s">
        <v>42</v>
      </c>
      <c r="C44" s="28"/>
      <c r="D44" s="28" t="s">
        <v>193</v>
      </c>
      <c r="E44" s="28"/>
      <c r="F44" s="28"/>
      <c r="G44" s="28"/>
      <c r="H44" s="28" t="s">
        <v>69</v>
      </c>
      <c r="J44" s="9">
        <f t="shared" si="8"/>
        <v>278934.6234999994</v>
      </c>
      <c r="K44" s="10"/>
      <c r="L44" s="11">
        <v>7564.8799999999992</v>
      </c>
      <c r="M44" s="11">
        <v>14486.683499999999</v>
      </c>
      <c r="N44" s="11">
        <v>256883.05999999939</v>
      </c>
      <c r="O44" s="11">
        <v>0</v>
      </c>
      <c r="P44" s="11">
        <v>0</v>
      </c>
      <c r="Q44" s="11">
        <v>0</v>
      </c>
      <c r="R44" s="11">
        <v>0</v>
      </c>
      <c r="S44" s="11">
        <v>0</v>
      </c>
      <c r="T44" s="12"/>
      <c r="U44" s="45"/>
      <c r="V44" s="45"/>
      <c r="W44" s="45"/>
    </row>
    <row r="45" spans="1:23" s="3" customFormat="1" ht="12.75">
      <c r="A45" s="87"/>
      <c r="B45" s="28" t="s">
        <v>43</v>
      </c>
      <c r="C45" s="28"/>
      <c r="D45" s="28"/>
      <c r="E45" s="28"/>
      <c r="F45" s="28"/>
      <c r="G45" s="28"/>
      <c r="H45" s="28" t="s">
        <v>69</v>
      </c>
      <c r="J45" s="9">
        <f t="shared" si="8"/>
        <v>3770547.2696688818</v>
      </c>
      <c r="K45" s="10"/>
      <c r="L45" s="11">
        <v>34363.619999999981</v>
      </c>
      <c r="M45" s="11">
        <v>0</v>
      </c>
      <c r="N45" s="11">
        <v>1684090.6500000001</v>
      </c>
      <c r="O45" s="11">
        <v>318156.73966888333</v>
      </c>
      <c r="P45" s="11">
        <v>0</v>
      </c>
      <c r="Q45" s="11">
        <v>1584457.1499999985</v>
      </c>
      <c r="R45" s="11">
        <v>11642</v>
      </c>
      <c r="S45" s="11">
        <v>137837.11000000002</v>
      </c>
      <c r="T45" s="12"/>
      <c r="U45" s="45"/>
      <c r="V45" s="45"/>
      <c r="W45" s="45"/>
    </row>
    <row r="46" spans="1:23" s="3" customFormat="1" ht="12.75">
      <c r="A46" s="87"/>
      <c r="B46" s="28" t="s">
        <v>48</v>
      </c>
      <c r="C46" s="28"/>
      <c r="D46" s="28"/>
      <c r="E46" s="28"/>
      <c r="F46" s="28"/>
      <c r="G46" s="28"/>
      <c r="H46" s="28" t="s">
        <v>69</v>
      </c>
      <c r="J46" s="9">
        <f t="shared" si="8"/>
        <v>11683003.735156793</v>
      </c>
      <c r="K46" s="10"/>
      <c r="L46" s="11">
        <v>29257.589999999993</v>
      </c>
      <c r="M46" s="11">
        <v>197357.73515679245</v>
      </c>
      <c r="N46" s="11">
        <v>5525991</v>
      </c>
      <c r="O46" s="11">
        <v>3837597.5700000003</v>
      </c>
      <c r="P46" s="11">
        <v>55698.07</v>
      </c>
      <c r="Q46" s="11">
        <v>1905336.75</v>
      </c>
      <c r="R46" s="11">
        <v>42441.82</v>
      </c>
      <c r="S46" s="11">
        <v>89323.200000000012</v>
      </c>
      <c r="T46" s="12"/>
      <c r="U46" s="45"/>
      <c r="V46" s="45"/>
      <c r="W46" s="45"/>
    </row>
    <row r="47" spans="1:23" s="3" customFormat="1" ht="12.75">
      <c r="A47" s="87"/>
      <c r="B47" s="28" t="s">
        <v>49</v>
      </c>
      <c r="C47" s="28"/>
      <c r="D47" s="28"/>
      <c r="E47" s="28"/>
      <c r="F47" s="28"/>
      <c r="G47" s="28"/>
      <c r="H47" s="28" t="s">
        <v>69</v>
      </c>
      <c r="J47" s="9">
        <f t="shared" si="8"/>
        <v>10295658.670845434</v>
      </c>
      <c r="K47" s="10"/>
      <c r="L47" s="11">
        <v>0</v>
      </c>
      <c r="M47" s="11">
        <v>27190.513999999999</v>
      </c>
      <c r="N47" s="11">
        <v>1773888</v>
      </c>
      <c r="O47" s="11">
        <v>6424812.4699999997</v>
      </c>
      <c r="P47" s="11">
        <v>22816.335000000003</v>
      </c>
      <c r="Q47" s="11">
        <v>2017693.7528987038</v>
      </c>
      <c r="R47" s="11">
        <v>0</v>
      </c>
      <c r="S47" s="11">
        <v>29257.598946730981</v>
      </c>
      <c r="T47" s="12"/>
      <c r="U47" s="45"/>
      <c r="V47" s="45"/>
      <c r="W47" s="45"/>
    </row>
    <row r="48" spans="1:23" s="3" customFormat="1" ht="12.75">
      <c r="A48" s="87"/>
      <c r="B48" s="28" t="s">
        <v>50</v>
      </c>
      <c r="C48" s="28"/>
      <c r="D48" s="28"/>
      <c r="E48" s="28"/>
      <c r="F48" s="28"/>
      <c r="G48" s="28"/>
      <c r="H48" s="28" t="s">
        <v>69</v>
      </c>
      <c r="J48" s="9">
        <f t="shared" si="8"/>
        <v>165999.03135625771</v>
      </c>
      <c r="K48" s="10"/>
      <c r="L48" s="11">
        <v>0</v>
      </c>
      <c r="M48" s="11">
        <v>0</v>
      </c>
      <c r="N48" s="11">
        <v>0</v>
      </c>
      <c r="O48" s="11">
        <v>153745.77135625773</v>
      </c>
      <c r="P48" s="11">
        <v>422.3</v>
      </c>
      <c r="Q48" s="11">
        <v>0</v>
      </c>
      <c r="R48" s="11">
        <v>11830.96</v>
      </c>
      <c r="S48" s="11">
        <v>0</v>
      </c>
      <c r="T48" s="12"/>
      <c r="U48" s="45"/>
      <c r="V48" s="45"/>
      <c r="W48" s="45"/>
    </row>
    <row r="49" spans="1:23" s="3" customFormat="1" ht="12.75">
      <c r="A49" s="87"/>
      <c r="B49" s="28" t="s">
        <v>51</v>
      </c>
      <c r="C49" s="28"/>
      <c r="D49" s="28"/>
      <c r="E49" s="28"/>
      <c r="F49" s="28"/>
      <c r="G49" s="28"/>
      <c r="H49" s="28" t="s">
        <v>69</v>
      </c>
      <c r="J49" s="9">
        <f t="shared" si="8"/>
        <v>1425010.318974968</v>
      </c>
      <c r="K49" s="10"/>
      <c r="L49" s="11">
        <v>0</v>
      </c>
      <c r="M49" s="11">
        <v>0</v>
      </c>
      <c r="N49" s="11">
        <v>0</v>
      </c>
      <c r="O49" s="11">
        <v>1463222.068974968</v>
      </c>
      <c r="P49" s="11">
        <v>0</v>
      </c>
      <c r="Q49" s="11">
        <v>0</v>
      </c>
      <c r="R49" s="11">
        <v>-38211.75</v>
      </c>
      <c r="S49" s="11">
        <v>0</v>
      </c>
      <c r="T49" s="12"/>
      <c r="U49" s="45"/>
      <c r="V49" s="45"/>
      <c r="W49" s="45"/>
    </row>
    <row r="50" spans="1:23" s="3" customFormat="1" ht="12.75">
      <c r="A50" s="87"/>
      <c r="B50" s="28" t="s">
        <v>52</v>
      </c>
      <c r="C50" s="28"/>
      <c r="D50" s="28"/>
      <c r="E50" s="28"/>
      <c r="F50" s="28"/>
      <c r="G50" s="28"/>
      <c r="H50" s="28" t="s">
        <v>69</v>
      </c>
      <c r="J50" s="9">
        <f t="shared" si="8"/>
        <v>0</v>
      </c>
      <c r="K50" s="10"/>
      <c r="L50" s="11">
        <v>0</v>
      </c>
      <c r="M50" s="11">
        <v>0</v>
      </c>
      <c r="N50" s="11">
        <v>0</v>
      </c>
      <c r="O50" s="11">
        <v>0</v>
      </c>
      <c r="P50" s="11">
        <v>0</v>
      </c>
      <c r="Q50" s="11">
        <v>0</v>
      </c>
      <c r="R50" s="11">
        <v>0</v>
      </c>
      <c r="S50" s="11">
        <v>0</v>
      </c>
      <c r="T50" s="12"/>
      <c r="U50" s="45"/>
      <c r="V50" s="45"/>
      <c r="W50" s="45"/>
    </row>
    <row r="51" spans="1:23" s="3" customFormat="1" ht="12.75">
      <c r="A51" s="87"/>
      <c r="B51" s="28" t="s">
        <v>53</v>
      </c>
      <c r="C51" s="28"/>
      <c r="D51" s="28"/>
      <c r="E51" s="28"/>
      <c r="F51" s="28"/>
      <c r="G51" s="28"/>
      <c r="H51" s="28" t="s">
        <v>69</v>
      </c>
      <c r="J51" s="9">
        <f t="shared" si="8"/>
        <v>0</v>
      </c>
      <c r="K51" s="10"/>
      <c r="L51" s="11">
        <v>0</v>
      </c>
      <c r="M51" s="11">
        <v>0</v>
      </c>
      <c r="N51" s="11">
        <v>0</v>
      </c>
      <c r="O51" s="11">
        <v>0</v>
      </c>
      <c r="P51" s="11">
        <v>0</v>
      </c>
      <c r="Q51" s="11">
        <v>0</v>
      </c>
      <c r="R51" s="11">
        <v>0</v>
      </c>
      <c r="S51" s="11">
        <v>0</v>
      </c>
      <c r="T51" s="12"/>
      <c r="U51" s="45"/>
      <c r="V51" s="45"/>
      <c r="W51" s="45"/>
    </row>
    <row r="52" spans="1:23" s="3" customFormat="1" ht="12.75">
      <c r="A52" s="87"/>
      <c r="B52" s="28" t="s">
        <v>54</v>
      </c>
      <c r="C52" s="28"/>
      <c r="D52" s="28"/>
      <c r="E52" s="28"/>
      <c r="F52" s="28"/>
      <c r="G52" s="28"/>
      <c r="H52" s="28" t="s">
        <v>69</v>
      </c>
      <c r="J52" s="9">
        <f t="shared" si="8"/>
        <v>0</v>
      </c>
      <c r="K52" s="10"/>
      <c r="L52" s="11">
        <v>0</v>
      </c>
      <c r="M52" s="11">
        <v>0</v>
      </c>
      <c r="N52" s="11">
        <v>0</v>
      </c>
      <c r="O52" s="11">
        <v>0</v>
      </c>
      <c r="P52" s="11">
        <v>0</v>
      </c>
      <c r="Q52" s="11">
        <v>0</v>
      </c>
      <c r="R52" s="11">
        <v>0</v>
      </c>
      <c r="S52" s="11">
        <v>0</v>
      </c>
      <c r="T52" s="12"/>
      <c r="U52" s="45"/>
      <c r="V52" s="45"/>
      <c r="W52" s="45"/>
    </row>
    <row r="53" spans="1:23" s="3" customFormat="1" ht="12.75">
      <c r="A53" s="87"/>
      <c r="B53" s="28"/>
      <c r="C53" s="28"/>
      <c r="D53" s="28"/>
      <c r="E53" s="28"/>
      <c r="F53" s="28"/>
      <c r="G53" s="28"/>
      <c r="H53" s="28"/>
      <c r="T53" s="71"/>
    </row>
    <row r="54" spans="1:23" s="3" customFormat="1" ht="12.75">
      <c r="A54" s="87"/>
      <c r="B54" s="28" t="s">
        <v>46</v>
      </c>
      <c r="C54" s="28"/>
      <c r="D54" s="28"/>
      <c r="E54" s="28"/>
      <c r="F54" s="28"/>
      <c r="G54" s="28"/>
      <c r="H54" s="28" t="s">
        <v>69</v>
      </c>
      <c r="J54" s="9">
        <f>SUM(L54:S54)</f>
        <v>40757063.32793697</v>
      </c>
      <c r="K54" s="10"/>
      <c r="L54" s="9">
        <f>SUM(L43:L52)</f>
        <v>174431.34</v>
      </c>
      <c r="M54" s="9">
        <f t="shared" ref="M54:V54" si="9">SUM(M43:M52)</f>
        <v>514281.91915679246</v>
      </c>
      <c r="N54" s="9">
        <f t="shared" si="9"/>
        <v>14639641.02</v>
      </c>
      <c r="O54" s="9">
        <f t="shared" si="9"/>
        <v>14402983.59000011</v>
      </c>
      <c r="P54" s="9">
        <f t="shared" si="9"/>
        <v>108603.07500000001</v>
      </c>
      <c r="Q54" s="9">
        <f t="shared" si="9"/>
        <v>10364493.492898703</v>
      </c>
      <c r="R54" s="9">
        <f t="shared" si="9"/>
        <v>43103.710664635611</v>
      </c>
      <c r="S54" s="9">
        <f>SUM(S43:S52)</f>
        <v>509525.18021673098</v>
      </c>
      <c r="T54" s="12"/>
      <c r="U54" s="9">
        <f t="shared" si="9"/>
        <v>0</v>
      </c>
      <c r="V54" s="9">
        <f t="shared" si="9"/>
        <v>0</v>
      </c>
      <c r="W54" s="9">
        <f>SUM(W43:W52)</f>
        <v>0</v>
      </c>
    </row>
    <row r="55" spans="1:23" s="3" customFormat="1" ht="12.75">
      <c r="A55" s="87"/>
      <c r="T55" s="71"/>
    </row>
    <row r="56" spans="1:23" s="3" customFormat="1" ht="12.75">
      <c r="A56" s="87"/>
      <c r="B56" s="28"/>
      <c r="C56" s="29"/>
      <c r="D56" s="28"/>
      <c r="E56" s="28"/>
      <c r="F56" s="28"/>
      <c r="G56" s="28"/>
      <c r="H56" s="28"/>
      <c r="T56" s="71"/>
    </row>
    <row r="57" spans="1:23" s="3" customFormat="1" ht="12.75">
      <c r="A57" s="87"/>
      <c r="B57" s="27" t="s">
        <v>194</v>
      </c>
      <c r="C57" s="29"/>
      <c r="D57" s="28"/>
      <c r="E57" s="28"/>
      <c r="F57" s="28"/>
      <c r="G57" s="28"/>
      <c r="H57" s="28"/>
      <c r="T57" s="71"/>
    </row>
    <row r="58" spans="1:23" s="3" customFormat="1" ht="12.75">
      <c r="A58" s="87"/>
      <c r="B58" s="28" t="s">
        <v>198</v>
      </c>
      <c r="C58" s="29"/>
      <c r="D58" s="28"/>
      <c r="E58" s="28"/>
      <c r="F58" s="28"/>
      <c r="G58" s="28"/>
      <c r="H58" s="28" t="s">
        <v>69</v>
      </c>
      <c r="J58" s="9">
        <f>SUM(L58:S58)</f>
        <v>1099237.8130999999</v>
      </c>
      <c r="K58" s="10"/>
      <c r="L58" s="11">
        <v>0</v>
      </c>
      <c r="M58" s="11">
        <v>0</v>
      </c>
      <c r="N58" s="11">
        <v>0</v>
      </c>
      <c r="O58" s="11">
        <v>61743.379999999896</v>
      </c>
      <c r="P58" s="11">
        <v>1995.8</v>
      </c>
      <c r="Q58" s="11">
        <v>1022847.15</v>
      </c>
      <c r="R58" s="11">
        <v>0</v>
      </c>
      <c r="S58" s="11">
        <v>12651.483099999999</v>
      </c>
      <c r="T58" s="12"/>
      <c r="U58" s="45"/>
      <c r="V58" s="45"/>
      <c r="W58" s="45"/>
    </row>
    <row r="59" spans="1:23" s="3" customFormat="1" ht="12.75">
      <c r="A59" s="87"/>
      <c r="T59" s="71"/>
    </row>
    <row r="60" spans="1:23" s="3" customFormat="1" ht="12.75">
      <c r="A60" s="87"/>
      <c r="T60" s="71"/>
    </row>
    <row r="61" spans="1:23" s="3" customFormat="1" ht="12.75">
      <c r="A61" s="87"/>
      <c r="B61" s="27" t="s">
        <v>67</v>
      </c>
      <c r="C61" s="28"/>
      <c r="D61" s="28"/>
      <c r="E61" s="28"/>
      <c r="F61" s="28"/>
      <c r="G61" s="28"/>
      <c r="H61" s="28"/>
      <c r="T61" s="71"/>
    </row>
    <row r="62" spans="1:23" s="3" customFormat="1">
      <c r="A62" s="87"/>
      <c r="B62" s="28" t="s">
        <v>68</v>
      </c>
      <c r="C62" s="28"/>
      <c r="D62" s="28"/>
      <c r="E62" s="28"/>
      <c r="F62" s="28"/>
      <c r="G62" s="28"/>
      <c r="H62" s="28" t="s">
        <v>69</v>
      </c>
      <c r="J62" s="9">
        <f>SUM(L62:S62)</f>
        <v>20520.099999999999</v>
      </c>
      <c r="K62" s="10"/>
      <c r="L62" s="43"/>
      <c r="M62" s="43"/>
      <c r="N62" s="69">
        <v>18200</v>
      </c>
      <c r="O62" s="43"/>
      <c r="P62" s="69">
        <v>2320.1</v>
      </c>
      <c r="Q62" s="43"/>
      <c r="R62" s="43"/>
      <c r="S62" s="43"/>
      <c r="T62" s="96"/>
      <c r="U62" s="45"/>
      <c r="V62" s="45"/>
      <c r="W62" s="45"/>
    </row>
    <row r="63" spans="1:23" s="3" customFormat="1" ht="12.75"/>
    <row r="64" spans="1:23" s="3" customFormat="1" ht="12.75"/>
    <row r="65" spans="1:25" s="4" customFormat="1" ht="12.75">
      <c r="B65" s="4" t="s">
        <v>70</v>
      </c>
      <c r="X65" s="102"/>
    </row>
    <row r="66" spans="1:25" s="3" customFormat="1" ht="12.75"/>
    <row r="67" spans="1:25" s="3" customFormat="1" ht="12.75">
      <c r="A67" s="87"/>
      <c r="B67" s="27" t="s">
        <v>212</v>
      </c>
      <c r="C67" s="28"/>
      <c r="D67" s="28"/>
      <c r="E67" s="28"/>
      <c r="F67" s="28"/>
      <c r="G67" s="28"/>
      <c r="H67" s="28"/>
    </row>
    <row r="68" spans="1:25" s="3" customFormat="1" ht="12.75">
      <c r="A68" s="87"/>
      <c r="B68" s="28" t="s">
        <v>62</v>
      </c>
      <c r="C68" s="28"/>
      <c r="D68" s="28"/>
      <c r="E68" s="28"/>
      <c r="F68" s="28"/>
      <c r="G68" s="28"/>
      <c r="H68" s="28" t="s">
        <v>71</v>
      </c>
      <c r="J68" s="9">
        <f>SUM(L68:S68)</f>
        <v>7822405.7600000007</v>
      </c>
      <c r="K68" s="10"/>
      <c r="L68" s="11"/>
      <c r="M68" s="65"/>
      <c r="N68" s="65">
        <v>1724260.5499999998</v>
      </c>
      <c r="O68" s="65">
        <v>3754916.6100000003</v>
      </c>
      <c r="P68" s="65"/>
      <c r="Q68" s="65">
        <v>1159340.1500000004</v>
      </c>
      <c r="R68" s="65"/>
      <c r="S68" s="65">
        <v>1183888.45</v>
      </c>
      <c r="T68" s="12"/>
      <c r="U68" s="65"/>
      <c r="V68" s="65"/>
      <c r="W68" s="45"/>
      <c r="Y68" s="79" t="s">
        <v>266</v>
      </c>
    </row>
    <row r="69" spans="1:25" s="3" customFormat="1" ht="12.75">
      <c r="A69" s="87"/>
      <c r="B69" s="28" t="s">
        <v>63</v>
      </c>
      <c r="C69" s="28"/>
      <c r="D69" s="28"/>
      <c r="E69" s="28"/>
      <c r="F69" s="28"/>
      <c r="G69" s="28"/>
      <c r="H69" s="28" t="s">
        <v>71</v>
      </c>
      <c r="J69" s="9">
        <f t="shared" ref="J69:J78" si="10">SUM(L69:S69)</f>
        <v>23201858.199999999</v>
      </c>
      <c r="K69" s="10"/>
      <c r="L69" s="11"/>
      <c r="M69" s="65"/>
      <c r="N69" s="65">
        <v>12894289.510000002</v>
      </c>
      <c r="O69" s="65">
        <v>5908985.6799999997</v>
      </c>
      <c r="P69" s="65">
        <v>33470.699999999997</v>
      </c>
      <c r="Q69" s="65">
        <v>3295943.51</v>
      </c>
      <c r="R69" s="65">
        <v>769518.0000000007</v>
      </c>
      <c r="S69" s="65">
        <v>299650.8</v>
      </c>
      <c r="T69" s="12"/>
      <c r="U69" s="65">
        <v>1006823.2</v>
      </c>
      <c r="V69" s="65"/>
      <c r="W69" s="45"/>
      <c r="Y69" s="79" t="s">
        <v>319</v>
      </c>
    </row>
    <row r="70" spans="1:25" s="3" customFormat="1" ht="12.75">
      <c r="A70" s="87"/>
      <c r="B70" s="28" t="s">
        <v>64</v>
      </c>
      <c r="C70" s="28"/>
      <c r="D70" s="28"/>
      <c r="E70" s="28"/>
      <c r="F70" s="28"/>
      <c r="G70" s="28"/>
      <c r="H70" s="28" t="s">
        <v>71</v>
      </c>
      <c r="J70" s="9">
        <f t="shared" si="10"/>
        <v>13936454.340358336</v>
      </c>
      <c r="K70" s="10"/>
      <c r="L70" s="11"/>
      <c r="M70" s="65">
        <v>1253784.3078354821</v>
      </c>
      <c r="N70" s="65">
        <v>2971359.2727272729</v>
      </c>
      <c r="O70" s="65">
        <v>4062038</v>
      </c>
      <c r="P70" s="65"/>
      <c r="Q70" s="65">
        <v>5649272.759795581</v>
      </c>
      <c r="R70" s="65">
        <v>0</v>
      </c>
      <c r="S70" s="65">
        <v>0</v>
      </c>
      <c r="T70" s="12"/>
      <c r="U70" s="65">
        <v>30417.559999999987</v>
      </c>
      <c r="V70" s="65">
        <v>590568.1683526648</v>
      </c>
      <c r="W70" s="45"/>
      <c r="Y70" s="79" t="s">
        <v>264</v>
      </c>
    </row>
    <row r="71" spans="1:25" s="3" customFormat="1" ht="12.75">
      <c r="A71" s="87"/>
      <c r="B71" s="28" t="s">
        <v>65</v>
      </c>
      <c r="C71" s="28"/>
      <c r="D71" s="28"/>
      <c r="E71" s="28"/>
      <c r="F71" s="28"/>
      <c r="G71" s="28"/>
      <c r="H71" s="28" t="s">
        <v>71</v>
      </c>
      <c r="J71" s="9">
        <f t="shared" si="10"/>
        <v>1995916.66</v>
      </c>
      <c r="K71" s="10"/>
      <c r="L71" s="11"/>
      <c r="M71" s="65"/>
      <c r="N71" s="65">
        <v>1924942.8399999999</v>
      </c>
      <c r="O71" s="65"/>
      <c r="P71" s="65"/>
      <c r="Q71" s="65"/>
      <c r="R71" s="65">
        <v>43492.05</v>
      </c>
      <c r="S71" s="65">
        <v>27481.77</v>
      </c>
      <c r="T71" s="12"/>
      <c r="U71" s="65"/>
      <c r="V71" s="65"/>
      <c r="W71" s="45"/>
      <c r="Y71" s="79" t="s">
        <v>318</v>
      </c>
    </row>
    <row r="72" spans="1:25" s="3" customFormat="1" ht="12.75">
      <c r="A72" s="87"/>
      <c r="B72" s="28" t="s">
        <v>45</v>
      </c>
      <c r="C72" s="28"/>
      <c r="D72" s="28"/>
      <c r="E72" s="28"/>
      <c r="F72" s="28"/>
      <c r="G72" s="28"/>
      <c r="H72" s="28" t="s">
        <v>71</v>
      </c>
      <c r="J72" s="9">
        <f t="shared" si="10"/>
        <v>1140155.888237386</v>
      </c>
      <c r="K72" s="10"/>
      <c r="L72" s="11">
        <v>32737.508237386057</v>
      </c>
      <c r="M72" s="65"/>
      <c r="N72" s="65">
        <v>320736.13</v>
      </c>
      <c r="O72" s="65"/>
      <c r="P72" s="65">
        <v>12813.9</v>
      </c>
      <c r="Q72" s="65">
        <v>608346.03999999992</v>
      </c>
      <c r="R72" s="65">
        <v>13424.330000000005</v>
      </c>
      <c r="S72" s="65">
        <v>152097.98000000001</v>
      </c>
      <c r="T72" s="12"/>
      <c r="U72" s="65"/>
      <c r="V72" s="65"/>
      <c r="W72" s="45"/>
    </row>
    <row r="73" spans="1:25" s="3" customFormat="1" ht="12.75">
      <c r="A73" s="87"/>
      <c r="B73" s="28" t="s">
        <v>66</v>
      </c>
      <c r="C73" s="28"/>
      <c r="D73" s="28"/>
      <c r="E73" s="28"/>
      <c r="F73" s="28"/>
      <c r="G73" s="28"/>
      <c r="H73" s="28" t="s">
        <v>71</v>
      </c>
      <c r="J73" s="9">
        <f t="shared" si="10"/>
        <v>1067014.3500099694</v>
      </c>
      <c r="K73" s="10"/>
      <c r="L73" s="11"/>
      <c r="M73" s="65"/>
      <c r="N73" s="65">
        <v>1059991.6100099694</v>
      </c>
      <c r="O73" s="65"/>
      <c r="P73" s="65">
        <v>3330.75</v>
      </c>
      <c r="Q73" s="65">
        <v>0</v>
      </c>
      <c r="R73" s="65"/>
      <c r="S73" s="65">
        <v>3691.99</v>
      </c>
      <c r="T73" s="12"/>
      <c r="U73" s="65"/>
      <c r="V73" s="65"/>
      <c r="W73" s="45"/>
    </row>
    <row r="74" spans="1:25" s="3" customFormat="1" ht="12.75">
      <c r="A74" s="87"/>
      <c r="B74" s="28" t="s">
        <v>50</v>
      </c>
      <c r="C74" s="28"/>
      <c r="D74" s="28"/>
      <c r="E74" s="28"/>
      <c r="F74" s="28"/>
      <c r="G74" s="28"/>
      <c r="H74" s="28" t="s">
        <v>71</v>
      </c>
      <c r="J74" s="9">
        <f t="shared" si="10"/>
        <v>21930275.341351859</v>
      </c>
      <c r="K74" s="10"/>
      <c r="L74" s="11"/>
      <c r="M74" s="65"/>
      <c r="N74" s="65">
        <v>21126057.031351864</v>
      </c>
      <c r="O74" s="65">
        <v>816378</v>
      </c>
      <c r="P74" s="65"/>
      <c r="Q74" s="65">
        <v>-12159.69000000495</v>
      </c>
      <c r="R74" s="65"/>
      <c r="S74" s="65">
        <v>0</v>
      </c>
      <c r="T74" s="12"/>
      <c r="U74" s="65"/>
      <c r="V74" s="65"/>
      <c r="W74" s="45"/>
    </row>
    <row r="75" spans="1:25" s="3" customFormat="1" ht="12.75">
      <c r="A75" s="87"/>
      <c r="B75" s="28" t="s">
        <v>51</v>
      </c>
      <c r="C75" s="28"/>
      <c r="D75" s="28"/>
      <c r="E75" s="28"/>
      <c r="F75" s="28"/>
      <c r="G75" s="28"/>
      <c r="H75" s="28" t="s">
        <v>71</v>
      </c>
      <c r="J75" s="9">
        <f t="shared" si="10"/>
        <v>0</v>
      </c>
      <c r="K75" s="10"/>
      <c r="L75" s="11"/>
      <c r="M75" s="65"/>
      <c r="N75" s="65"/>
      <c r="O75" s="65"/>
      <c r="P75" s="65"/>
      <c r="Q75" s="65"/>
      <c r="R75" s="65"/>
      <c r="S75" s="65">
        <v>0</v>
      </c>
      <c r="T75" s="12"/>
      <c r="U75" s="65"/>
      <c r="V75" s="65"/>
      <c r="W75" s="45"/>
    </row>
    <row r="76" spans="1:25" s="3" customFormat="1" ht="12.75">
      <c r="A76" s="87"/>
      <c r="B76" s="28" t="s">
        <v>52</v>
      </c>
      <c r="C76" s="28"/>
      <c r="D76" s="28"/>
      <c r="E76" s="28"/>
      <c r="F76" s="28"/>
      <c r="G76" s="28"/>
      <c r="H76" s="28" t="s">
        <v>71</v>
      </c>
      <c r="J76" s="9">
        <f t="shared" si="10"/>
        <v>0</v>
      </c>
      <c r="K76" s="10"/>
      <c r="L76" s="11"/>
      <c r="M76" s="65"/>
      <c r="N76" s="65"/>
      <c r="O76" s="65"/>
      <c r="P76" s="65"/>
      <c r="Q76" s="65"/>
      <c r="R76" s="65"/>
      <c r="S76" s="65">
        <v>0</v>
      </c>
      <c r="T76" s="12"/>
      <c r="U76" s="65"/>
      <c r="V76" s="65"/>
      <c r="W76" s="45"/>
    </row>
    <row r="77" spans="1:25" s="3" customFormat="1" ht="12.75">
      <c r="A77" s="87"/>
      <c r="B77" s="28" t="s">
        <v>53</v>
      </c>
      <c r="C77" s="28"/>
      <c r="D77" s="28"/>
      <c r="E77" s="28"/>
      <c r="F77" s="28"/>
      <c r="G77" s="28"/>
      <c r="H77" s="28" t="s">
        <v>71</v>
      </c>
      <c r="J77" s="9">
        <f t="shared" si="10"/>
        <v>0</v>
      </c>
      <c r="K77" s="10"/>
      <c r="L77" s="11"/>
      <c r="M77" s="65"/>
      <c r="N77" s="65"/>
      <c r="O77" s="65"/>
      <c r="P77" s="65"/>
      <c r="Q77" s="65"/>
      <c r="R77" s="65"/>
      <c r="S77" s="65">
        <v>0</v>
      </c>
      <c r="T77" s="12"/>
      <c r="U77" s="65"/>
      <c r="V77" s="65"/>
      <c r="W77" s="45"/>
    </row>
    <row r="78" spans="1:25" s="3" customFormat="1" ht="12.75">
      <c r="A78" s="87"/>
      <c r="B78" s="28" t="s">
        <v>54</v>
      </c>
      <c r="C78" s="28"/>
      <c r="D78" s="28"/>
      <c r="E78" s="28"/>
      <c r="F78" s="28"/>
      <c r="G78" s="28"/>
      <c r="H78" s="28" t="s">
        <v>71</v>
      </c>
      <c r="J78" s="9">
        <f t="shared" si="10"/>
        <v>0</v>
      </c>
      <c r="K78" s="10"/>
      <c r="L78" s="11"/>
      <c r="M78" s="65"/>
      <c r="N78" s="65"/>
      <c r="O78" s="65"/>
      <c r="P78" s="65"/>
      <c r="Q78" s="65"/>
      <c r="R78" s="65"/>
      <c r="S78" s="65">
        <v>0</v>
      </c>
      <c r="T78" s="12"/>
      <c r="U78" s="65"/>
      <c r="V78" s="65"/>
      <c r="W78" s="45"/>
    </row>
    <row r="79" spans="1:25" s="3" customFormat="1" ht="12.75">
      <c r="A79" s="87"/>
      <c r="B79" s="28"/>
      <c r="C79" s="28"/>
      <c r="D79" s="28"/>
      <c r="E79" s="28"/>
      <c r="F79" s="28"/>
      <c r="G79" s="28"/>
      <c r="H79" s="28"/>
      <c r="M79" s="13"/>
      <c r="N79" s="13"/>
      <c r="O79" s="13"/>
      <c r="P79" s="13"/>
      <c r="Q79" s="13"/>
      <c r="R79" s="13"/>
      <c r="S79" s="13"/>
      <c r="T79" s="71"/>
      <c r="U79" s="13"/>
      <c r="V79" s="13"/>
      <c r="W79" s="13"/>
    </row>
    <row r="80" spans="1:25" s="3" customFormat="1" ht="12.75">
      <c r="A80" s="87"/>
      <c r="B80" s="28" t="s">
        <v>46</v>
      </c>
      <c r="C80" s="28"/>
      <c r="D80" s="28"/>
      <c r="E80" s="28"/>
      <c r="F80" s="28"/>
      <c r="G80" s="28"/>
      <c r="H80" s="28" t="s">
        <v>71</v>
      </c>
      <c r="J80" s="9">
        <f>SUM(L80:S80)</f>
        <v>71094080.539957538</v>
      </c>
      <c r="K80" s="10"/>
      <c r="L80" s="9">
        <f>SUM(L68:L78)</f>
        <v>32737.508237386057</v>
      </c>
      <c r="M80" s="60">
        <f>SUM(M68:M78)</f>
        <v>1253784.3078354821</v>
      </c>
      <c r="N80" s="60">
        <f t="shared" ref="N80:V80" si="11">SUM(N68:N78)</f>
        <v>42021636.944089107</v>
      </c>
      <c r="O80" s="60">
        <f t="shared" si="11"/>
        <v>14542318.289999999</v>
      </c>
      <c r="P80" s="60">
        <f t="shared" si="11"/>
        <v>49615.35</v>
      </c>
      <c r="Q80" s="60">
        <f t="shared" si="11"/>
        <v>10700742.769795574</v>
      </c>
      <c r="R80" s="60">
        <f t="shared" si="11"/>
        <v>826434.3800000007</v>
      </c>
      <c r="S80" s="60">
        <f>SUM(S68:S78)</f>
        <v>1666810.99</v>
      </c>
      <c r="T80" s="12"/>
      <c r="U80" s="60">
        <f t="shared" si="11"/>
        <v>1037240.7599999999</v>
      </c>
      <c r="V80" s="60">
        <f t="shared" si="11"/>
        <v>590568.1683526648</v>
      </c>
      <c r="W80" s="60">
        <f t="shared" ref="W80" si="12">SUM(W68:W78)</f>
        <v>0</v>
      </c>
    </row>
    <row r="81" spans="1:23" s="3" customFormat="1" ht="12.75">
      <c r="A81" s="87"/>
      <c r="M81" s="13"/>
      <c r="N81" s="13"/>
      <c r="O81" s="13"/>
      <c r="P81" s="13"/>
      <c r="Q81" s="13"/>
      <c r="R81" s="13"/>
      <c r="S81" s="13"/>
      <c r="T81" s="71"/>
      <c r="U81" s="13"/>
      <c r="V81" s="13"/>
      <c r="W81" s="13"/>
    </row>
    <row r="82" spans="1:23" s="3" customFormat="1" ht="12.75">
      <c r="A82" s="87"/>
      <c r="B82" s="27"/>
      <c r="C82" s="28"/>
      <c r="D82" s="28"/>
      <c r="E82" s="28"/>
      <c r="F82" s="28"/>
      <c r="G82" s="28"/>
      <c r="H82" s="28"/>
      <c r="M82" s="13"/>
      <c r="N82" s="13"/>
      <c r="O82" s="13"/>
      <c r="P82" s="13"/>
      <c r="Q82" s="13"/>
      <c r="R82" s="13"/>
      <c r="S82" s="13"/>
      <c r="T82" s="71"/>
      <c r="U82" s="13"/>
      <c r="V82" s="13"/>
      <c r="W82" s="13"/>
    </row>
    <row r="83" spans="1:23" s="3" customFormat="1" ht="12.75">
      <c r="A83" s="87"/>
      <c r="B83" s="27" t="s">
        <v>211</v>
      </c>
      <c r="C83" s="28"/>
      <c r="D83" s="28"/>
      <c r="E83" s="28"/>
      <c r="F83" s="28"/>
      <c r="G83" s="28"/>
      <c r="H83" s="28"/>
      <c r="M83" s="13"/>
      <c r="N83" s="13"/>
      <c r="O83" s="13"/>
      <c r="P83" s="13"/>
      <c r="Q83" s="13"/>
      <c r="R83" s="13"/>
      <c r="S83" s="13"/>
      <c r="T83" s="71"/>
      <c r="U83" s="13"/>
      <c r="V83" s="13"/>
      <c r="W83" s="13"/>
    </row>
    <row r="84" spans="1:23" s="3" customFormat="1" ht="12.75">
      <c r="A84" s="87"/>
      <c r="B84" s="28" t="s">
        <v>62</v>
      </c>
      <c r="C84" s="28"/>
      <c r="D84" s="28"/>
      <c r="E84" s="28"/>
      <c r="F84" s="28"/>
      <c r="G84" s="28"/>
      <c r="H84" s="28" t="s">
        <v>71</v>
      </c>
      <c r="J84" s="9">
        <f t="shared" ref="J84:J94" si="13">SUM(L84:S84)</f>
        <v>7822405.7600000007</v>
      </c>
      <c r="K84" s="10"/>
      <c r="L84" s="11"/>
      <c r="M84" s="65"/>
      <c r="N84" s="65">
        <v>1724260.5499999998</v>
      </c>
      <c r="O84" s="65">
        <v>3754916.6100000003</v>
      </c>
      <c r="P84" s="65"/>
      <c r="Q84" s="65">
        <v>1159340.1500000004</v>
      </c>
      <c r="R84" s="65"/>
      <c r="S84" s="65">
        <v>1183888.45</v>
      </c>
      <c r="T84" s="12"/>
      <c r="U84" s="65"/>
      <c r="V84" s="65"/>
      <c r="W84" s="45"/>
    </row>
    <row r="85" spans="1:23" s="3" customFormat="1" ht="12.75">
      <c r="A85" s="87"/>
      <c r="B85" s="28" t="s">
        <v>63</v>
      </c>
      <c r="C85" s="28"/>
      <c r="D85" s="28"/>
      <c r="E85" s="28"/>
      <c r="F85" s="28"/>
      <c r="G85" s="28"/>
      <c r="H85" s="28" t="s">
        <v>71</v>
      </c>
      <c r="J85" s="9">
        <f t="shared" si="13"/>
        <v>23080101.444122426</v>
      </c>
      <c r="K85" s="10"/>
      <c r="L85" s="11"/>
      <c r="M85" s="65"/>
      <c r="N85" s="65">
        <v>12894289.510000002</v>
      </c>
      <c r="O85" s="65">
        <v>5908985.6799999997</v>
      </c>
      <c r="P85" s="65">
        <v>33470.699999999997</v>
      </c>
      <c r="Q85" s="65">
        <v>3295943.51</v>
      </c>
      <c r="R85" s="65">
        <v>647761.24412242591</v>
      </c>
      <c r="S85" s="65">
        <v>299650.8</v>
      </c>
      <c r="T85" s="12"/>
      <c r="U85" s="65">
        <v>1006823.2</v>
      </c>
      <c r="V85" s="65"/>
      <c r="W85" s="45"/>
    </row>
    <row r="86" spans="1:23" s="3" customFormat="1" ht="12.75">
      <c r="A86" s="87"/>
      <c r="B86" s="28" t="s">
        <v>64</v>
      </c>
      <c r="C86" s="28"/>
      <c r="D86" s="28"/>
      <c r="E86" s="28"/>
      <c r="F86" s="28"/>
      <c r="G86" s="28"/>
      <c r="H86" s="28" t="s">
        <v>71</v>
      </c>
      <c r="J86" s="9">
        <f t="shared" si="13"/>
        <v>3859740.7342521297</v>
      </c>
      <c r="K86" s="10"/>
      <c r="L86" s="11"/>
      <c r="M86" s="65">
        <v>210000</v>
      </c>
      <c r="N86" s="65">
        <v>594271.85454545461</v>
      </c>
      <c r="O86" s="65">
        <v>1260633</v>
      </c>
      <c r="P86" s="65"/>
      <c r="Q86" s="65">
        <v>1794835.879706675</v>
      </c>
      <c r="R86" s="65">
        <v>0</v>
      </c>
      <c r="S86" s="65">
        <v>0</v>
      </c>
      <c r="T86" s="12"/>
      <c r="U86" s="65"/>
      <c r="V86" s="65">
        <v>323148.88024961151</v>
      </c>
      <c r="W86" s="45"/>
    </row>
    <row r="87" spans="1:23" s="3" customFormat="1" ht="12.75">
      <c r="A87" s="87"/>
      <c r="B87" s="28" t="s">
        <v>65</v>
      </c>
      <c r="C87" s="28"/>
      <c r="D87" s="28"/>
      <c r="E87" s="28"/>
      <c r="F87" s="28"/>
      <c r="G87" s="28"/>
      <c r="H87" s="28" t="s">
        <v>71</v>
      </c>
      <c r="J87" s="9">
        <f t="shared" si="13"/>
        <v>1989035.1433695049</v>
      </c>
      <c r="K87" s="10"/>
      <c r="L87" s="11"/>
      <c r="M87" s="65"/>
      <c r="N87" s="65">
        <v>1924942.8399999999</v>
      </c>
      <c r="O87" s="65"/>
      <c r="P87" s="65"/>
      <c r="Q87" s="65"/>
      <c r="R87" s="65">
        <v>36610.53336950497</v>
      </c>
      <c r="S87" s="65">
        <v>27481.77</v>
      </c>
      <c r="T87" s="12"/>
      <c r="U87" s="65"/>
      <c r="V87" s="65"/>
      <c r="W87" s="45"/>
    </row>
    <row r="88" spans="1:23" s="3" customFormat="1" ht="12.75">
      <c r="A88" s="87"/>
      <c r="B88" s="28" t="s">
        <v>45</v>
      </c>
      <c r="C88" s="28"/>
      <c r="D88" s="28"/>
      <c r="E88" s="28"/>
      <c r="F88" s="28"/>
      <c r="G88" s="28"/>
      <c r="H88" s="28" t="s">
        <v>71</v>
      </c>
      <c r="J88" s="9">
        <f t="shared" si="13"/>
        <v>1207622.6199999999</v>
      </c>
      <c r="K88" s="10"/>
      <c r="L88" s="11">
        <v>100204.23999999993</v>
      </c>
      <c r="M88" s="65"/>
      <c r="N88" s="65">
        <v>320736.13</v>
      </c>
      <c r="O88" s="65"/>
      <c r="P88" s="65">
        <v>12813.9</v>
      </c>
      <c r="Q88" s="65">
        <v>608346.03999999992</v>
      </c>
      <c r="R88" s="65">
        <v>13424.330000000005</v>
      </c>
      <c r="S88" s="65">
        <v>152097.98000000001</v>
      </c>
      <c r="T88" s="12"/>
      <c r="U88" s="65"/>
      <c r="V88" s="65"/>
      <c r="W88" s="45"/>
    </row>
    <row r="89" spans="1:23" s="3" customFormat="1" ht="12.75">
      <c r="A89" s="87"/>
      <c r="B89" s="28" t="s">
        <v>66</v>
      </c>
      <c r="C89" s="28"/>
      <c r="D89" s="28"/>
      <c r="E89" s="28"/>
      <c r="F89" s="28"/>
      <c r="G89" s="28"/>
      <c r="H89" s="28" t="s">
        <v>71</v>
      </c>
      <c r="J89" s="9">
        <f t="shared" si="13"/>
        <v>1063683.6000099694</v>
      </c>
      <c r="K89" s="10"/>
      <c r="L89" s="11"/>
      <c r="M89" s="65"/>
      <c r="N89" s="65">
        <v>1059991.6100099694</v>
      </c>
      <c r="O89" s="65"/>
      <c r="P89" s="65"/>
      <c r="Q89" s="65">
        <v>0</v>
      </c>
      <c r="R89" s="65"/>
      <c r="S89" s="65">
        <v>3691.99</v>
      </c>
      <c r="T89" s="12"/>
      <c r="U89" s="65"/>
      <c r="V89" s="65"/>
      <c r="W89" s="45"/>
    </row>
    <row r="90" spans="1:23" s="3" customFormat="1" ht="12.75">
      <c r="A90" s="87"/>
      <c r="B90" s="28" t="s">
        <v>50</v>
      </c>
      <c r="C90" s="28"/>
      <c r="D90" s="28"/>
      <c r="E90" s="28"/>
      <c r="F90" s="28"/>
      <c r="G90" s="28"/>
      <c r="H90" s="28" t="s">
        <v>71</v>
      </c>
      <c r="J90" s="9">
        <f t="shared" si="13"/>
        <v>21126057.031351864</v>
      </c>
      <c r="K90" s="10"/>
      <c r="L90" s="11"/>
      <c r="M90" s="65"/>
      <c r="N90" s="65">
        <v>21126057.031351864</v>
      </c>
      <c r="O90" s="65">
        <v>0</v>
      </c>
      <c r="P90" s="65"/>
      <c r="Q90" s="65"/>
      <c r="R90" s="65"/>
      <c r="S90" s="65">
        <v>0</v>
      </c>
      <c r="T90" s="12"/>
      <c r="U90" s="65"/>
      <c r="V90" s="65"/>
      <c r="W90" s="45"/>
    </row>
    <row r="91" spans="1:23" s="3" customFormat="1" ht="12.75">
      <c r="A91" s="87"/>
      <c r="B91" s="28" t="s">
        <v>51</v>
      </c>
      <c r="C91" s="28"/>
      <c r="D91" s="28"/>
      <c r="E91" s="28"/>
      <c r="F91" s="28"/>
      <c r="G91" s="28"/>
      <c r="H91" s="28" t="s">
        <v>71</v>
      </c>
      <c r="J91" s="9">
        <f t="shared" si="13"/>
        <v>0</v>
      </c>
      <c r="K91" s="10"/>
      <c r="L91" s="11"/>
      <c r="M91" s="65"/>
      <c r="N91" s="65"/>
      <c r="O91" s="65"/>
      <c r="P91" s="65"/>
      <c r="Q91" s="65"/>
      <c r="R91" s="65"/>
      <c r="S91" s="65">
        <v>0</v>
      </c>
      <c r="T91" s="12"/>
      <c r="U91" s="65"/>
      <c r="V91" s="65"/>
      <c r="W91" s="45"/>
    </row>
    <row r="92" spans="1:23" s="3" customFormat="1" ht="12.75">
      <c r="A92" s="87"/>
      <c r="B92" s="28" t="s">
        <v>52</v>
      </c>
      <c r="C92" s="28"/>
      <c r="D92" s="28"/>
      <c r="E92" s="28"/>
      <c r="F92" s="28"/>
      <c r="G92" s="28"/>
      <c r="H92" s="28" t="s">
        <v>71</v>
      </c>
      <c r="J92" s="9">
        <f t="shared" si="13"/>
        <v>0</v>
      </c>
      <c r="K92" s="10"/>
      <c r="L92" s="11"/>
      <c r="M92" s="65"/>
      <c r="N92" s="65"/>
      <c r="O92" s="65"/>
      <c r="P92" s="65"/>
      <c r="Q92" s="65"/>
      <c r="R92" s="65"/>
      <c r="S92" s="65">
        <v>0</v>
      </c>
      <c r="T92" s="12"/>
      <c r="U92" s="65"/>
      <c r="V92" s="65"/>
      <c r="W92" s="45"/>
    </row>
    <row r="93" spans="1:23" s="3" customFormat="1" ht="12.75">
      <c r="A93" s="87"/>
      <c r="B93" s="28" t="s">
        <v>53</v>
      </c>
      <c r="C93" s="28"/>
      <c r="D93" s="28"/>
      <c r="E93" s="28"/>
      <c r="F93" s="28"/>
      <c r="G93" s="28"/>
      <c r="H93" s="28" t="s">
        <v>71</v>
      </c>
      <c r="J93" s="9">
        <f t="shared" si="13"/>
        <v>0</v>
      </c>
      <c r="K93" s="10"/>
      <c r="L93" s="11"/>
      <c r="M93" s="65"/>
      <c r="N93" s="65"/>
      <c r="O93" s="65"/>
      <c r="P93" s="65"/>
      <c r="Q93" s="65"/>
      <c r="R93" s="65"/>
      <c r="S93" s="65">
        <v>0</v>
      </c>
      <c r="T93" s="12"/>
      <c r="U93" s="65"/>
      <c r="V93" s="65"/>
      <c r="W93" s="45"/>
    </row>
    <row r="94" spans="1:23" s="3" customFormat="1" ht="12.75">
      <c r="A94" s="87"/>
      <c r="B94" s="28" t="s">
        <v>54</v>
      </c>
      <c r="C94" s="28"/>
      <c r="D94" s="28"/>
      <c r="E94" s="28"/>
      <c r="F94" s="28"/>
      <c r="G94" s="28"/>
      <c r="H94" s="28" t="s">
        <v>71</v>
      </c>
      <c r="J94" s="9">
        <f t="shared" si="13"/>
        <v>0</v>
      </c>
      <c r="K94" s="10"/>
      <c r="L94" s="11"/>
      <c r="M94" s="65"/>
      <c r="N94" s="65"/>
      <c r="O94" s="65"/>
      <c r="P94" s="65"/>
      <c r="Q94" s="65"/>
      <c r="R94" s="65"/>
      <c r="S94" s="65">
        <v>0</v>
      </c>
      <c r="T94" s="12"/>
      <c r="U94" s="65"/>
      <c r="V94" s="65"/>
      <c r="W94" s="45"/>
    </row>
    <row r="95" spans="1:23" s="3" customFormat="1" ht="12.75">
      <c r="A95" s="87"/>
      <c r="B95" s="28"/>
      <c r="C95" s="28"/>
      <c r="D95" s="28"/>
      <c r="E95" s="28"/>
      <c r="F95" s="28"/>
      <c r="G95" s="28"/>
      <c r="H95" s="28"/>
      <c r="M95" s="13"/>
      <c r="N95" s="13"/>
      <c r="O95" s="13"/>
      <c r="P95" s="13"/>
      <c r="Q95" s="13"/>
      <c r="R95" s="13"/>
      <c r="S95" s="13"/>
      <c r="T95" s="71"/>
      <c r="U95" s="13"/>
      <c r="V95" s="13"/>
      <c r="W95" s="13"/>
    </row>
    <row r="96" spans="1:23" s="3" customFormat="1" ht="12.75">
      <c r="A96" s="87"/>
      <c r="B96" s="28" t="s">
        <v>46</v>
      </c>
      <c r="C96" s="28"/>
      <c r="D96" s="28"/>
      <c r="E96" s="28"/>
      <c r="F96" s="28"/>
      <c r="G96" s="28"/>
      <c r="H96" s="28" t="s">
        <v>71</v>
      </c>
      <c r="J96" s="9">
        <f>SUM(L96:S96)</f>
        <v>60148646.333105907</v>
      </c>
      <c r="K96" s="10"/>
      <c r="L96" s="9">
        <f>SUM(L84:L94)</f>
        <v>100204.23999999993</v>
      </c>
      <c r="M96" s="60">
        <f>SUM(M84:M94)</f>
        <v>210000</v>
      </c>
      <c r="N96" s="60">
        <f>SUM(N84:N94)</f>
        <v>39644549.525907293</v>
      </c>
      <c r="O96" s="60">
        <f t="shared" ref="O96:V96" si="14">SUM(O84:O94)</f>
        <v>10924535.289999999</v>
      </c>
      <c r="P96" s="60">
        <f t="shared" si="14"/>
        <v>46284.6</v>
      </c>
      <c r="Q96" s="60">
        <f t="shared" si="14"/>
        <v>6858465.5797066754</v>
      </c>
      <c r="R96" s="60">
        <f t="shared" si="14"/>
        <v>697796.10749193083</v>
      </c>
      <c r="S96" s="60">
        <f>SUM(S84:S94)</f>
        <v>1666810.99</v>
      </c>
      <c r="T96" s="12"/>
      <c r="U96" s="60">
        <f t="shared" si="14"/>
        <v>1006823.2</v>
      </c>
      <c r="V96" s="60">
        <f t="shared" si="14"/>
        <v>323148.88024961151</v>
      </c>
      <c r="W96" s="60">
        <f t="shared" ref="W96" si="15">SUM(W84:W94)</f>
        <v>0</v>
      </c>
    </row>
    <row r="97" spans="1:23" s="3" customFormat="1" ht="12.75">
      <c r="A97" s="87"/>
      <c r="M97" s="13"/>
      <c r="N97" s="13"/>
      <c r="O97" s="13"/>
      <c r="P97" s="13"/>
      <c r="Q97" s="13"/>
      <c r="R97" s="13"/>
      <c r="S97" s="13"/>
      <c r="T97" s="71"/>
      <c r="U97" s="13"/>
      <c r="V97" s="13"/>
      <c r="W97" s="13"/>
    </row>
    <row r="98" spans="1:23" s="3" customFormat="1" ht="12.75">
      <c r="A98" s="87"/>
      <c r="M98" s="13"/>
      <c r="N98" s="13"/>
      <c r="O98" s="13"/>
      <c r="P98" s="13"/>
      <c r="Q98" s="13"/>
      <c r="R98" s="13"/>
      <c r="S98" s="13"/>
      <c r="T98" s="71"/>
      <c r="U98" s="13"/>
      <c r="V98" s="13"/>
      <c r="W98" s="13"/>
    </row>
    <row r="99" spans="1:23" s="3" customFormat="1" ht="12.75">
      <c r="A99" s="87"/>
      <c r="B99" s="27" t="s">
        <v>213</v>
      </c>
      <c r="C99" s="28"/>
      <c r="D99" s="28"/>
      <c r="E99" s="28"/>
      <c r="F99" s="28"/>
      <c r="G99" s="28"/>
      <c r="H99" s="28"/>
      <c r="M99" s="13"/>
      <c r="N99" s="13"/>
      <c r="O99" s="13"/>
      <c r="P99" s="13"/>
      <c r="Q99" s="13"/>
      <c r="R99" s="13"/>
      <c r="S99" s="13"/>
      <c r="T99" s="71"/>
      <c r="U99" s="13"/>
      <c r="V99" s="13"/>
      <c r="W99" s="13"/>
    </row>
    <row r="100" spans="1:23" s="3" customFormat="1" ht="12.75">
      <c r="A100" s="87"/>
      <c r="B100" s="28" t="s">
        <v>41</v>
      </c>
      <c r="C100" s="28"/>
      <c r="D100" s="28"/>
      <c r="E100" s="28"/>
      <c r="F100" s="28"/>
      <c r="G100" s="28"/>
      <c r="H100" s="28" t="s">
        <v>71</v>
      </c>
      <c r="J100" s="9">
        <f t="shared" ref="J100:J108" si="16">SUM(L100:S100)</f>
        <v>11694833.395548465</v>
      </c>
      <c r="K100" s="10"/>
      <c r="L100" s="11">
        <v>68377.38</v>
      </c>
      <c r="M100" s="65">
        <v>108379.57199999999</v>
      </c>
      <c r="N100" s="65">
        <v>5499503.5999999996</v>
      </c>
      <c r="O100" s="65">
        <v>1810730.92</v>
      </c>
      <c r="P100" s="65">
        <v>69068.27</v>
      </c>
      <c r="Q100" s="65">
        <v>3916945.1600000006</v>
      </c>
      <c r="R100" s="65">
        <v>5289.7647984657533</v>
      </c>
      <c r="S100" s="65">
        <v>216538.72875000001</v>
      </c>
      <c r="T100" s="12"/>
      <c r="U100" s="65">
        <v>194155.82033720001</v>
      </c>
      <c r="V100" s="47"/>
      <c r="W100" s="45"/>
    </row>
    <row r="101" spans="1:23" s="3" customFormat="1" ht="12.75">
      <c r="A101" s="87"/>
      <c r="B101" s="28" t="s">
        <v>43</v>
      </c>
      <c r="C101" s="28"/>
      <c r="D101" s="28"/>
      <c r="E101" s="28"/>
      <c r="F101" s="28"/>
      <c r="G101" s="28"/>
      <c r="H101" s="28" t="s">
        <v>71</v>
      </c>
      <c r="J101" s="9">
        <f t="shared" si="16"/>
        <v>3748378.135194235</v>
      </c>
      <c r="K101" s="10"/>
      <c r="L101" s="11">
        <v>45381.21</v>
      </c>
      <c r="M101" s="65">
        <v>5704.1880000000001</v>
      </c>
      <c r="N101" s="65">
        <v>1342882.3077430325</v>
      </c>
      <c r="O101" s="65">
        <v>370145.35945120209</v>
      </c>
      <c r="P101" s="65"/>
      <c r="Q101" s="65">
        <v>1871091.4700000002</v>
      </c>
      <c r="R101" s="65">
        <v>6867</v>
      </c>
      <c r="S101" s="65">
        <v>106306.6</v>
      </c>
      <c r="T101" s="12"/>
      <c r="U101" s="65">
        <v>19477.903255363144</v>
      </c>
      <c r="V101" s="47"/>
      <c r="W101" s="45"/>
    </row>
    <row r="102" spans="1:23" s="3" customFormat="1" ht="12.75">
      <c r="A102" s="87"/>
      <c r="B102" s="28" t="s">
        <v>48</v>
      </c>
      <c r="C102" s="28"/>
      <c r="D102" s="28"/>
      <c r="E102" s="28"/>
      <c r="F102" s="28"/>
      <c r="G102" s="28"/>
      <c r="H102" s="28" t="s">
        <v>71</v>
      </c>
      <c r="J102" s="9">
        <f t="shared" si="16"/>
        <v>10203567.252872825</v>
      </c>
      <c r="K102" s="10"/>
      <c r="L102" s="11">
        <v>82188.13</v>
      </c>
      <c r="M102" s="65">
        <v>191207.2028728271</v>
      </c>
      <c r="N102" s="65">
        <v>5490668.2600000016</v>
      </c>
      <c r="O102" s="65">
        <v>2617726.65</v>
      </c>
      <c r="P102" s="65">
        <v>34012.370000000003</v>
      </c>
      <c r="Q102" s="65">
        <v>1664271.5099999988</v>
      </c>
      <c r="R102" s="65">
        <v>17951.62</v>
      </c>
      <c r="S102" s="65">
        <v>105541.51</v>
      </c>
      <c r="T102" s="12"/>
      <c r="U102" s="65"/>
      <c r="V102" s="47"/>
      <c r="W102" s="45"/>
    </row>
    <row r="103" spans="1:23" s="3" customFormat="1" ht="12.75">
      <c r="A103" s="87"/>
      <c r="B103" s="28" t="s">
        <v>49</v>
      </c>
      <c r="C103" s="28"/>
      <c r="D103" s="28"/>
      <c r="E103" s="28"/>
      <c r="F103" s="28"/>
      <c r="G103" s="28"/>
      <c r="H103" s="28" t="s">
        <v>71</v>
      </c>
      <c r="J103" s="9">
        <f t="shared" si="16"/>
        <v>3268008.2225508033</v>
      </c>
      <c r="K103" s="10"/>
      <c r="L103" s="11">
        <v>0</v>
      </c>
      <c r="M103" s="65">
        <v>19651.859500000002</v>
      </c>
      <c r="N103" s="65">
        <v>157649.18291811703</v>
      </c>
      <c r="O103" s="65">
        <v>3057515.4397028135</v>
      </c>
      <c r="P103" s="65">
        <v>25037.38</v>
      </c>
      <c r="Q103" s="65"/>
      <c r="R103" s="65"/>
      <c r="S103" s="65">
        <v>8154.3604298729269</v>
      </c>
      <c r="T103" s="12"/>
      <c r="U103" s="65"/>
      <c r="V103" s="47"/>
      <c r="W103" s="45"/>
    </row>
    <row r="104" spans="1:23" s="3" customFormat="1" ht="12.75">
      <c r="A104" s="87"/>
      <c r="B104" s="28" t="s">
        <v>50</v>
      </c>
      <c r="C104" s="28"/>
      <c r="D104" s="28"/>
      <c r="E104" s="28"/>
      <c r="F104" s="28"/>
      <c r="G104" s="28"/>
      <c r="H104" s="28" t="s">
        <v>71</v>
      </c>
      <c r="J104" s="9">
        <f t="shared" si="16"/>
        <v>-1349929.6284326336</v>
      </c>
      <c r="K104" s="10"/>
      <c r="L104" s="11"/>
      <c r="M104" s="65"/>
      <c r="N104" s="65"/>
      <c r="O104" s="65">
        <v>-1354255.8884326336</v>
      </c>
      <c r="P104" s="65">
        <v>1675.92</v>
      </c>
      <c r="Q104" s="65"/>
      <c r="R104" s="65">
        <v>2650.34</v>
      </c>
      <c r="S104" s="65">
        <v>0</v>
      </c>
      <c r="T104" s="12"/>
      <c r="U104" s="65"/>
      <c r="V104" s="47"/>
      <c r="W104" s="45"/>
    </row>
    <row r="105" spans="1:23" s="3" customFormat="1" ht="12.75">
      <c r="A105" s="87"/>
      <c r="B105" s="28" t="s">
        <v>51</v>
      </c>
      <c r="C105" s="28"/>
      <c r="D105" s="28"/>
      <c r="E105" s="28"/>
      <c r="F105" s="28"/>
      <c r="G105" s="28"/>
      <c r="H105" s="28" t="s">
        <v>71</v>
      </c>
      <c r="J105" s="9">
        <f t="shared" si="16"/>
        <v>0</v>
      </c>
      <c r="K105" s="10"/>
      <c r="L105" s="11"/>
      <c r="M105" s="65"/>
      <c r="N105" s="65"/>
      <c r="O105" s="65"/>
      <c r="P105" s="65"/>
      <c r="Q105" s="65"/>
      <c r="R105" s="65"/>
      <c r="S105" s="65">
        <v>0</v>
      </c>
      <c r="T105" s="12"/>
      <c r="U105" s="65"/>
      <c r="V105" s="47"/>
      <c r="W105" s="45"/>
    </row>
    <row r="106" spans="1:23" s="3" customFormat="1" ht="12.75">
      <c r="A106" s="87"/>
      <c r="B106" s="28" t="s">
        <v>52</v>
      </c>
      <c r="C106" s="28"/>
      <c r="D106" s="28"/>
      <c r="E106" s="28"/>
      <c r="F106" s="28"/>
      <c r="G106" s="28"/>
      <c r="H106" s="28" t="s">
        <v>71</v>
      </c>
      <c r="J106" s="9">
        <f t="shared" si="16"/>
        <v>0</v>
      </c>
      <c r="K106" s="10"/>
      <c r="L106" s="11"/>
      <c r="M106" s="65"/>
      <c r="N106" s="65"/>
      <c r="O106" s="65"/>
      <c r="P106" s="65"/>
      <c r="Q106" s="65"/>
      <c r="R106" s="65"/>
      <c r="S106" s="65">
        <v>0</v>
      </c>
      <c r="T106" s="12"/>
      <c r="U106" s="65"/>
      <c r="V106" s="47"/>
      <c r="W106" s="45"/>
    </row>
    <row r="107" spans="1:23" s="3" customFormat="1" ht="12.75">
      <c r="A107" s="87"/>
      <c r="B107" s="28" t="s">
        <v>53</v>
      </c>
      <c r="C107" s="28"/>
      <c r="D107" s="28"/>
      <c r="E107" s="28"/>
      <c r="F107" s="28"/>
      <c r="G107" s="28"/>
      <c r="H107" s="28" t="s">
        <v>71</v>
      </c>
      <c r="J107" s="9">
        <f t="shared" si="16"/>
        <v>0</v>
      </c>
      <c r="K107" s="10"/>
      <c r="L107" s="11"/>
      <c r="M107" s="65"/>
      <c r="N107" s="65"/>
      <c r="O107" s="65"/>
      <c r="P107" s="65"/>
      <c r="Q107" s="65"/>
      <c r="R107" s="65"/>
      <c r="S107" s="65">
        <v>0</v>
      </c>
      <c r="T107" s="12"/>
      <c r="U107" s="65"/>
      <c r="V107" s="47"/>
      <c r="W107" s="45"/>
    </row>
    <row r="108" spans="1:23" s="3" customFormat="1" ht="12.75">
      <c r="A108" s="87"/>
      <c r="B108" s="28" t="s">
        <v>54</v>
      </c>
      <c r="C108" s="28"/>
      <c r="D108" s="28"/>
      <c r="E108" s="28"/>
      <c r="F108" s="28"/>
      <c r="G108" s="28"/>
      <c r="H108" s="28" t="s">
        <v>71</v>
      </c>
      <c r="J108" s="9">
        <f t="shared" si="16"/>
        <v>0</v>
      </c>
      <c r="K108" s="10"/>
      <c r="L108" s="11"/>
      <c r="M108" s="65"/>
      <c r="N108" s="65"/>
      <c r="O108" s="65"/>
      <c r="P108" s="65"/>
      <c r="Q108" s="65"/>
      <c r="R108" s="65"/>
      <c r="S108" s="65">
        <v>0</v>
      </c>
      <c r="T108" s="12"/>
      <c r="U108" s="65"/>
      <c r="V108" s="47"/>
      <c r="W108" s="45"/>
    </row>
    <row r="109" spans="1:23" s="3" customFormat="1" ht="12.75">
      <c r="A109" s="87"/>
      <c r="B109" s="28"/>
      <c r="C109" s="28"/>
      <c r="D109" s="28"/>
      <c r="E109" s="28"/>
      <c r="F109" s="28"/>
      <c r="G109" s="28"/>
      <c r="H109" s="28"/>
      <c r="T109" s="12"/>
    </row>
    <row r="110" spans="1:23" s="3" customFormat="1" ht="12.75">
      <c r="A110" s="87"/>
      <c r="B110" s="28" t="s">
        <v>46</v>
      </c>
      <c r="C110" s="28"/>
      <c r="D110" s="28"/>
      <c r="E110" s="28"/>
      <c r="F110" s="28"/>
      <c r="G110" s="28"/>
      <c r="H110" s="28" t="s">
        <v>71</v>
      </c>
      <c r="J110" s="9">
        <f>SUM(L110:S110)</f>
        <v>27564857.3777337</v>
      </c>
      <c r="K110" s="10"/>
      <c r="L110" s="9">
        <f>SUM(L100:L108)</f>
        <v>195946.72</v>
      </c>
      <c r="M110" s="9">
        <f t="shared" ref="M110:V110" si="17">SUM(M100:M108)</f>
        <v>324942.8223728271</v>
      </c>
      <c r="N110" s="9">
        <f t="shared" si="17"/>
        <v>12490703.350661151</v>
      </c>
      <c r="O110" s="9">
        <f t="shared" si="17"/>
        <v>6501862.4807213824</v>
      </c>
      <c r="P110" s="9">
        <f t="shared" si="17"/>
        <v>129793.94000000002</v>
      </c>
      <c r="Q110" s="9">
        <f t="shared" si="17"/>
        <v>7452308.1399999997</v>
      </c>
      <c r="R110" s="9">
        <f t="shared" si="17"/>
        <v>32758.724798465752</v>
      </c>
      <c r="S110" s="9">
        <f>SUM(S100:S108)</f>
        <v>436541.19917987293</v>
      </c>
      <c r="T110" s="71"/>
      <c r="U110" s="9">
        <f t="shared" si="17"/>
        <v>213633.72359256315</v>
      </c>
      <c r="V110" s="9">
        <f t="shared" si="17"/>
        <v>0</v>
      </c>
      <c r="W110" s="9">
        <f t="shared" ref="W110" si="18">SUM(W100:W108)</f>
        <v>0</v>
      </c>
    </row>
    <row r="111" spans="1:23" s="3" customFormat="1" ht="12.75">
      <c r="A111" s="87"/>
      <c r="T111" s="12"/>
    </row>
    <row r="112" spans="1:23" s="3" customFormat="1" ht="12.75">
      <c r="A112" s="87"/>
      <c r="B112" s="28"/>
      <c r="C112" s="29"/>
      <c r="D112" s="28"/>
      <c r="E112" s="28"/>
      <c r="F112" s="28"/>
      <c r="G112" s="28"/>
      <c r="H112" s="28"/>
      <c r="T112" s="71"/>
    </row>
    <row r="113" spans="1:25" s="3" customFormat="1" ht="12.75">
      <c r="A113" s="87"/>
      <c r="B113" s="27" t="s">
        <v>194</v>
      </c>
      <c r="C113" s="29"/>
      <c r="D113" s="28"/>
      <c r="E113" s="28"/>
      <c r="F113" s="28"/>
      <c r="G113" s="28"/>
      <c r="H113" s="28"/>
      <c r="T113" s="71"/>
    </row>
    <row r="114" spans="1:25" s="3" customFormat="1" ht="12.75">
      <c r="A114" s="87"/>
      <c r="B114" s="28" t="s">
        <v>198</v>
      </c>
      <c r="C114" s="29"/>
      <c r="D114" s="28"/>
      <c r="E114" s="28"/>
      <c r="F114" s="28"/>
      <c r="G114" s="28"/>
      <c r="H114" s="28" t="s">
        <v>71</v>
      </c>
      <c r="J114" s="9">
        <f>SUM(L114:S114)</f>
        <v>981639.18999999983</v>
      </c>
      <c r="K114" s="10"/>
      <c r="L114" s="11">
        <v>16015.4</v>
      </c>
      <c r="M114" s="11">
        <v>0</v>
      </c>
      <c r="N114" s="11">
        <v>0</v>
      </c>
      <c r="O114" s="11">
        <v>15213.3</v>
      </c>
      <c r="P114" s="11">
        <v>1720.68</v>
      </c>
      <c r="Q114" s="11">
        <v>934276.99999999977</v>
      </c>
      <c r="R114" s="11"/>
      <c r="S114" s="11">
        <v>14412.810000000001</v>
      </c>
      <c r="T114" s="71"/>
      <c r="U114" s="45"/>
      <c r="V114" s="45"/>
      <c r="W114" s="45"/>
    </row>
    <row r="115" spans="1:25" s="3" customFormat="1" ht="12.75">
      <c r="A115" s="87"/>
      <c r="T115" s="12"/>
    </row>
    <row r="116" spans="1:25" s="3" customFormat="1" ht="12.75">
      <c r="A116" s="87"/>
      <c r="T116" s="71"/>
    </row>
    <row r="117" spans="1:25" s="3" customFormat="1" ht="12.75">
      <c r="A117" s="87"/>
      <c r="B117" s="27" t="s">
        <v>67</v>
      </c>
      <c r="C117" s="28"/>
      <c r="D117" s="28"/>
      <c r="E117" s="28"/>
      <c r="F117" s="28"/>
      <c r="G117" s="28"/>
      <c r="H117" s="28"/>
      <c r="T117" s="71"/>
    </row>
    <row r="118" spans="1:25" s="3" customFormat="1" ht="12.75">
      <c r="A118" s="87"/>
      <c r="B118" s="28" t="s">
        <v>68</v>
      </c>
      <c r="C118" s="28"/>
      <c r="D118" s="28"/>
      <c r="E118" s="28"/>
      <c r="F118" s="28"/>
      <c r="G118" s="28"/>
      <c r="H118" s="28" t="s">
        <v>71</v>
      </c>
      <c r="J118" s="9">
        <f>SUM(L118:S118)</f>
        <v>68567.5</v>
      </c>
      <c r="K118" s="10"/>
      <c r="L118" s="11"/>
      <c r="M118" s="11"/>
      <c r="N118" s="11"/>
      <c r="O118" s="11"/>
      <c r="P118" s="11">
        <v>3480.5899999999997</v>
      </c>
      <c r="Q118" s="11">
        <v>65086.909999999996</v>
      </c>
      <c r="R118" s="11"/>
      <c r="S118" s="11"/>
      <c r="T118" s="71"/>
      <c r="U118" s="11"/>
      <c r="V118" s="11"/>
      <c r="W118" s="45"/>
    </row>
    <row r="119" spans="1:25" s="3" customFormat="1">
      <c r="T119" s="96"/>
    </row>
    <row r="120" spans="1:25" s="3" customFormat="1" ht="12.75"/>
    <row r="121" spans="1:25" s="4" customFormat="1" ht="12.75">
      <c r="B121" s="4" t="s">
        <v>74</v>
      </c>
      <c r="X121" s="102"/>
    </row>
    <row r="122" spans="1:25" s="3" customFormat="1" ht="12.75"/>
    <row r="123" spans="1:25" s="3" customFormat="1" ht="12.75">
      <c r="A123" s="87"/>
      <c r="B123" s="27" t="s">
        <v>212</v>
      </c>
      <c r="C123" s="28"/>
      <c r="D123" s="28"/>
      <c r="E123" s="28"/>
      <c r="F123" s="28"/>
      <c r="G123" s="28"/>
      <c r="H123" s="28"/>
    </row>
    <row r="124" spans="1:25" s="3" customFormat="1" ht="12.75">
      <c r="A124" s="87"/>
      <c r="B124" s="28" t="s">
        <v>62</v>
      </c>
      <c r="C124" s="28"/>
      <c r="D124" s="28"/>
      <c r="E124" s="28"/>
      <c r="F124" s="28"/>
      <c r="G124" s="28"/>
      <c r="H124" s="28" t="s">
        <v>72</v>
      </c>
      <c r="J124" s="9">
        <f t="shared" ref="J124:J134" si="19">SUM(L124:S124)</f>
        <v>7022807.0599999996</v>
      </c>
      <c r="K124" s="10"/>
      <c r="L124" s="57"/>
      <c r="M124" s="58"/>
      <c r="N124" s="58">
        <v>2200967.3899999997</v>
      </c>
      <c r="O124" s="58">
        <v>3188043.88</v>
      </c>
      <c r="P124" s="58"/>
      <c r="Q124" s="58">
        <v>1349300.9100000004</v>
      </c>
      <c r="R124" s="58"/>
      <c r="S124" s="59">
        <v>284494.88</v>
      </c>
      <c r="T124" s="12"/>
      <c r="U124" s="65"/>
      <c r="V124" s="65"/>
      <c r="W124" s="45"/>
      <c r="Y124" s="79" t="s">
        <v>265</v>
      </c>
    </row>
    <row r="125" spans="1:25" s="3" customFormat="1" ht="12.75">
      <c r="A125" s="87"/>
      <c r="B125" s="28" t="s">
        <v>63</v>
      </c>
      <c r="C125" s="28"/>
      <c r="D125" s="28"/>
      <c r="E125" s="28"/>
      <c r="F125" s="28"/>
      <c r="G125" s="28"/>
      <c r="H125" s="28" t="s">
        <v>72</v>
      </c>
      <c r="J125" s="9">
        <f t="shared" si="19"/>
        <v>31075591.150664397</v>
      </c>
      <c r="K125" s="10"/>
      <c r="L125" s="51"/>
      <c r="M125" s="52"/>
      <c r="N125" s="52">
        <v>11156306.880000001</v>
      </c>
      <c r="O125" s="52">
        <v>16827045.689999998</v>
      </c>
      <c r="P125" s="52">
        <v>45270.05</v>
      </c>
      <c r="Q125" s="52">
        <v>2083979.9000000006</v>
      </c>
      <c r="R125" s="52">
        <v>577749.06066439406</v>
      </c>
      <c r="S125" s="53">
        <v>385239.57000000007</v>
      </c>
      <c r="T125" s="12"/>
      <c r="U125" s="65"/>
      <c r="V125" s="65"/>
      <c r="W125" s="45"/>
      <c r="Y125" s="79" t="s">
        <v>319</v>
      </c>
    </row>
    <row r="126" spans="1:25" s="3" customFormat="1" ht="12.75">
      <c r="A126" s="87"/>
      <c r="B126" s="28" t="s">
        <v>64</v>
      </c>
      <c r="C126" s="28"/>
      <c r="D126" s="28"/>
      <c r="E126" s="28"/>
      <c r="F126" s="28"/>
      <c r="G126" s="28"/>
      <c r="H126" s="28" t="s">
        <v>72</v>
      </c>
      <c r="J126" s="9">
        <f t="shared" si="19"/>
        <v>12580885.765214123</v>
      </c>
      <c r="K126" s="10"/>
      <c r="L126" s="51"/>
      <c r="M126" s="52">
        <v>1135135.8145454545</v>
      </c>
      <c r="N126" s="52">
        <v>3230044.0472727269</v>
      </c>
      <c r="O126" s="52">
        <v>2647313.7433959399</v>
      </c>
      <c r="P126" s="52"/>
      <c r="Q126" s="52">
        <v>5568392.1600000011</v>
      </c>
      <c r="R126" s="52"/>
      <c r="S126" s="53">
        <v>0</v>
      </c>
      <c r="T126" s="12"/>
      <c r="U126" s="65">
        <v>1005080.6</v>
      </c>
      <c r="V126" s="65">
        <v>599615.64810305333</v>
      </c>
      <c r="W126" s="45"/>
      <c r="Y126" s="79" t="s">
        <v>264</v>
      </c>
    </row>
    <row r="127" spans="1:25" s="3" customFormat="1" ht="12.75">
      <c r="A127" s="87"/>
      <c r="B127" s="28" t="s">
        <v>65</v>
      </c>
      <c r="C127" s="28"/>
      <c r="D127" s="28"/>
      <c r="E127" s="28"/>
      <c r="F127" s="28"/>
      <c r="G127" s="28"/>
      <c r="H127" s="28" t="s">
        <v>72</v>
      </c>
      <c r="J127" s="9">
        <f t="shared" si="19"/>
        <v>3654012.8100000005</v>
      </c>
      <c r="K127" s="10"/>
      <c r="L127" s="51"/>
      <c r="M127" s="52"/>
      <c r="N127" s="52">
        <v>2061212.4100000001</v>
      </c>
      <c r="O127" s="52">
        <v>1406762.4700000002</v>
      </c>
      <c r="P127" s="52"/>
      <c r="Q127" s="52"/>
      <c r="R127" s="52">
        <v>88608.660000000018</v>
      </c>
      <c r="S127" s="53">
        <v>97429.270000000019</v>
      </c>
      <c r="T127" s="12"/>
      <c r="U127" s="65"/>
      <c r="V127" s="65"/>
      <c r="W127" s="45"/>
      <c r="Y127" s="79" t="s">
        <v>318</v>
      </c>
    </row>
    <row r="128" spans="1:25" s="3" customFormat="1" ht="12.75">
      <c r="A128" s="87"/>
      <c r="B128" s="28" t="s">
        <v>45</v>
      </c>
      <c r="C128" s="28"/>
      <c r="D128" s="28"/>
      <c r="E128" s="28"/>
      <c r="F128" s="28"/>
      <c r="G128" s="28"/>
      <c r="H128" s="28" t="s">
        <v>72</v>
      </c>
      <c r="J128" s="9">
        <f t="shared" si="19"/>
        <v>2536168.6149269412</v>
      </c>
      <c r="K128" s="10"/>
      <c r="L128" s="51">
        <v>23889.804926920206</v>
      </c>
      <c r="M128" s="52">
        <v>52253.45</v>
      </c>
      <c r="N128" s="52">
        <v>1139243.71</v>
      </c>
      <c r="O128" s="52">
        <v>231859.62999999989</v>
      </c>
      <c r="P128" s="52">
        <v>18191.13</v>
      </c>
      <c r="Q128" s="52">
        <v>864800.93000002124</v>
      </c>
      <c r="R128" s="52">
        <v>23232.229999999985</v>
      </c>
      <c r="S128" s="53">
        <v>182697.72999999998</v>
      </c>
      <c r="T128" s="12"/>
      <c r="U128" s="65"/>
      <c r="V128" s="65"/>
      <c r="W128" s="45"/>
    </row>
    <row r="129" spans="1:23" s="3" customFormat="1" ht="12.75">
      <c r="A129" s="87"/>
      <c r="B129" s="28" t="s">
        <v>66</v>
      </c>
      <c r="C129" s="28"/>
      <c r="D129" s="28"/>
      <c r="E129" s="28"/>
      <c r="F129" s="28"/>
      <c r="G129" s="28"/>
      <c r="H129" s="28" t="s">
        <v>72</v>
      </c>
      <c r="J129" s="9">
        <f t="shared" si="19"/>
        <v>2050395.3986799996</v>
      </c>
      <c r="K129" s="10"/>
      <c r="L129" s="51"/>
      <c r="M129" s="52"/>
      <c r="N129" s="52">
        <v>1520853.5186799997</v>
      </c>
      <c r="O129" s="52">
        <v>521113</v>
      </c>
      <c r="P129" s="52">
        <v>7956.22</v>
      </c>
      <c r="Q129" s="52"/>
      <c r="R129" s="52"/>
      <c r="S129" s="53">
        <v>472.66</v>
      </c>
      <c r="T129" s="12"/>
      <c r="U129" s="65"/>
      <c r="V129" s="65"/>
      <c r="W129" s="45"/>
    </row>
    <row r="130" spans="1:23" s="3" customFormat="1" ht="12.75">
      <c r="A130" s="87"/>
      <c r="B130" s="28" t="s">
        <v>50</v>
      </c>
      <c r="C130" s="28"/>
      <c r="D130" s="28"/>
      <c r="E130" s="28"/>
      <c r="F130" s="28"/>
      <c r="G130" s="28"/>
      <c r="H130" s="28" t="s">
        <v>72</v>
      </c>
      <c r="J130" s="9">
        <f t="shared" si="19"/>
        <v>16985868.099798221</v>
      </c>
      <c r="K130" s="10"/>
      <c r="L130" s="51"/>
      <c r="M130" s="52"/>
      <c r="N130" s="52">
        <v>18017912.470822055</v>
      </c>
      <c r="O130" s="52">
        <v>-1050099.4718491801</v>
      </c>
      <c r="P130" s="52"/>
      <c r="Q130" s="52">
        <v>18055.100825346541</v>
      </c>
      <c r="R130" s="52"/>
      <c r="S130" s="53">
        <v>0</v>
      </c>
      <c r="T130" s="12"/>
      <c r="U130" s="65"/>
      <c r="V130" s="65"/>
      <c r="W130" s="45"/>
    </row>
    <row r="131" spans="1:23" s="3" customFormat="1" ht="12.75">
      <c r="A131" s="87"/>
      <c r="B131" s="28" t="s">
        <v>51</v>
      </c>
      <c r="C131" s="28"/>
      <c r="D131" s="28"/>
      <c r="E131" s="28"/>
      <c r="F131" s="28"/>
      <c r="G131" s="28"/>
      <c r="H131" s="28" t="s">
        <v>72</v>
      </c>
      <c r="J131" s="9">
        <f t="shared" si="19"/>
        <v>0</v>
      </c>
      <c r="K131" s="10"/>
      <c r="L131" s="51"/>
      <c r="M131" s="52"/>
      <c r="N131" s="52"/>
      <c r="O131" s="52"/>
      <c r="P131" s="52"/>
      <c r="Q131" s="52"/>
      <c r="R131" s="52"/>
      <c r="S131" s="53">
        <v>0</v>
      </c>
      <c r="T131" s="12"/>
      <c r="U131" s="65"/>
      <c r="V131" s="65"/>
      <c r="W131" s="45"/>
    </row>
    <row r="132" spans="1:23" s="3" customFormat="1" ht="12.75">
      <c r="A132" s="87"/>
      <c r="B132" s="28" t="s">
        <v>52</v>
      </c>
      <c r="C132" s="28"/>
      <c r="D132" s="28"/>
      <c r="E132" s="28"/>
      <c r="F132" s="28"/>
      <c r="G132" s="28"/>
      <c r="H132" s="28" t="s">
        <v>72</v>
      </c>
      <c r="J132" s="9">
        <f t="shared" si="19"/>
        <v>0</v>
      </c>
      <c r="K132" s="10"/>
      <c r="L132" s="51"/>
      <c r="M132" s="52"/>
      <c r="N132" s="52"/>
      <c r="O132" s="52"/>
      <c r="P132" s="52"/>
      <c r="Q132" s="52"/>
      <c r="R132" s="52"/>
      <c r="S132" s="53">
        <v>0</v>
      </c>
      <c r="T132" s="12"/>
      <c r="U132" s="65"/>
      <c r="V132" s="65"/>
      <c r="W132" s="45"/>
    </row>
    <row r="133" spans="1:23" s="3" customFormat="1" ht="12.75">
      <c r="A133" s="87"/>
      <c r="B133" s="28" t="s">
        <v>53</v>
      </c>
      <c r="C133" s="28"/>
      <c r="D133" s="28"/>
      <c r="E133" s="28"/>
      <c r="F133" s="28"/>
      <c r="G133" s="28"/>
      <c r="H133" s="28" t="s">
        <v>72</v>
      </c>
      <c r="J133" s="9">
        <f t="shared" si="19"/>
        <v>0</v>
      </c>
      <c r="K133" s="10"/>
      <c r="L133" s="51"/>
      <c r="M133" s="52"/>
      <c r="N133" s="52"/>
      <c r="O133" s="52"/>
      <c r="P133" s="52"/>
      <c r="Q133" s="52"/>
      <c r="R133" s="52"/>
      <c r="S133" s="53">
        <v>0</v>
      </c>
      <c r="T133" s="12"/>
      <c r="U133" s="65"/>
      <c r="V133" s="65"/>
      <c r="W133" s="45"/>
    </row>
    <row r="134" spans="1:23" s="3" customFormat="1" ht="12.75">
      <c r="A134" s="87"/>
      <c r="B134" s="28" t="s">
        <v>54</v>
      </c>
      <c r="C134" s="28"/>
      <c r="D134" s="28"/>
      <c r="E134" s="28"/>
      <c r="F134" s="28"/>
      <c r="G134" s="28"/>
      <c r="H134" s="28" t="s">
        <v>72</v>
      </c>
      <c r="J134" s="9">
        <f t="shared" si="19"/>
        <v>0</v>
      </c>
      <c r="K134" s="10"/>
      <c r="L134" s="54"/>
      <c r="M134" s="55"/>
      <c r="N134" s="55"/>
      <c r="O134" s="55"/>
      <c r="P134" s="55"/>
      <c r="Q134" s="55"/>
      <c r="R134" s="55"/>
      <c r="S134" s="56">
        <v>0</v>
      </c>
      <c r="T134" s="12"/>
      <c r="U134" s="65"/>
      <c r="V134" s="65"/>
      <c r="W134" s="45"/>
    </row>
    <row r="135" spans="1:23" s="3" customFormat="1" ht="12.75">
      <c r="A135" s="87"/>
      <c r="B135" s="28"/>
      <c r="C135" s="28"/>
      <c r="D135" s="28"/>
      <c r="E135" s="28"/>
      <c r="F135" s="28"/>
      <c r="G135" s="28"/>
      <c r="H135" s="28"/>
      <c r="T135" s="71"/>
    </row>
    <row r="136" spans="1:23" s="3" customFormat="1" ht="12.75">
      <c r="A136" s="87"/>
      <c r="B136" s="28" t="s">
        <v>46</v>
      </c>
      <c r="C136" s="28"/>
      <c r="D136" s="28"/>
      <c r="E136" s="28"/>
      <c r="F136" s="28"/>
      <c r="G136" s="28"/>
      <c r="H136" s="28" t="s">
        <v>72</v>
      </c>
      <c r="J136" s="9">
        <f>SUM(L136:S136)</f>
        <v>75905728.899283677</v>
      </c>
      <c r="K136" s="10"/>
      <c r="L136" s="9">
        <f>SUM(L124:L134)</f>
        <v>23889.804926920206</v>
      </c>
      <c r="M136" s="9">
        <f>SUM(M124:M134)</f>
        <v>1187389.2645454544</v>
      </c>
      <c r="N136" s="9">
        <f t="shared" ref="N136:V136" si="20">SUM(N124:N134)</f>
        <v>39326540.426774785</v>
      </c>
      <c r="O136" s="9">
        <f t="shared" si="20"/>
        <v>23772038.941546753</v>
      </c>
      <c r="P136" s="9">
        <f t="shared" si="20"/>
        <v>71417.400000000009</v>
      </c>
      <c r="Q136" s="9">
        <f t="shared" si="20"/>
        <v>9884529.0008253716</v>
      </c>
      <c r="R136" s="9">
        <f t="shared" si="20"/>
        <v>689589.95066439407</v>
      </c>
      <c r="S136" s="9">
        <f>SUM(S124:S134)</f>
        <v>950334.1100000001</v>
      </c>
      <c r="T136" s="12"/>
      <c r="U136" s="9">
        <f t="shared" si="20"/>
        <v>1005080.6</v>
      </c>
      <c r="V136" s="9">
        <f t="shared" si="20"/>
        <v>599615.64810305333</v>
      </c>
      <c r="W136" s="9">
        <f t="shared" ref="W136" si="21">SUM(W124:W134)</f>
        <v>0</v>
      </c>
    </row>
    <row r="137" spans="1:23" s="3" customFormat="1" ht="12.75">
      <c r="A137" s="87"/>
      <c r="T137" s="71"/>
    </row>
    <row r="138" spans="1:23" s="3" customFormat="1" ht="12.75">
      <c r="A138" s="87"/>
      <c r="B138" s="27"/>
      <c r="C138" s="28"/>
      <c r="D138" s="28"/>
      <c r="E138" s="28"/>
      <c r="F138" s="28"/>
      <c r="G138" s="28"/>
      <c r="H138" s="28"/>
      <c r="T138" s="71"/>
    </row>
    <row r="139" spans="1:23" s="3" customFormat="1" ht="12.75">
      <c r="A139" s="87"/>
      <c r="B139" s="27" t="s">
        <v>211</v>
      </c>
      <c r="C139" s="28"/>
      <c r="D139" s="28"/>
      <c r="E139" s="28"/>
      <c r="F139" s="28"/>
      <c r="G139" s="28"/>
      <c r="H139" s="28"/>
      <c r="T139" s="71"/>
    </row>
    <row r="140" spans="1:23" s="3" customFormat="1" ht="12.75">
      <c r="A140" s="87"/>
      <c r="B140" s="28" t="s">
        <v>62</v>
      </c>
      <c r="C140" s="28"/>
      <c r="D140" s="28"/>
      <c r="E140" s="28"/>
      <c r="F140" s="28"/>
      <c r="G140" s="28"/>
      <c r="H140" s="28" t="s">
        <v>72</v>
      </c>
      <c r="J140" s="9">
        <f t="shared" ref="J140:J150" si="22">SUM(L140:S140)</f>
        <v>7022807.0599999996</v>
      </c>
      <c r="K140" s="10"/>
      <c r="L140" s="57"/>
      <c r="M140" s="58"/>
      <c r="N140" s="58">
        <v>2200967.3899999997</v>
      </c>
      <c r="O140" s="58">
        <v>3188043.88</v>
      </c>
      <c r="P140" s="58"/>
      <c r="Q140" s="58">
        <v>1349300.9100000004</v>
      </c>
      <c r="R140" s="58"/>
      <c r="S140" s="59">
        <v>284494.88</v>
      </c>
      <c r="T140" s="12"/>
      <c r="U140" s="65"/>
      <c r="V140" s="65"/>
      <c r="W140" s="45"/>
    </row>
    <row r="141" spans="1:23" s="3" customFormat="1" ht="12.75">
      <c r="A141" s="87"/>
      <c r="B141" s="28" t="s">
        <v>63</v>
      </c>
      <c r="C141" s="28"/>
      <c r="D141" s="28"/>
      <c r="E141" s="28"/>
      <c r="F141" s="28"/>
      <c r="G141" s="28"/>
      <c r="H141" s="28" t="s">
        <v>72</v>
      </c>
      <c r="J141" s="9">
        <f t="shared" si="22"/>
        <v>31016086.626449127</v>
      </c>
      <c r="K141" s="10"/>
      <c r="L141" s="51"/>
      <c r="M141" s="52"/>
      <c r="N141" s="52">
        <v>11156306.880000001</v>
      </c>
      <c r="O141" s="52">
        <v>16827045.689999998</v>
      </c>
      <c r="P141" s="52">
        <v>45270.05</v>
      </c>
      <c r="Q141" s="52">
        <v>2083979.9000000006</v>
      </c>
      <c r="R141" s="52">
        <v>518244.53644912224</v>
      </c>
      <c r="S141" s="53">
        <v>385239.57000000007</v>
      </c>
      <c r="T141" s="12"/>
      <c r="U141" s="65"/>
      <c r="V141" s="65"/>
      <c r="W141" s="45"/>
    </row>
    <row r="142" spans="1:23" s="3" customFormat="1" ht="12.75">
      <c r="A142" s="87"/>
      <c r="B142" s="28" t="s">
        <v>64</v>
      </c>
      <c r="C142" s="28"/>
      <c r="D142" s="28"/>
      <c r="E142" s="28"/>
      <c r="F142" s="28"/>
      <c r="G142" s="28"/>
      <c r="H142" s="28" t="s">
        <v>72</v>
      </c>
      <c r="J142" s="9">
        <f t="shared" si="22"/>
        <v>3436728.1633026358</v>
      </c>
      <c r="K142" s="10"/>
      <c r="L142" s="51"/>
      <c r="M142" s="52">
        <v>200000</v>
      </c>
      <c r="N142" s="52">
        <v>646008.80945454538</v>
      </c>
      <c r="O142" s="52">
        <v>821580.12726080895</v>
      </c>
      <c r="P142" s="52"/>
      <c r="Q142" s="52">
        <v>1769139.2265872813</v>
      </c>
      <c r="R142" s="52"/>
      <c r="S142" s="53">
        <v>0</v>
      </c>
      <c r="T142" s="12"/>
      <c r="U142" s="65">
        <v>1005080.6</v>
      </c>
      <c r="V142" s="65">
        <v>332197.01452927646</v>
      </c>
      <c r="W142" s="45"/>
    </row>
    <row r="143" spans="1:23" s="3" customFormat="1" ht="12.75">
      <c r="A143" s="87"/>
      <c r="B143" s="28" t="s">
        <v>65</v>
      </c>
      <c r="C143" s="28"/>
      <c r="D143" s="28"/>
      <c r="E143" s="28"/>
      <c r="F143" s="28"/>
      <c r="G143" s="28"/>
      <c r="H143" s="28" t="s">
        <v>72</v>
      </c>
      <c r="J143" s="9">
        <f t="shared" si="22"/>
        <v>3644886.6746003348</v>
      </c>
      <c r="K143" s="10"/>
      <c r="L143" s="51"/>
      <c r="M143" s="52"/>
      <c r="N143" s="52">
        <v>2061212.4100000001</v>
      </c>
      <c r="O143" s="52">
        <v>1406762.4700000002</v>
      </c>
      <c r="P143" s="52"/>
      <c r="Q143" s="52"/>
      <c r="R143" s="52">
        <v>79482.524600334567</v>
      </c>
      <c r="S143" s="53">
        <v>97429.270000000019</v>
      </c>
      <c r="T143" s="12"/>
      <c r="U143" s="65"/>
      <c r="V143" s="65"/>
      <c r="W143" s="45"/>
    </row>
    <row r="144" spans="1:23" s="3" customFormat="1" ht="12.75">
      <c r="A144" s="87"/>
      <c r="B144" s="28" t="s">
        <v>45</v>
      </c>
      <c r="C144" s="28"/>
      <c r="D144" s="28"/>
      <c r="E144" s="28"/>
      <c r="F144" s="28"/>
      <c r="G144" s="28"/>
      <c r="H144" s="28" t="s">
        <v>72</v>
      </c>
      <c r="J144" s="9">
        <f t="shared" si="22"/>
        <v>2599629.2100000209</v>
      </c>
      <c r="K144" s="10"/>
      <c r="L144" s="51">
        <v>87350.399999999994</v>
      </c>
      <c r="M144" s="52">
        <v>52253.45</v>
      </c>
      <c r="N144" s="52">
        <v>1139243.71</v>
      </c>
      <c r="O144" s="52">
        <v>231859.62999999989</v>
      </c>
      <c r="P144" s="52">
        <v>18191.13</v>
      </c>
      <c r="Q144" s="52">
        <v>864800.93000002124</v>
      </c>
      <c r="R144" s="52">
        <v>23232.229999999985</v>
      </c>
      <c r="S144" s="53">
        <v>182697.72999999998</v>
      </c>
      <c r="T144" s="12"/>
      <c r="U144" s="65"/>
      <c r="V144" s="65"/>
      <c r="W144" s="45"/>
    </row>
    <row r="145" spans="1:23" s="3" customFormat="1" ht="12.75">
      <c r="A145" s="87"/>
      <c r="B145" s="28" t="s">
        <v>66</v>
      </c>
      <c r="C145" s="28"/>
      <c r="D145" s="28"/>
      <c r="E145" s="28"/>
      <c r="F145" s="28"/>
      <c r="G145" s="28"/>
      <c r="H145" s="28" t="s">
        <v>72</v>
      </c>
      <c r="J145" s="9">
        <f t="shared" si="22"/>
        <v>2042439.1786799997</v>
      </c>
      <c r="K145" s="10"/>
      <c r="L145" s="51"/>
      <c r="M145" s="52"/>
      <c r="N145" s="52">
        <v>1520853.5186799997</v>
      </c>
      <c r="O145" s="52">
        <v>521113</v>
      </c>
      <c r="P145" s="52"/>
      <c r="Q145" s="52"/>
      <c r="R145" s="52"/>
      <c r="S145" s="53">
        <v>472.66</v>
      </c>
      <c r="T145" s="12"/>
      <c r="U145" s="65"/>
      <c r="V145" s="65"/>
      <c r="W145" s="45"/>
    </row>
    <row r="146" spans="1:23" s="3" customFormat="1" ht="12.75">
      <c r="A146" s="87"/>
      <c r="B146" s="28" t="s">
        <v>50</v>
      </c>
      <c r="C146" s="28"/>
      <c r="D146" s="28"/>
      <c r="E146" s="28"/>
      <c r="F146" s="28"/>
      <c r="G146" s="28"/>
      <c r="H146" s="28" t="s">
        <v>72</v>
      </c>
      <c r="J146" s="9">
        <f t="shared" si="22"/>
        <v>18215408.76082205</v>
      </c>
      <c r="K146" s="10"/>
      <c r="L146" s="51"/>
      <c r="M146" s="52"/>
      <c r="N146" s="52">
        <v>18017912.470822055</v>
      </c>
      <c r="O146" s="52"/>
      <c r="P146" s="52"/>
      <c r="Q146" s="52">
        <v>197496.28999999707</v>
      </c>
      <c r="R146" s="52"/>
      <c r="S146" s="53">
        <v>0</v>
      </c>
      <c r="T146" s="12"/>
      <c r="U146" s="65"/>
      <c r="V146" s="65"/>
      <c r="W146" s="45"/>
    </row>
    <row r="147" spans="1:23" s="3" customFormat="1" ht="12.75">
      <c r="A147" s="87"/>
      <c r="B147" s="28" t="s">
        <v>51</v>
      </c>
      <c r="C147" s="28"/>
      <c r="D147" s="28"/>
      <c r="E147" s="28"/>
      <c r="F147" s="28"/>
      <c r="G147" s="28"/>
      <c r="H147" s="28" t="s">
        <v>72</v>
      </c>
      <c r="J147" s="9">
        <f t="shared" si="22"/>
        <v>0</v>
      </c>
      <c r="K147" s="10"/>
      <c r="L147" s="51"/>
      <c r="M147" s="52"/>
      <c r="N147" s="52"/>
      <c r="O147" s="52"/>
      <c r="P147" s="52"/>
      <c r="Q147" s="52"/>
      <c r="R147" s="52"/>
      <c r="S147" s="53">
        <v>0</v>
      </c>
      <c r="T147" s="12"/>
      <c r="U147" s="65"/>
      <c r="V147" s="65"/>
      <c r="W147" s="45"/>
    </row>
    <row r="148" spans="1:23" s="3" customFormat="1" ht="12.75">
      <c r="A148" s="87"/>
      <c r="B148" s="28" t="s">
        <v>52</v>
      </c>
      <c r="C148" s="28"/>
      <c r="D148" s="28"/>
      <c r="E148" s="28"/>
      <c r="F148" s="28"/>
      <c r="G148" s="28"/>
      <c r="H148" s="28" t="s">
        <v>72</v>
      </c>
      <c r="J148" s="9">
        <f t="shared" si="22"/>
        <v>0</v>
      </c>
      <c r="K148" s="10"/>
      <c r="L148" s="51"/>
      <c r="M148" s="52"/>
      <c r="N148" s="52"/>
      <c r="O148" s="52"/>
      <c r="P148" s="52"/>
      <c r="Q148" s="52"/>
      <c r="R148" s="52"/>
      <c r="S148" s="53">
        <v>0</v>
      </c>
      <c r="T148" s="12"/>
      <c r="U148" s="65"/>
      <c r="V148" s="65"/>
      <c r="W148" s="45"/>
    </row>
    <row r="149" spans="1:23" s="3" customFormat="1" ht="12.75">
      <c r="A149" s="87"/>
      <c r="B149" s="28" t="s">
        <v>53</v>
      </c>
      <c r="C149" s="28"/>
      <c r="D149" s="28"/>
      <c r="E149" s="28"/>
      <c r="F149" s="28"/>
      <c r="G149" s="28"/>
      <c r="H149" s="28" t="s">
        <v>72</v>
      </c>
      <c r="J149" s="9">
        <f t="shared" si="22"/>
        <v>0</v>
      </c>
      <c r="K149" s="10"/>
      <c r="L149" s="51"/>
      <c r="M149" s="52"/>
      <c r="N149" s="52"/>
      <c r="O149" s="52"/>
      <c r="P149" s="52"/>
      <c r="Q149" s="52"/>
      <c r="R149" s="52"/>
      <c r="S149" s="53">
        <v>0</v>
      </c>
      <c r="T149" s="12"/>
      <c r="U149" s="65"/>
      <c r="V149" s="65"/>
      <c r="W149" s="45"/>
    </row>
    <row r="150" spans="1:23" s="3" customFormat="1" ht="12.75">
      <c r="A150" s="87"/>
      <c r="B150" s="28" t="s">
        <v>54</v>
      </c>
      <c r="C150" s="28"/>
      <c r="D150" s="28"/>
      <c r="E150" s="28"/>
      <c r="F150" s="28"/>
      <c r="G150" s="28"/>
      <c r="H150" s="28" t="s">
        <v>72</v>
      </c>
      <c r="J150" s="9">
        <f t="shared" si="22"/>
        <v>0</v>
      </c>
      <c r="K150" s="10"/>
      <c r="L150" s="54"/>
      <c r="M150" s="55"/>
      <c r="N150" s="55"/>
      <c r="O150" s="55"/>
      <c r="P150" s="55"/>
      <c r="Q150" s="55"/>
      <c r="R150" s="55"/>
      <c r="S150" s="56">
        <v>0</v>
      </c>
      <c r="T150" s="12"/>
      <c r="U150" s="65"/>
      <c r="V150" s="65"/>
      <c r="W150" s="45"/>
    </row>
    <row r="151" spans="1:23" s="3" customFormat="1" ht="12.75">
      <c r="A151" s="87"/>
      <c r="B151" s="28"/>
      <c r="C151" s="28"/>
      <c r="D151" s="28"/>
      <c r="E151" s="28"/>
      <c r="F151" s="28"/>
      <c r="G151" s="28"/>
      <c r="H151" s="28"/>
      <c r="T151" s="71"/>
    </row>
    <row r="152" spans="1:23" s="3" customFormat="1" ht="12.75">
      <c r="A152" s="87"/>
      <c r="B152" s="28" t="s">
        <v>46</v>
      </c>
      <c r="C152" s="28"/>
      <c r="D152" s="28"/>
      <c r="E152" s="28"/>
      <c r="F152" s="28"/>
      <c r="G152" s="28"/>
      <c r="H152" s="28" t="s">
        <v>72</v>
      </c>
      <c r="J152" s="9">
        <f>SUM(L152:S152)</f>
        <v>67977985.673854172</v>
      </c>
      <c r="K152" s="10"/>
      <c r="L152" s="9">
        <f>SUM(L140:L150)</f>
        <v>87350.399999999994</v>
      </c>
      <c r="M152" s="9">
        <f>SUM(M140:M150)</f>
        <v>252253.45</v>
      </c>
      <c r="N152" s="9">
        <f t="shared" ref="N152:V152" si="23">SUM(N140:N150)</f>
        <v>36742505.188956603</v>
      </c>
      <c r="O152" s="9">
        <f t="shared" si="23"/>
        <v>22996404.797260802</v>
      </c>
      <c r="P152" s="9">
        <f t="shared" si="23"/>
        <v>63461.180000000008</v>
      </c>
      <c r="Q152" s="9">
        <f t="shared" si="23"/>
        <v>6264717.2565873004</v>
      </c>
      <c r="R152" s="9">
        <f t="shared" si="23"/>
        <v>620959.29104945681</v>
      </c>
      <c r="S152" s="9">
        <f>SUM(S140:S150)</f>
        <v>950334.1100000001</v>
      </c>
      <c r="T152" s="12"/>
      <c r="U152" s="9">
        <f t="shared" si="23"/>
        <v>1005080.6</v>
      </c>
      <c r="V152" s="9">
        <f t="shared" si="23"/>
        <v>332197.01452927646</v>
      </c>
      <c r="W152" s="9">
        <f t="shared" ref="W152" si="24">SUM(W140:W150)</f>
        <v>0</v>
      </c>
    </row>
    <row r="153" spans="1:23" s="3" customFormat="1" ht="12.75">
      <c r="A153" s="87"/>
      <c r="L153" s="10"/>
      <c r="M153" s="10"/>
      <c r="N153" s="10"/>
      <c r="O153" s="10"/>
      <c r="P153" s="10"/>
      <c r="Q153" s="10"/>
      <c r="R153" s="10"/>
      <c r="S153" s="10"/>
      <c r="T153" s="71"/>
    </row>
    <row r="154" spans="1:23" s="3" customFormat="1" ht="12.75">
      <c r="A154" s="87"/>
      <c r="T154" s="71"/>
    </row>
    <row r="155" spans="1:23" s="3" customFormat="1" ht="12.75">
      <c r="A155" s="87"/>
      <c r="B155" s="27" t="s">
        <v>213</v>
      </c>
      <c r="C155" s="28"/>
      <c r="D155" s="28"/>
      <c r="E155" s="28"/>
      <c r="F155" s="28"/>
      <c r="G155" s="28"/>
      <c r="H155" s="28"/>
      <c r="T155" s="71"/>
    </row>
    <row r="156" spans="1:23" s="3" customFormat="1" ht="12.75">
      <c r="A156" s="87"/>
      <c r="B156" s="28" t="s">
        <v>41</v>
      </c>
      <c r="C156" s="28"/>
      <c r="D156" s="28"/>
      <c r="E156" s="28"/>
      <c r="F156" s="28"/>
      <c r="G156" s="28"/>
      <c r="H156" s="28" t="s">
        <v>72</v>
      </c>
      <c r="J156" s="9">
        <f t="shared" ref="J156:J164" si="25">SUM(L156:S156)</f>
        <v>10062689.623950645</v>
      </c>
      <c r="K156" s="10"/>
      <c r="L156" s="57">
        <v>18652.520000000004</v>
      </c>
      <c r="M156" s="58">
        <v>68986.853000000003</v>
      </c>
      <c r="N156" s="58">
        <v>5412512.0399999991</v>
      </c>
      <c r="O156" s="58">
        <v>1009531.6884246692</v>
      </c>
      <c r="P156" s="58">
        <v>69729.89</v>
      </c>
      <c r="Q156" s="58">
        <v>3004099.629999999</v>
      </c>
      <c r="R156" s="58">
        <v>31668.9</v>
      </c>
      <c r="S156" s="59">
        <v>447508.10252597806</v>
      </c>
      <c r="T156" s="12"/>
      <c r="U156" s="11"/>
      <c r="V156" s="11"/>
      <c r="W156" s="45"/>
    </row>
    <row r="157" spans="1:23" s="3" customFormat="1" ht="12.75">
      <c r="A157" s="87"/>
      <c r="B157" s="28" t="s">
        <v>43</v>
      </c>
      <c r="C157" s="28"/>
      <c r="D157" s="28"/>
      <c r="E157" s="28"/>
      <c r="F157" s="28"/>
      <c r="G157" s="28"/>
      <c r="H157" s="28" t="s">
        <v>72</v>
      </c>
      <c r="J157" s="9">
        <f t="shared" si="25"/>
        <v>3438341.6076990706</v>
      </c>
      <c r="K157" s="10"/>
      <c r="L157" s="51">
        <v>25995.410000000003</v>
      </c>
      <c r="M157" s="52">
        <v>3630.8870000000006</v>
      </c>
      <c r="N157" s="52">
        <v>942159.42105268361</v>
      </c>
      <c r="O157" s="52">
        <v>-47424.406211654314</v>
      </c>
      <c r="P157" s="52"/>
      <c r="Q157" s="52">
        <v>2310124.8900000006</v>
      </c>
      <c r="R157" s="52">
        <v>13182</v>
      </c>
      <c r="S157" s="53">
        <v>190673.40585804096</v>
      </c>
      <c r="T157" s="12"/>
      <c r="U157" s="11"/>
      <c r="V157" s="11"/>
      <c r="W157" s="45"/>
    </row>
    <row r="158" spans="1:23" s="3" customFormat="1" ht="12.75">
      <c r="A158" s="87"/>
      <c r="B158" s="28" t="s">
        <v>48</v>
      </c>
      <c r="C158" s="28"/>
      <c r="D158" s="28"/>
      <c r="E158" s="28"/>
      <c r="F158" s="28"/>
      <c r="G158" s="28"/>
      <c r="H158" s="28" t="s">
        <v>72</v>
      </c>
      <c r="J158" s="9">
        <f t="shared" si="25"/>
        <v>10157345.829439105</v>
      </c>
      <c r="K158" s="10"/>
      <c r="L158" s="51">
        <v>46313.41</v>
      </c>
      <c r="M158" s="52">
        <v>145614.25943910447</v>
      </c>
      <c r="N158" s="52">
        <v>4029951.1500000004</v>
      </c>
      <c r="O158" s="52">
        <v>3128238.1300000004</v>
      </c>
      <c r="P158" s="52">
        <v>32134.71</v>
      </c>
      <c r="Q158" s="52">
        <v>2624700.63</v>
      </c>
      <c r="R158" s="52">
        <v>61899.13</v>
      </c>
      <c r="S158" s="53">
        <v>88494.410000000033</v>
      </c>
      <c r="T158" s="12"/>
      <c r="U158" s="11"/>
      <c r="V158" s="11"/>
      <c r="W158" s="45"/>
    </row>
    <row r="159" spans="1:23" s="3" customFormat="1" ht="12.75">
      <c r="A159" s="87"/>
      <c r="B159" s="28" t="s">
        <v>49</v>
      </c>
      <c r="C159" s="28"/>
      <c r="D159" s="28"/>
      <c r="E159" s="28"/>
      <c r="F159" s="28"/>
      <c r="G159" s="28"/>
      <c r="H159" s="28" t="s">
        <v>72</v>
      </c>
      <c r="J159" s="9">
        <f t="shared" si="25"/>
        <v>1103679.608435344</v>
      </c>
      <c r="K159" s="10"/>
      <c r="L159" s="51"/>
      <c r="M159" s="52"/>
      <c r="N159" s="52"/>
      <c r="O159" s="52">
        <v>-42008.302263985817</v>
      </c>
      <c r="P159" s="52">
        <v>12908.55</v>
      </c>
      <c r="Q159" s="52">
        <v>1126046.8400000001</v>
      </c>
      <c r="R159" s="52">
        <v>6652.53</v>
      </c>
      <c r="S159" s="53">
        <v>79.990699329745368</v>
      </c>
      <c r="T159" s="12"/>
      <c r="U159" s="11"/>
      <c r="V159" s="11"/>
      <c r="W159" s="45"/>
    </row>
    <row r="160" spans="1:23" s="3" customFormat="1" ht="12.75">
      <c r="A160" s="87"/>
      <c r="B160" s="28" t="s">
        <v>50</v>
      </c>
      <c r="C160" s="28"/>
      <c r="D160" s="28"/>
      <c r="E160" s="28"/>
      <c r="F160" s="28"/>
      <c r="G160" s="28"/>
      <c r="H160" s="28" t="s">
        <v>72</v>
      </c>
      <c r="J160" s="9">
        <f t="shared" si="25"/>
        <v>494839.73384137865</v>
      </c>
      <c r="K160" s="10"/>
      <c r="L160" s="51"/>
      <c r="M160" s="52"/>
      <c r="N160" s="52"/>
      <c r="O160" s="52">
        <v>494822.24384137866</v>
      </c>
      <c r="P160" s="52">
        <v>17.489999999999998</v>
      </c>
      <c r="Q160" s="52"/>
      <c r="R160" s="52"/>
      <c r="S160" s="53">
        <v>0</v>
      </c>
      <c r="T160" s="12"/>
      <c r="U160" s="11"/>
      <c r="V160" s="11"/>
      <c r="W160" s="45"/>
    </row>
    <row r="161" spans="1:23" s="3" customFormat="1" ht="12.75">
      <c r="A161" s="87"/>
      <c r="B161" s="28" t="s">
        <v>51</v>
      </c>
      <c r="C161" s="28"/>
      <c r="D161" s="28"/>
      <c r="E161" s="28"/>
      <c r="F161" s="28"/>
      <c r="G161" s="28"/>
      <c r="H161" s="28" t="s">
        <v>72</v>
      </c>
      <c r="J161" s="9">
        <f t="shared" si="25"/>
        <v>1156388.2986379773</v>
      </c>
      <c r="K161" s="10"/>
      <c r="L161" s="51"/>
      <c r="M161" s="52"/>
      <c r="N161" s="52"/>
      <c r="O161" s="52">
        <v>1156388.2986379773</v>
      </c>
      <c r="P161" s="52"/>
      <c r="Q161" s="52"/>
      <c r="R161" s="52"/>
      <c r="S161" s="53">
        <v>0</v>
      </c>
      <c r="T161" s="12"/>
      <c r="U161" s="11"/>
      <c r="V161" s="11"/>
      <c r="W161" s="45"/>
    </row>
    <row r="162" spans="1:23" s="3" customFormat="1" ht="12.75">
      <c r="A162" s="87"/>
      <c r="B162" s="28" t="s">
        <v>52</v>
      </c>
      <c r="C162" s="28"/>
      <c r="D162" s="28"/>
      <c r="E162" s="28"/>
      <c r="F162" s="28"/>
      <c r="G162" s="28"/>
      <c r="H162" s="28" t="s">
        <v>72</v>
      </c>
      <c r="J162" s="9">
        <f t="shared" si="25"/>
        <v>176044.37000000002</v>
      </c>
      <c r="K162" s="10"/>
      <c r="L162" s="51"/>
      <c r="M162" s="52"/>
      <c r="N162" s="52"/>
      <c r="O162" s="52">
        <v>176044.37000000002</v>
      </c>
      <c r="P162" s="52"/>
      <c r="Q162" s="52"/>
      <c r="R162" s="52"/>
      <c r="S162" s="53">
        <v>0</v>
      </c>
      <c r="T162" s="12"/>
      <c r="U162" s="11"/>
      <c r="V162" s="11"/>
      <c r="W162" s="45"/>
    </row>
    <row r="163" spans="1:23" s="3" customFormat="1" ht="12.75">
      <c r="A163" s="87"/>
      <c r="B163" s="28" t="s">
        <v>53</v>
      </c>
      <c r="C163" s="28"/>
      <c r="D163" s="28"/>
      <c r="E163" s="28"/>
      <c r="F163" s="28"/>
      <c r="G163" s="28"/>
      <c r="H163" s="28" t="s">
        <v>72</v>
      </c>
      <c r="J163" s="9">
        <f t="shared" si="25"/>
        <v>292942.24</v>
      </c>
      <c r="K163" s="10"/>
      <c r="L163" s="51"/>
      <c r="M163" s="52"/>
      <c r="N163" s="52"/>
      <c r="O163" s="52">
        <v>292942.24</v>
      </c>
      <c r="P163" s="52"/>
      <c r="Q163" s="52"/>
      <c r="R163" s="52"/>
      <c r="S163" s="53">
        <v>0</v>
      </c>
      <c r="T163" s="12"/>
      <c r="U163" s="11"/>
      <c r="V163" s="11"/>
      <c r="W163" s="45"/>
    </row>
    <row r="164" spans="1:23" s="3" customFormat="1" ht="12.75">
      <c r="A164" s="87"/>
      <c r="B164" s="28" t="s">
        <v>54</v>
      </c>
      <c r="C164" s="28"/>
      <c r="D164" s="28"/>
      <c r="E164" s="28"/>
      <c r="F164" s="28"/>
      <c r="G164" s="28"/>
      <c r="H164" s="28" t="s">
        <v>72</v>
      </c>
      <c r="J164" s="9">
        <f t="shared" si="25"/>
        <v>0</v>
      </c>
      <c r="K164" s="10"/>
      <c r="L164" s="54"/>
      <c r="M164" s="55"/>
      <c r="N164" s="55"/>
      <c r="O164" s="55"/>
      <c r="P164" s="55"/>
      <c r="Q164" s="55"/>
      <c r="R164" s="55"/>
      <c r="S164" s="56">
        <v>0</v>
      </c>
      <c r="T164" s="12"/>
      <c r="U164" s="11"/>
      <c r="V164" s="11"/>
      <c r="W164" s="45"/>
    </row>
    <row r="165" spans="1:23" s="3" customFormat="1" ht="12.75">
      <c r="A165" s="87"/>
      <c r="C165" s="28"/>
      <c r="D165" s="28"/>
      <c r="E165" s="28"/>
      <c r="F165" s="28"/>
      <c r="G165" s="28"/>
      <c r="H165" s="29"/>
      <c r="I165" s="71"/>
      <c r="J165" s="12"/>
      <c r="K165" s="12"/>
      <c r="L165" s="12"/>
      <c r="M165" s="12"/>
      <c r="N165" s="12"/>
      <c r="O165" s="12"/>
      <c r="P165" s="12"/>
      <c r="Q165" s="12"/>
      <c r="R165" s="12"/>
      <c r="S165" s="12"/>
      <c r="T165" s="12"/>
      <c r="U165" s="12"/>
      <c r="V165" s="12"/>
      <c r="W165" s="12"/>
    </row>
    <row r="166" spans="1:23" s="3" customFormat="1" ht="12.75">
      <c r="A166" s="87"/>
      <c r="B166" s="28"/>
      <c r="C166" s="28"/>
      <c r="T166" s="71"/>
    </row>
    <row r="167" spans="1:23" s="3" customFormat="1" ht="12.75">
      <c r="A167" s="87"/>
      <c r="B167" s="28" t="s">
        <v>46</v>
      </c>
      <c r="C167" s="28"/>
      <c r="D167" s="28"/>
      <c r="E167" s="28"/>
      <c r="F167" s="28"/>
      <c r="G167" s="28"/>
      <c r="H167" s="28" t="s">
        <v>72</v>
      </c>
      <c r="J167" s="9">
        <f>SUM(L167:S167)</f>
        <v>26882271.312003523</v>
      </c>
      <c r="K167" s="10"/>
      <c r="L167" s="9">
        <f>SUM(L156:L164)</f>
        <v>90961.340000000011</v>
      </c>
      <c r="M167" s="9">
        <f t="shared" ref="M167:V167" si="26">SUM(M156:M164)</f>
        <v>218231.99943910446</v>
      </c>
      <c r="N167" s="9">
        <f t="shared" si="26"/>
        <v>10384622.611052683</v>
      </c>
      <c r="O167" s="9">
        <f t="shared" si="26"/>
        <v>6168534.2624283852</v>
      </c>
      <c r="P167" s="9">
        <f t="shared" si="26"/>
        <v>114790.64000000001</v>
      </c>
      <c r="Q167" s="9">
        <f t="shared" si="26"/>
        <v>9064971.9900000002</v>
      </c>
      <c r="R167" s="9">
        <f t="shared" si="26"/>
        <v>113402.56</v>
      </c>
      <c r="S167" s="9">
        <f t="shared" si="26"/>
        <v>726755.90908334882</v>
      </c>
      <c r="T167" s="12"/>
      <c r="U167" s="9">
        <f t="shared" si="26"/>
        <v>0</v>
      </c>
      <c r="V167" s="9">
        <f t="shared" si="26"/>
        <v>0</v>
      </c>
      <c r="W167" s="9">
        <f t="shared" ref="W167" si="27">SUM(W156:W164)</f>
        <v>0</v>
      </c>
    </row>
    <row r="168" spans="1:23" s="3" customFormat="1" ht="12.75">
      <c r="A168" s="87"/>
      <c r="B168" s="28"/>
      <c r="C168" s="29"/>
      <c r="D168" s="28"/>
      <c r="E168" s="28"/>
      <c r="F168" s="28"/>
      <c r="G168" s="28"/>
      <c r="H168" s="28"/>
      <c r="L168" s="10"/>
      <c r="M168" s="10"/>
      <c r="N168" s="10"/>
      <c r="O168" s="10"/>
      <c r="P168" s="10"/>
      <c r="Q168" s="10"/>
      <c r="R168" s="10"/>
      <c r="S168" s="10"/>
      <c r="T168" s="71"/>
    </row>
    <row r="169" spans="1:23" s="3" customFormat="1" ht="12.75">
      <c r="A169" s="87"/>
      <c r="B169" s="27" t="s">
        <v>194</v>
      </c>
      <c r="C169" s="29"/>
      <c r="D169" s="28"/>
      <c r="E169" s="28"/>
      <c r="F169" s="28"/>
      <c r="G169" s="28"/>
      <c r="H169" s="28"/>
      <c r="T169" s="71"/>
    </row>
    <row r="170" spans="1:23" s="3" customFormat="1" ht="12.75">
      <c r="A170" s="87"/>
      <c r="B170" s="28" t="s">
        <v>198</v>
      </c>
      <c r="C170" s="29"/>
      <c r="D170" s="28"/>
      <c r="E170" s="28"/>
      <c r="F170" s="28"/>
      <c r="G170" s="28"/>
      <c r="H170" s="28" t="s">
        <v>72</v>
      </c>
      <c r="J170" s="9">
        <f>SUM(L170:S170)</f>
        <v>1004877.1637490276</v>
      </c>
      <c r="K170" s="10"/>
      <c r="L170" s="11">
        <v>4096.28</v>
      </c>
      <c r="M170" s="11"/>
      <c r="N170" s="11">
        <v>358122.60000000015</v>
      </c>
      <c r="O170" s="11">
        <v>374217.46999999898</v>
      </c>
      <c r="P170" s="11">
        <v>365.07</v>
      </c>
      <c r="Q170" s="11">
        <v>241629.48000000004</v>
      </c>
      <c r="R170" s="11"/>
      <c r="S170" s="11">
        <v>26446.263749028385</v>
      </c>
      <c r="T170" s="71"/>
      <c r="U170" s="11"/>
      <c r="V170" s="11"/>
      <c r="W170" s="45"/>
    </row>
    <row r="171" spans="1:23" s="3" customFormat="1" ht="12.75">
      <c r="A171" s="87"/>
      <c r="T171" s="12"/>
    </row>
    <row r="172" spans="1:23" s="3" customFormat="1" ht="12.75">
      <c r="A172" s="87"/>
      <c r="T172" s="71"/>
    </row>
    <row r="173" spans="1:23" s="3" customFormat="1" ht="12.75">
      <c r="A173" s="87"/>
      <c r="B173" s="27" t="s">
        <v>67</v>
      </c>
      <c r="C173" s="28"/>
      <c r="D173" s="28"/>
      <c r="E173" s="28"/>
      <c r="F173" s="28"/>
      <c r="G173" s="28"/>
      <c r="H173" s="28"/>
      <c r="T173" s="71"/>
    </row>
    <row r="174" spans="1:23" s="3" customFormat="1" ht="12.75">
      <c r="A174" s="87"/>
      <c r="B174" s="28" t="s">
        <v>68</v>
      </c>
      <c r="C174" s="28"/>
      <c r="D174" s="28"/>
      <c r="E174" s="28"/>
      <c r="F174" s="28"/>
      <c r="G174" s="28"/>
      <c r="H174" s="28" t="s">
        <v>72</v>
      </c>
      <c r="J174" s="9">
        <f>SUM(L174:S174)</f>
        <v>21322.4833984375</v>
      </c>
      <c r="K174" s="10"/>
      <c r="L174" s="74">
        <v>0</v>
      </c>
      <c r="M174" s="75">
        <v>0</v>
      </c>
      <c r="N174" s="75">
        <v>0</v>
      </c>
      <c r="O174" s="75">
        <v>0</v>
      </c>
      <c r="P174" s="75">
        <v>2452.7099609375</v>
      </c>
      <c r="Q174" s="75">
        <v>18869.7734375</v>
      </c>
      <c r="R174" s="75">
        <v>0</v>
      </c>
      <c r="S174" s="76">
        <v>0</v>
      </c>
      <c r="T174" s="71"/>
      <c r="U174" s="11"/>
      <c r="V174" s="11"/>
      <c r="W174" s="45"/>
    </row>
    <row r="175" spans="1:23" s="3" customFormat="1">
      <c r="B175" s="27"/>
      <c r="C175" s="28"/>
      <c r="D175" s="28"/>
      <c r="E175" s="28"/>
      <c r="F175" s="28"/>
      <c r="G175" s="28"/>
      <c r="H175" s="28"/>
      <c r="T175" s="96"/>
    </row>
    <row r="176" spans="1:23" s="3" customFormat="1" ht="12.75"/>
    <row r="177" spans="1:25" s="4" customFormat="1" ht="12.75">
      <c r="B177" s="4" t="s">
        <v>75</v>
      </c>
      <c r="X177" s="102"/>
    </row>
    <row r="178" spans="1:25" s="3" customFormat="1" ht="12.75">
      <c r="B178" s="27"/>
      <c r="C178" s="28"/>
      <c r="D178" s="28"/>
      <c r="E178" s="28"/>
      <c r="F178" s="28"/>
      <c r="G178" s="28"/>
      <c r="H178" s="28"/>
    </row>
    <row r="179" spans="1:25" s="3" customFormat="1" ht="12.75">
      <c r="A179" s="87"/>
      <c r="B179" s="27" t="s">
        <v>212</v>
      </c>
      <c r="C179" s="28"/>
      <c r="D179" s="28"/>
      <c r="E179" s="28"/>
      <c r="F179" s="28"/>
      <c r="G179" s="28"/>
      <c r="H179" s="28"/>
    </row>
    <row r="180" spans="1:25" s="3" customFormat="1" ht="12.75">
      <c r="A180" s="87"/>
      <c r="B180" s="28" t="s">
        <v>62</v>
      </c>
      <c r="C180" s="28"/>
      <c r="D180" s="28"/>
      <c r="E180" s="28"/>
      <c r="F180" s="28"/>
      <c r="G180" s="28"/>
      <c r="H180" s="28" t="s">
        <v>73</v>
      </c>
      <c r="J180" s="9">
        <f t="shared" ref="J180:J190" si="28">SUM(L180:S180)</f>
        <v>9878508.7399999984</v>
      </c>
      <c r="K180" s="10"/>
      <c r="L180" s="57"/>
      <c r="M180" s="58"/>
      <c r="N180" s="58">
        <v>2213985.5700000003</v>
      </c>
      <c r="O180" s="58">
        <v>5602391.6099999985</v>
      </c>
      <c r="P180" s="58"/>
      <c r="Q180" s="58">
        <v>1736402.5299999996</v>
      </c>
      <c r="R180" s="58"/>
      <c r="S180" s="59">
        <v>325729.03000000003</v>
      </c>
      <c r="T180" s="12"/>
      <c r="U180" s="11"/>
      <c r="V180" s="45"/>
      <c r="W180" s="45"/>
      <c r="Y180" s="79" t="s">
        <v>320</v>
      </c>
    </row>
    <row r="181" spans="1:25" s="3" customFormat="1" ht="12.75">
      <c r="A181" s="87"/>
      <c r="B181" s="28" t="s">
        <v>63</v>
      </c>
      <c r="C181" s="28"/>
      <c r="D181" s="28"/>
      <c r="E181" s="28"/>
      <c r="F181" s="28"/>
      <c r="G181" s="28"/>
      <c r="H181" s="28" t="s">
        <v>73</v>
      </c>
      <c r="J181" s="9">
        <f t="shared" si="28"/>
        <v>27066293.481071707</v>
      </c>
      <c r="K181" s="10"/>
      <c r="L181" s="51">
        <v>27174.761071711004</v>
      </c>
      <c r="M181" s="52">
        <v>453112.86</v>
      </c>
      <c r="N181" s="52">
        <v>11533672.229999999</v>
      </c>
      <c r="O181" s="52">
        <v>11159801.140000001</v>
      </c>
      <c r="P181" s="52">
        <v>44757.5</v>
      </c>
      <c r="Q181" s="52">
        <v>2900499.4699999997</v>
      </c>
      <c r="R181" s="52">
        <v>716506.84000000148</v>
      </c>
      <c r="S181" s="53">
        <v>230768.68</v>
      </c>
      <c r="T181" s="12"/>
      <c r="U181" s="11"/>
      <c r="V181" s="45"/>
      <c r="W181" s="45"/>
      <c r="Y181" s="79" t="s">
        <v>264</v>
      </c>
    </row>
    <row r="182" spans="1:25" s="3" customFormat="1" ht="12.75">
      <c r="A182" s="87"/>
      <c r="B182" s="28" t="s">
        <v>64</v>
      </c>
      <c r="C182" s="28"/>
      <c r="D182" s="28"/>
      <c r="E182" s="28"/>
      <c r="F182" s="28"/>
      <c r="G182" s="28"/>
      <c r="H182" s="28" t="s">
        <v>73</v>
      </c>
      <c r="J182" s="9">
        <f t="shared" si="28"/>
        <v>12517427.885460485</v>
      </c>
      <c r="K182" s="10"/>
      <c r="L182" s="51"/>
      <c r="M182" s="52">
        <v>1082587.4509090891</v>
      </c>
      <c r="N182" s="52">
        <v>3347064.1636363636</v>
      </c>
      <c r="O182" s="52">
        <v>2759495.8609150317</v>
      </c>
      <c r="P182" s="52"/>
      <c r="Q182" s="52">
        <v>5321431.6500000004</v>
      </c>
      <c r="R182" s="52">
        <v>6848.76</v>
      </c>
      <c r="S182" s="53">
        <v>0</v>
      </c>
      <c r="T182" s="12"/>
      <c r="U182" s="65">
        <v>1044222.9</v>
      </c>
      <c r="V182" s="45"/>
      <c r="W182" s="45"/>
      <c r="Y182" s="79" t="s">
        <v>318</v>
      </c>
    </row>
    <row r="183" spans="1:25" s="3" customFormat="1" ht="12.75">
      <c r="A183" s="87"/>
      <c r="B183" s="28" t="s">
        <v>65</v>
      </c>
      <c r="C183" s="28"/>
      <c r="D183" s="28"/>
      <c r="E183" s="28"/>
      <c r="F183" s="28"/>
      <c r="G183" s="28"/>
      <c r="H183" s="28" t="s">
        <v>73</v>
      </c>
      <c r="J183" s="9">
        <f t="shared" si="28"/>
        <v>4071889.4799999991</v>
      </c>
      <c r="K183" s="10"/>
      <c r="L183" s="51"/>
      <c r="M183" s="52"/>
      <c r="N183" s="52">
        <v>2462083.8099999996</v>
      </c>
      <c r="O183" s="52">
        <v>1507199.8</v>
      </c>
      <c r="P183" s="52"/>
      <c r="Q183" s="52"/>
      <c r="R183" s="52">
        <v>41914.550000000003</v>
      </c>
      <c r="S183" s="53">
        <v>60691.320000000007</v>
      </c>
      <c r="T183" s="12"/>
      <c r="U183" s="11"/>
      <c r="V183" s="45"/>
      <c r="W183" s="45"/>
    </row>
    <row r="184" spans="1:25" s="3" customFormat="1" ht="12.75">
      <c r="A184" s="87"/>
      <c r="B184" s="28" t="s">
        <v>45</v>
      </c>
      <c r="C184" s="28"/>
      <c r="D184" s="28"/>
      <c r="E184" s="28"/>
      <c r="F184" s="28"/>
      <c r="G184" s="28"/>
      <c r="H184" s="28" t="s">
        <v>73</v>
      </c>
      <c r="J184" s="9">
        <f t="shared" si="28"/>
        <v>2367143.5885749459</v>
      </c>
      <c r="K184" s="10"/>
      <c r="L184" s="51">
        <v>24778.683669978891</v>
      </c>
      <c r="M184" s="52">
        <v>65739.98</v>
      </c>
      <c r="N184" s="52">
        <v>1206669.24</v>
      </c>
      <c r="O184" s="52">
        <v>161640.20999999996</v>
      </c>
      <c r="P184" s="52">
        <v>21240</v>
      </c>
      <c r="Q184" s="52">
        <v>703206.21490496746</v>
      </c>
      <c r="R184" s="52">
        <v>18067.629999999994</v>
      </c>
      <c r="S184" s="53">
        <v>165801.63</v>
      </c>
      <c r="T184" s="12"/>
      <c r="U184" s="11"/>
      <c r="V184" s="45"/>
      <c r="W184" s="45"/>
    </row>
    <row r="185" spans="1:25" s="3" customFormat="1" ht="12.75">
      <c r="A185" s="87"/>
      <c r="B185" s="28" t="s">
        <v>66</v>
      </c>
      <c r="C185" s="28"/>
      <c r="D185" s="28"/>
      <c r="E185" s="28"/>
      <c r="F185" s="28"/>
      <c r="G185" s="28"/>
      <c r="H185" s="28" t="s">
        <v>73</v>
      </c>
      <c r="J185" s="9">
        <f t="shared" si="28"/>
        <v>391172.44</v>
      </c>
      <c r="K185" s="10"/>
      <c r="L185" s="51"/>
      <c r="M185" s="52"/>
      <c r="N185" s="52">
        <v>0</v>
      </c>
      <c r="O185" s="52">
        <v>385100</v>
      </c>
      <c r="P185" s="52">
        <v>3155.34</v>
      </c>
      <c r="Q185" s="52"/>
      <c r="R185" s="52"/>
      <c r="S185" s="53">
        <v>2917.1</v>
      </c>
      <c r="T185" s="12"/>
      <c r="U185" s="11"/>
      <c r="V185" s="45"/>
      <c r="W185" s="45"/>
    </row>
    <row r="186" spans="1:25" s="3" customFormat="1" ht="12.75">
      <c r="A186" s="87"/>
      <c r="B186" s="28" t="s">
        <v>50</v>
      </c>
      <c r="C186" s="28"/>
      <c r="D186" s="28"/>
      <c r="E186" s="28"/>
      <c r="F186" s="28"/>
      <c r="G186" s="28"/>
      <c r="H186" s="28" t="s">
        <v>73</v>
      </c>
      <c r="J186" s="9">
        <f t="shared" si="28"/>
        <v>22601365.467078578</v>
      </c>
      <c r="K186" s="10"/>
      <c r="L186" s="51"/>
      <c r="M186" s="52">
        <v>400000</v>
      </c>
      <c r="N186" s="52">
        <v>20746781.200326569</v>
      </c>
      <c r="O186" s="52">
        <v>1106816.99675201</v>
      </c>
      <c r="P186" s="52"/>
      <c r="Q186" s="52">
        <v>347767.27</v>
      </c>
      <c r="R186" s="52"/>
      <c r="S186" s="53">
        <v>0</v>
      </c>
      <c r="T186" s="12"/>
      <c r="U186" s="11"/>
      <c r="V186" s="45"/>
      <c r="W186" s="45"/>
    </row>
    <row r="187" spans="1:25" s="3" customFormat="1" ht="12.75">
      <c r="A187" s="87"/>
      <c r="B187" s="28" t="s">
        <v>51</v>
      </c>
      <c r="C187" s="28"/>
      <c r="D187" s="28"/>
      <c r="E187" s="28"/>
      <c r="F187" s="28"/>
      <c r="G187" s="28"/>
      <c r="H187" s="28" t="s">
        <v>73</v>
      </c>
      <c r="J187" s="9">
        <f t="shared" si="28"/>
        <v>475989.77344360156</v>
      </c>
      <c r="K187" s="10"/>
      <c r="L187" s="51"/>
      <c r="M187" s="52"/>
      <c r="N187" s="52"/>
      <c r="O187" s="52"/>
      <c r="P187" s="52"/>
      <c r="Q187" s="52">
        <v>475989.77344360156</v>
      </c>
      <c r="R187" s="52"/>
      <c r="S187" s="53">
        <v>0</v>
      </c>
      <c r="T187" s="12"/>
      <c r="U187" s="11"/>
      <c r="V187" s="45"/>
      <c r="W187" s="45"/>
    </row>
    <row r="188" spans="1:25" s="3" customFormat="1" ht="12.75">
      <c r="A188" s="87"/>
      <c r="B188" s="28" t="s">
        <v>52</v>
      </c>
      <c r="C188" s="28"/>
      <c r="D188" s="28"/>
      <c r="E188" s="28"/>
      <c r="F188" s="28"/>
      <c r="G188" s="28"/>
      <c r="H188" s="28" t="s">
        <v>73</v>
      </c>
      <c r="J188" s="9">
        <f t="shared" si="28"/>
        <v>2877058.1440973096</v>
      </c>
      <c r="K188" s="10"/>
      <c r="L188" s="51"/>
      <c r="M188" s="52"/>
      <c r="N188" s="52"/>
      <c r="O188" s="52"/>
      <c r="P188" s="52"/>
      <c r="Q188" s="52">
        <v>2877058.1440973096</v>
      </c>
      <c r="R188" s="52"/>
      <c r="S188" s="53">
        <v>0</v>
      </c>
      <c r="T188" s="12"/>
      <c r="U188" s="11"/>
      <c r="V188" s="45"/>
      <c r="W188" s="45"/>
    </row>
    <row r="189" spans="1:25" s="3" customFormat="1" ht="12.75">
      <c r="A189" s="87"/>
      <c r="B189" s="28" t="s">
        <v>53</v>
      </c>
      <c r="C189" s="28"/>
      <c r="D189" s="28"/>
      <c r="E189" s="28"/>
      <c r="F189" s="28"/>
      <c r="G189" s="28"/>
      <c r="H189" s="28" t="s">
        <v>73</v>
      </c>
      <c r="J189" s="9">
        <f t="shared" si="28"/>
        <v>0</v>
      </c>
      <c r="K189" s="10"/>
      <c r="L189" s="51"/>
      <c r="M189" s="52"/>
      <c r="N189" s="52"/>
      <c r="O189" s="52"/>
      <c r="P189" s="52"/>
      <c r="Q189" s="52"/>
      <c r="R189" s="52"/>
      <c r="S189" s="53">
        <v>0</v>
      </c>
      <c r="T189" s="12"/>
      <c r="U189" s="11"/>
      <c r="V189" s="45"/>
      <c r="W189" s="45"/>
    </row>
    <row r="190" spans="1:25" s="3" customFormat="1" ht="12.75">
      <c r="A190" s="87"/>
      <c r="B190" s="28" t="s">
        <v>54</v>
      </c>
      <c r="C190" s="28"/>
      <c r="D190" s="28"/>
      <c r="E190" s="28"/>
      <c r="F190" s="28"/>
      <c r="G190" s="28"/>
      <c r="H190" s="28" t="s">
        <v>73</v>
      </c>
      <c r="J190" s="9">
        <f t="shared" si="28"/>
        <v>0</v>
      </c>
      <c r="K190" s="10"/>
      <c r="L190" s="54"/>
      <c r="M190" s="55"/>
      <c r="N190" s="55"/>
      <c r="O190" s="55"/>
      <c r="P190" s="55"/>
      <c r="Q190" s="55"/>
      <c r="R190" s="55"/>
      <c r="S190" s="56">
        <v>0</v>
      </c>
      <c r="T190" s="12"/>
      <c r="U190" s="11"/>
      <c r="V190" s="45"/>
      <c r="W190" s="45"/>
    </row>
    <row r="191" spans="1:25" s="3" customFormat="1" ht="12.75">
      <c r="A191" s="87"/>
      <c r="B191" s="28"/>
      <c r="C191" s="28"/>
      <c r="D191" s="28"/>
      <c r="E191" s="28"/>
      <c r="F191" s="28"/>
      <c r="G191" s="28"/>
      <c r="H191" s="28"/>
      <c r="T191" s="71"/>
    </row>
    <row r="192" spans="1:25" s="3" customFormat="1" ht="12.75">
      <c r="A192" s="87"/>
      <c r="B192" s="28" t="s">
        <v>46</v>
      </c>
      <c r="C192" s="28"/>
      <c r="D192" s="28"/>
      <c r="E192" s="28"/>
      <c r="F192" s="28"/>
      <c r="G192" s="28"/>
      <c r="H192" s="28" t="s">
        <v>73</v>
      </c>
      <c r="J192" s="9">
        <f>SUM(L192:S192)</f>
        <v>82246848.999726638</v>
      </c>
      <c r="K192" s="10"/>
      <c r="L192" s="9">
        <f>SUM(L180:L190)</f>
        <v>51953.444741689891</v>
      </c>
      <c r="M192" s="9">
        <f>SUM(M180:M190)</f>
        <v>2001440.2909090891</v>
      </c>
      <c r="N192" s="9">
        <f t="shared" ref="N192:V192" si="29">SUM(N180:N190)</f>
        <v>41510256.213962927</v>
      </c>
      <c r="O192" s="9">
        <f t="shared" si="29"/>
        <v>22682445.617667042</v>
      </c>
      <c r="P192" s="9">
        <f t="shared" si="29"/>
        <v>69152.84</v>
      </c>
      <c r="Q192" s="9">
        <f t="shared" si="29"/>
        <v>14362355.052445877</v>
      </c>
      <c r="R192" s="9">
        <f t="shared" si="29"/>
        <v>783337.78000000154</v>
      </c>
      <c r="S192" s="9">
        <f>SUM(S180:S190)</f>
        <v>785907.76</v>
      </c>
      <c r="T192" s="12"/>
      <c r="U192" s="9">
        <f t="shared" si="29"/>
        <v>1044222.9</v>
      </c>
      <c r="V192" s="9">
        <f t="shared" si="29"/>
        <v>0</v>
      </c>
      <c r="W192" s="9">
        <f t="shared" ref="W192" si="30">SUM(W180:W190)</f>
        <v>0</v>
      </c>
    </row>
    <row r="193" spans="1:23" s="3" customFormat="1" ht="12.75">
      <c r="A193" s="87"/>
      <c r="T193" s="71"/>
    </row>
    <row r="194" spans="1:23" s="3" customFormat="1" ht="12.75">
      <c r="A194" s="87"/>
      <c r="B194" s="27"/>
      <c r="C194" s="28"/>
      <c r="D194" s="28"/>
      <c r="E194" s="28"/>
      <c r="F194" s="28"/>
      <c r="G194" s="28"/>
      <c r="H194" s="28"/>
      <c r="T194" s="71"/>
    </row>
    <row r="195" spans="1:23" s="3" customFormat="1" ht="12.75">
      <c r="A195" s="87"/>
      <c r="B195" s="27" t="s">
        <v>211</v>
      </c>
      <c r="C195" s="28"/>
      <c r="D195" s="28"/>
      <c r="E195" s="28"/>
      <c r="F195" s="28"/>
      <c r="G195" s="28"/>
      <c r="H195" s="28"/>
      <c r="T195" s="71"/>
    </row>
    <row r="196" spans="1:23" s="3" customFormat="1" ht="12.75">
      <c r="A196" s="87"/>
      <c r="B196" s="28" t="s">
        <v>62</v>
      </c>
      <c r="C196" s="28"/>
      <c r="D196" s="28"/>
      <c r="E196" s="28"/>
      <c r="F196" s="28"/>
      <c r="G196" s="28"/>
      <c r="H196" s="28" t="s">
        <v>73</v>
      </c>
      <c r="J196" s="9">
        <f t="shared" ref="J196:J206" si="31">SUM(L196:S196)</f>
        <v>9878508.7399999984</v>
      </c>
      <c r="K196" s="10"/>
      <c r="L196" s="57"/>
      <c r="M196" s="58"/>
      <c r="N196" s="58">
        <v>2213985.5700000003</v>
      </c>
      <c r="O196" s="58">
        <v>5602391.6099999985</v>
      </c>
      <c r="P196" s="58"/>
      <c r="Q196" s="58">
        <v>1736402.5299999996</v>
      </c>
      <c r="R196" s="58"/>
      <c r="S196" s="59">
        <v>325729.03000000003</v>
      </c>
      <c r="T196" s="12"/>
      <c r="U196" s="11"/>
      <c r="V196" s="45"/>
      <c r="W196" s="45"/>
    </row>
    <row r="197" spans="1:23" s="3" customFormat="1" ht="12.75">
      <c r="A197" s="87"/>
      <c r="B197" s="28" t="s">
        <v>63</v>
      </c>
      <c r="C197" s="28"/>
      <c r="D197" s="28"/>
      <c r="E197" s="28"/>
      <c r="F197" s="28"/>
      <c r="G197" s="28"/>
      <c r="H197" s="28" t="s">
        <v>73</v>
      </c>
      <c r="J197" s="9">
        <f t="shared" si="31"/>
        <v>27096359.867252171</v>
      </c>
      <c r="K197" s="10"/>
      <c r="L197" s="51">
        <v>31882.650717975954</v>
      </c>
      <c r="M197" s="52">
        <v>543181.05000000005</v>
      </c>
      <c r="N197" s="52">
        <v>11533672.229999999</v>
      </c>
      <c r="O197" s="52">
        <v>11159801.140000001</v>
      </c>
      <c r="P197" s="52">
        <v>44757.5</v>
      </c>
      <c r="Q197" s="52">
        <v>2900499.4699999997</v>
      </c>
      <c r="R197" s="52">
        <v>651797.14653419843</v>
      </c>
      <c r="S197" s="53">
        <v>230768.68</v>
      </c>
      <c r="T197" s="12"/>
      <c r="U197" s="11"/>
      <c r="V197" s="45"/>
      <c r="W197" s="45"/>
    </row>
    <row r="198" spans="1:23" s="3" customFormat="1" ht="12.75">
      <c r="A198" s="87"/>
      <c r="B198" s="28" t="s">
        <v>64</v>
      </c>
      <c r="C198" s="28"/>
      <c r="D198" s="28"/>
      <c r="E198" s="28"/>
      <c r="F198" s="28"/>
      <c r="G198" s="28"/>
      <c r="H198" s="28" t="s">
        <v>73</v>
      </c>
      <c r="J198" s="9">
        <f t="shared" si="31"/>
        <v>3453186.0680384301</v>
      </c>
      <c r="K198" s="10"/>
      <c r="L198" s="51"/>
      <c r="M198" s="52">
        <v>200000</v>
      </c>
      <c r="N198" s="52">
        <v>669412.83272727276</v>
      </c>
      <c r="O198" s="52">
        <v>856395.26718052709</v>
      </c>
      <c r="P198" s="52"/>
      <c r="Q198" s="52">
        <v>1720529.2081306307</v>
      </c>
      <c r="R198" s="52">
        <v>6848.76</v>
      </c>
      <c r="S198" s="53">
        <v>0</v>
      </c>
      <c r="T198" s="12"/>
      <c r="U198" s="65">
        <v>1044222.9</v>
      </c>
      <c r="V198" s="45"/>
      <c r="W198" s="45"/>
    </row>
    <row r="199" spans="1:23" s="3" customFormat="1" ht="12.75">
      <c r="A199" s="87"/>
      <c r="B199" s="28" t="s">
        <v>65</v>
      </c>
      <c r="C199" s="28"/>
      <c r="D199" s="28"/>
      <c r="E199" s="28"/>
      <c r="F199" s="28"/>
      <c r="G199" s="28"/>
      <c r="H199" s="28" t="s">
        <v>73</v>
      </c>
      <c r="J199" s="9">
        <f t="shared" si="31"/>
        <v>4068104.0622889036</v>
      </c>
      <c r="K199" s="10"/>
      <c r="L199" s="51"/>
      <c r="M199" s="52"/>
      <c r="N199" s="52">
        <v>2462083.8099999996</v>
      </c>
      <c r="O199" s="52">
        <v>1507199.8</v>
      </c>
      <c r="P199" s="52"/>
      <c r="Q199" s="52"/>
      <c r="R199" s="52">
        <v>38129.132288904504</v>
      </c>
      <c r="S199" s="53">
        <v>60691.320000000007</v>
      </c>
      <c r="T199" s="12"/>
      <c r="U199" s="11"/>
      <c r="V199" s="45"/>
      <c r="W199" s="45"/>
    </row>
    <row r="200" spans="1:23" s="3" customFormat="1" ht="12.75">
      <c r="A200" s="87"/>
      <c r="B200" s="28" t="s">
        <v>45</v>
      </c>
      <c r="C200" s="28"/>
      <c r="D200" s="28"/>
      <c r="E200" s="28"/>
      <c r="F200" s="28"/>
      <c r="G200" s="28"/>
      <c r="H200" s="28" t="s">
        <v>73</v>
      </c>
      <c r="J200" s="9">
        <f t="shared" si="31"/>
        <v>2419046.1049049674</v>
      </c>
      <c r="K200" s="10"/>
      <c r="L200" s="51">
        <v>76681.200000000026</v>
      </c>
      <c r="M200" s="52">
        <v>65739.98</v>
      </c>
      <c r="N200" s="52">
        <v>1206669.24</v>
      </c>
      <c r="O200" s="52">
        <v>161640.20999999996</v>
      </c>
      <c r="P200" s="52">
        <v>21240</v>
      </c>
      <c r="Q200" s="52">
        <v>703206.21490496746</v>
      </c>
      <c r="R200" s="52">
        <v>18067.629999999994</v>
      </c>
      <c r="S200" s="53">
        <v>165801.63</v>
      </c>
      <c r="T200" s="12"/>
      <c r="U200" s="11"/>
      <c r="V200" s="45"/>
      <c r="W200" s="45"/>
    </row>
    <row r="201" spans="1:23" s="3" customFormat="1" ht="12.75">
      <c r="A201" s="87"/>
      <c r="B201" s="28" t="s">
        <v>66</v>
      </c>
      <c r="C201" s="28"/>
      <c r="D201" s="28"/>
      <c r="E201" s="28"/>
      <c r="F201" s="28"/>
      <c r="G201" s="28"/>
      <c r="H201" s="28" t="s">
        <v>73</v>
      </c>
      <c r="J201" s="9">
        <f t="shared" si="31"/>
        <v>388017.1</v>
      </c>
      <c r="K201" s="10"/>
      <c r="L201" s="51"/>
      <c r="M201" s="52"/>
      <c r="N201" s="52"/>
      <c r="O201" s="52">
        <v>385100</v>
      </c>
      <c r="P201" s="52"/>
      <c r="Q201" s="52"/>
      <c r="R201" s="52"/>
      <c r="S201" s="53">
        <v>2917.1</v>
      </c>
      <c r="T201" s="12"/>
      <c r="U201" s="11"/>
      <c r="V201" s="45"/>
      <c r="W201" s="45"/>
    </row>
    <row r="202" spans="1:23" s="3" customFormat="1" ht="12.75">
      <c r="A202" s="87"/>
      <c r="B202" s="28" t="s">
        <v>50</v>
      </c>
      <c r="C202" s="28"/>
      <c r="D202" s="28"/>
      <c r="E202" s="28"/>
      <c r="F202" s="28"/>
      <c r="G202" s="28"/>
      <c r="H202" s="28" t="s">
        <v>73</v>
      </c>
      <c r="J202" s="9">
        <f t="shared" si="31"/>
        <v>21494548.470326569</v>
      </c>
      <c r="K202" s="10"/>
      <c r="L202" s="51"/>
      <c r="M202" s="52">
        <v>400000</v>
      </c>
      <c r="N202" s="52">
        <v>20746781.200326569</v>
      </c>
      <c r="O202" s="52"/>
      <c r="P202" s="52"/>
      <c r="Q202" s="52">
        <v>347767.27</v>
      </c>
      <c r="R202" s="52"/>
      <c r="S202" s="53">
        <v>0</v>
      </c>
      <c r="T202" s="12"/>
      <c r="U202" s="11"/>
      <c r="V202" s="45"/>
      <c r="W202" s="45"/>
    </row>
    <row r="203" spans="1:23" s="3" customFormat="1" ht="12.75">
      <c r="A203" s="87"/>
      <c r="B203" s="28" t="s">
        <v>51</v>
      </c>
      <c r="C203" s="28"/>
      <c r="D203" s="28"/>
      <c r="E203" s="28"/>
      <c r="F203" s="28"/>
      <c r="G203" s="28"/>
      <c r="H203" s="28" t="s">
        <v>73</v>
      </c>
      <c r="J203" s="9">
        <f t="shared" si="31"/>
        <v>475989.77344360156</v>
      </c>
      <c r="K203" s="10"/>
      <c r="L203" s="51"/>
      <c r="M203" s="52"/>
      <c r="N203" s="52"/>
      <c r="O203" s="52"/>
      <c r="P203" s="52"/>
      <c r="Q203" s="52">
        <v>475989.77344360156</v>
      </c>
      <c r="R203" s="52"/>
      <c r="S203" s="53">
        <v>0</v>
      </c>
      <c r="T203" s="12"/>
      <c r="U203" s="11"/>
      <c r="V203" s="45"/>
      <c r="W203" s="45"/>
    </row>
    <row r="204" spans="1:23" s="3" customFormat="1" ht="12.75">
      <c r="A204" s="87"/>
      <c r="B204" s="28" t="s">
        <v>52</v>
      </c>
      <c r="C204" s="28"/>
      <c r="D204" s="28"/>
      <c r="E204" s="28"/>
      <c r="F204" s="28"/>
      <c r="G204" s="28"/>
      <c r="H204" s="28" t="s">
        <v>73</v>
      </c>
      <c r="J204" s="9">
        <f t="shared" si="31"/>
        <v>2877058.1440973096</v>
      </c>
      <c r="K204" s="10"/>
      <c r="L204" s="51"/>
      <c r="M204" s="52"/>
      <c r="N204" s="52"/>
      <c r="O204" s="52"/>
      <c r="P204" s="52"/>
      <c r="Q204" s="52">
        <v>2877058.1440973096</v>
      </c>
      <c r="R204" s="52"/>
      <c r="S204" s="53">
        <v>0</v>
      </c>
      <c r="T204" s="12"/>
      <c r="U204" s="11"/>
      <c r="V204" s="45"/>
      <c r="W204" s="45"/>
    </row>
    <row r="205" spans="1:23" s="3" customFormat="1" ht="12.75">
      <c r="A205" s="87"/>
      <c r="B205" s="28" t="s">
        <v>53</v>
      </c>
      <c r="C205" s="28"/>
      <c r="D205" s="28"/>
      <c r="E205" s="28"/>
      <c r="F205" s="28"/>
      <c r="G205" s="28"/>
      <c r="H205" s="28" t="s">
        <v>73</v>
      </c>
      <c r="J205" s="9">
        <f t="shared" si="31"/>
        <v>0</v>
      </c>
      <c r="K205" s="10"/>
      <c r="L205" s="51"/>
      <c r="M205" s="52"/>
      <c r="N205" s="52"/>
      <c r="O205" s="52"/>
      <c r="P205" s="52"/>
      <c r="Q205" s="52"/>
      <c r="R205" s="52"/>
      <c r="S205" s="53">
        <v>0</v>
      </c>
      <c r="T205" s="12"/>
      <c r="U205" s="11"/>
      <c r="V205" s="45"/>
      <c r="W205" s="45"/>
    </row>
    <row r="206" spans="1:23" s="3" customFormat="1" ht="12.75">
      <c r="A206" s="87"/>
      <c r="B206" s="28" t="s">
        <v>54</v>
      </c>
      <c r="C206" s="28"/>
      <c r="D206" s="28"/>
      <c r="E206" s="28"/>
      <c r="F206" s="28"/>
      <c r="G206" s="28"/>
      <c r="H206" s="28" t="s">
        <v>73</v>
      </c>
      <c r="J206" s="9">
        <f t="shared" si="31"/>
        <v>0</v>
      </c>
      <c r="K206" s="10"/>
      <c r="L206" s="54"/>
      <c r="M206" s="55"/>
      <c r="N206" s="55">
        <v>0</v>
      </c>
      <c r="O206" s="55"/>
      <c r="P206" s="55"/>
      <c r="Q206" s="55"/>
      <c r="R206" s="55"/>
      <c r="S206" s="56">
        <v>0</v>
      </c>
      <c r="T206" s="12"/>
      <c r="U206" s="11"/>
      <c r="V206" s="45"/>
      <c r="W206" s="45"/>
    </row>
    <row r="207" spans="1:23" s="3" customFormat="1" ht="12.75">
      <c r="A207" s="87"/>
      <c r="B207" s="28"/>
      <c r="C207" s="28"/>
      <c r="D207" s="28"/>
      <c r="E207" s="28"/>
      <c r="F207" s="28"/>
      <c r="G207" s="28"/>
      <c r="H207" s="28"/>
      <c r="T207" s="71"/>
    </row>
    <row r="208" spans="1:23" s="3" customFormat="1" ht="12.75">
      <c r="A208" s="87"/>
      <c r="B208" s="28" t="s">
        <v>46</v>
      </c>
      <c r="C208" s="28"/>
      <c r="D208" s="28"/>
      <c r="E208" s="28"/>
      <c r="F208" s="28"/>
      <c r="G208" s="28"/>
      <c r="H208" s="28" t="s">
        <v>73</v>
      </c>
      <c r="J208" s="9">
        <f>SUM(L208:S208)</f>
        <v>72150818.330351964</v>
      </c>
      <c r="K208" s="10"/>
      <c r="L208" s="9">
        <f>SUM(L196:L206)</f>
        <v>108563.85071797598</v>
      </c>
      <c r="M208" s="9">
        <f>SUM(M196:M206)</f>
        <v>1208921.03</v>
      </c>
      <c r="N208" s="9">
        <f t="shared" ref="N208:V208" si="32">SUM(N196:N206)</f>
        <v>38832604.883053839</v>
      </c>
      <c r="O208" s="9">
        <f t="shared" si="32"/>
        <v>19672528.02718053</v>
      </c>
      <c r="P208" s="9">
        <f t="shared" si="32"/>
        <v>65997.5</v>
      </c>
      <c r="Q208" s="9">
        <f t="shared" si="32"/>
        <v>10761452.610576509</v>
      </c>
      <c r="R208" s="9">
        <f t="shared" si="32"/>
        <v>714842.66882310295</v>
      </c>
      <c r="S208" s="9">
        <f>SUM(S196:S206)</f>
        <v>785907.76</v>
      </c>
      <c r="T208" s="12"/>
      <c r="U208" s="9">
        <f t="shared" si="32"/>
        <v>1044222.9</v>
      </c>
      <c r="V208" s="9">
        <f t="shared" si="32"/>
        <v>0</v>
      </c>
      <c r="W208" s="9">
        <f t="shared" ref="W208" si="33">SUM(W196:W206)</f>
        <v>0</v>
      </c>
    </row>
    <row r="209" spans="1:23" s="3" customFormat="1" ht="12.75">
      <c r="A209" s="87"/>
      <c r="T209" s="71"/>
    </row>
    <row r="210" spans="1:23" s="3" customFormat="1" ht="12.75">
      <c r="A210" s="87"/>
      <c r="T210" s="71"/>
    </row>
    <row r="211" spans="1:23" s="3" customFormat="1" ht="12.75">
      <c r="A211" s="87"/>
      <c r="B211" s="27" t="s">
        <v>213</v>
      </c>
      <c r="C211" s="28"/>
      <c r="D211" s="28"/>
      <c r="E211" s="28"/>
      <c r="F211" s="28"/>
      <c r="G211" s="28"/>
      <c r="H211" s="28"/>
      <c r="T211" s="71"/>
    </row>
    <row r="212" spans="1:23" s="3" customFormat="1" ht="12.75">
      <c r="A212" s="87"/>
      <c r="B212" s="28" t="s">
        <v>41</v>
      </c>
      <c r="C212" s="28"/>
      <c r="D212" s="28"/>
      <c r="E212" s="28"/>
      <c r="F212" s="28"/>
      <c r="G212" s="28"/>
      <c r="H212" s="28" t="s">
        <v>73</v>
      </c>
      <c r="J212" s="9">
        <f t="shared" ref="J212:J220" si="34">SUM(L212:S212)</f>
        <v>7199760.1409999998</v>
      </c>
      <c r="K212" s="10"/>
      <c r="L212" s="57">
        <v>49854.700000000004</v>
      </c>
      <c r="M212" s="58">
        <v>165774.22099999999</v>
      </c>
      <c r="N212" s="58">
        <v>3386281.27</v>
      </c>
      <c r="O212" s="58">
        <v>1082847.56</v>
      </c>
      <c r="P212" s="58">
        <v>19329.93</v>
      </c>
      <c r="Q212" s="58">
        <v>2256149.7800000003</v>
      </c>
      <c r="R212" s="58">
        <v>8746.9599999999991</v>
      </c>
      <c r="S212" s="59">
        <v>230775.72</v>
      </c>
      <c r="T212" s="12"/>
      <c r="U212" s="11"/>
      <c r="V212" s="45"/>
      <c r="W212" s="45"/>
    </row>
    <row r="213" spans="1:23" s="3" customFormat="1" ht="12.75">
      <c r="A213" s="87"/>
      <c r="B213" s="28" t="s">
        <v>43</v>
      </c>
      <c r="C213" s="28"/>
      <c r="D213" s="28"/>
      <c r="E213" s="28"/>
      <c r="F213" s="28"/>
      <c r="G213" s="28"/>
      <c r="H213" s="28" t="s">
        <v>73</v>
      </c>
      <c r="J213" s="9">
        <f t="shared" si="34"/>
        <v>2994679.4779570331</v>
      </c>
      <c r="K213" s="10"/>
      <c r="L213" s="51">
        <v>40627.070000000007</v>
      </c>
      <c r="M213" s="52">
        <v>8724.9590000000007</v>
      </c>
      <c r="N213" s="52">
        <v>1022762.0834011481</v>
      </c>
      <c r="O213" s="52">
        <v>214000.08555588452</v>
      </c>
      <c r="P213" s="52"/>
      <c r="Q213" s="52">
        <v>1571421.2900000003</v>
      </c>
      <c r="R213" s="52">
        <v>3040</v>
      </c>
      <c r="S213" s="53">
        <v>134103.99000000002</v>
      </c>
      <c r="T213" s="12"/>
      <c r="U213" s="11"/>
      <c r="V213" s="45"/>
      <c r="W213" s="45"/>
    </row>
    <row r="214" spans="1:23" s="3" customFormat="1" ht="12.75">
      <c r="A214" s="87"/>
      <c r="B214" s="28" t="s">
        <v>48</v>
      </c>
      <c r="C214" s="28"/>
      <c r="D214" s="28"/>
      <c r="E214" s="28"/>
      <c r="F214" s="28"/>
      <c r="G214" s="28"/>
      <c r="H214" s="28" t="s">
        <v>73</v>
      </c>
      <c r="J214" s="9">
        <f t="shared" si="34"/>
        <v>8700213.4485382512</v>
      </c>
      <c r="K214" s="10"/>
      <c r="L214" s="51">
        <v>23488.66</v>
      </c>
      <c r="M214" s="52">
        <v>211827.61853825234</v>
      </c>
      <c r="N214" s="52">
        <v>3700179.8</v>
      </c>
      <c r="O214" s="52">
        <v>2490048.2799999998</v>
      </c>
      <c r="P214" s="52">
        <v>33984.379999999997</v>
      </c>
      <c r="Q214" s="52">
        <v>2141183.9400000013</v>
      </c>
      <c r="R214" s="52">
        <v>31182.52</v>
      </c>
      <c r="S214" s="53">
        <v>68318.250000000015</v>
      </c>
      <c r="T214" s="12"/>
      <c r="U214" s="11"/>
      <c r="V214" s="45"/>
      <c r="W214" s="45"/>
    </row>
    <row r="215" spans="1:23" s="3" customFormat="1" ht="12.75">
      <c r="A215" s="87"/>
      <c r="B215" s="28" t="s">
        <v>49</v>
      </c>
      <c r="C215" s="28"/>
      <c r="D215" s="28"/>
      <c r="E215" s="28"/>
      <c r="F215" s="28"/>
      <c r="G215" s="28"/>
      <c r="H215" s="28" t="s">
        <v>73</v>
      </c>
      <c r="J215" s="9">
        <f t="shared" si="34"/>
        <v>1610004.7152832486</v>
      </c>
      <c r="K215" s="10"/>
      <c r="L215" s="51"/>
      <c r="M215" s="52">
        <v>0</v>
      </c>
      <c r="N215" s="52">
        <v>0</v>
      </c>
      <c r="O215" s="52">
        <v>126493.73993017653</v>
      </c>
      <c r="P215" s="52">
        <v>8094.38</v>
      </c>
      <c r="Q215" s="52">
        <v>1472700.7803530721</v>
      </c>
      <c r="R215" s="52">
        <v>2715.8150000000001</v>
      </c>
      <c r="S215" s="53">
        <v>0</v>
      </c>
      <c r="T215" s="12"/>
      <c r="U215" s="11"/>
      <c r="V215" s="45"/>
      <c r="W215" s="45"/>
    </row>
    <row r="216" spans="1:23" s="3" customFormat="1" ht="12.75">
      <c r="A216" s="87"/>
      <c r="B216" s="28" t="s">
        <v>50</v>
      </c>
      <c r="C216" s="28"/>
      <c r="D216" s="28"/>
      <c r="E216" s="28"/>
      <c r="F216" s="28"/>
      <c r="G216" s="28"/>
      <c r="H216" s="28" t="s">
        <v>73</v>
      </c>
      <c r="J216" s="9">
        <f t="shared" si="34"/>
        <v>95287.689999999988</v>
      </c>
      <c r="K216" s="10"/>
      <c r="L216" s="51"/>
      <c r="M216" s="52"/>
      <c r="N216" s="52">
        <v>0</v>
      </c>
      <c r="O216" s="52">
        <v>125269.63999999998</v>
      </c>
      <c r="P216" s="52">
        <v>1222.57</v>
      </c>
      <c r="Q216" s="52"/>
      <c r="R216" s="52">
        <v>-31204.52</v>
      </c>
      <c r="S216" s="53">
        <v>0</v>
      </c>
      <c r="T216" s="12"/>
      <c r="U216" s="11"/>
      <c r="V216" s="45"/>
      <c r="W216" s="45"/>
    </row>
    <row r="217" spans="1:23" s="3" customFormat="1" ht="12.75">
      <c r="A217" s="87"/>
      <c r="B217" s="28" t="s">
        <v>51</v>
      </c>
      <c r="C217" s="28"/>
      <c r="D217" s="28"/>
      <c r="E217" s="28"/>
      <c r="F217" s="28"/>
      <c r="G217" s="28"/>
      <c r="H217" s="28" t="s">
        <v>73</v>
      </c>
      <c r="J217" s="9">
        <f t="shared" si="34"/>
        <v>2318121.757803279</v>
      </c>
      <c r="K217" s="10"/>
      <c r="L217" s="51"/>
      <c r="M217" s="52"/>
      <c r="N217" s="52">
        <v>0</v>
      </c>
      <c r="O217" s="52">
        <v>2318121.757803279</v>
      </c>
      <c r="P217" s="52"/>
      <c r="Q217" s="52"/>
      <c r="R217" s="52"/>
      <c r="S217" s="53">
        <v>0</v>
      </c>
      <c r="T217" s="12"/>
      <c r="U217" s="11"/>
      <c r="V217" s="45"/>
      <c r="W217" s="45"/>
    </row>
    <row r="218" spans="1:23" s="3" customFormat="1" ht="12.75">
      <c r="A218" s="87"/>
      <c r="B218" s="28" t="s">
        <v>52</v>
      </c>
      <c r="C218" s="28"/>
      <c r="D218" s="28"/>
      <c r="E218" s="28"/>
      <c r="F218" s="28"/>
      <c r="G218" s="28"/>
      <c r="H218" s="28" t="s">
        <v>73</v>
      </c>
      <c r="J218" s="9">
        <f t="shared" si="34"/>
        <v>6237.16</v>
      </c>
      <c r="K218" s="10"/>
      <c r="L218" s="51"/>
      <c r="M218" s="52"/>
      <c r="N218" s="52">
        <v>0</v>
      </c>
      <c r="O218" s="52">
        <v>6237.16</v>
      </c>
      <c r="P218" s="52"/>
      <c r="Q218" s="52"/>
      <c r="R218" s="52"/>
      <c r="S218" s="53">
        <v>0</v>
      </c>
      <c r="T218" s="12"/>
      <c r="U218" s="11"/>
      <c r="V218" s="45"/>
      <c r="W218" s="45"/>
    </row>
    <row r="219" spans="1:23" s="3" customFormat="1" ht="12.75">
      <c r="A219" s="87"/>
      <c r="B219" s="28" t="s">
        <v>53</v>
      </c>
      <c r="C219" s="28"/>
      <c r="D219" s="28"/>
      <c r="E219" s="28"/>
      <c r="F219" s="28"/>
      <c r="G219" s="28"/>
      <c r="H219" s="28" t="s">
        <v>73</v>
      </c>
      <c r="J219" s="9">
        <f t="shared" si="34"/>
        <v>-638382.73</v>
      </c>
      <c r="K219" s="10"/>
      <c r="L219" s="51"/>
      <c r="M219" s="52"/>
      <c r="N219" s="52">
        <v>0</v>
      </c>
      <c r="O219" s="52">
        <v>-638382.73</v>
      </c>
      <c r="P219" s="52"/>
      <c r="Q219" s="52"/>
      <c r="R219" s="52"/>
      <c r="S219" s="53">
        <v>0</v>
      </c>
      <c r="T219" s="12"/>
      <c r="U219" s="11"/>
      <c r="V219" s="45"/>
      <c r="W219" s="45"/>
    </row>
    <row r="220" spans="1:23" s="3" customFormat="1" ht="12.75">
      <c r="A220" s="87"/>
      <c r="B220" s="28" t="s">
        <v>54</v>
      </c>
      <c r="C220" s="28"/>
      <c r="D220" s="28"/>
      <c r="E220" s="28"/>
      <c r="F220" s="28"/>
      <c r="G220" s="28"/>
      <c r="H220" s="28" t="s">
        <v>73</v>
      </c>
      <c r="J220" s="9">
        <f t="shared" si="34"/>
        <v>0</v>
      </c>
      <c r="K220" s="10"/>
      <c r="L220" s="54"/>
      <c r="M220" s="55"/>
      <c r="N220" s="55">
        <v>0</v>
      </c>
      <c r="O220" s="55"/>
      <c r="P220" s="55"/>
      <c r="Q220" s="55"/>
      <c r="R220" s="55"/>
      <c r="S220" s="56">
        <v>0</v>
      </c>
      <c r="T220" s="12"/>
      <c r="U220" s="11"/>
      <c r="V220" s="45"/>
      <c r="W220" s="45"/>
    </row>
    <row r="221" spans="1:23" s="3" customFormat="1" ht="12.75">
      <c r="A221" s="87"/>
      <c r="B221" s="28"/>
      <c r="C221" s="28"/>
      <c r="D221" s="28"/>
      <c r="E221" s="28"/>
      <c r="F221" s="28"/>
      <c r="G221" s="28"/>
      <c r="H221" s="28"/>
      <c r="J221" s="7"/>
      <c r="K221" s="7"/>
      <c r="L221" s="7"/>
      <c r="M221" s="7"/>
      <c r="N221" s="7"/>
      <c r="O221" s="7"/>
      <c r="P221" s="7"/>
      <c r="Q221" s="7"/>
      <c r="R221" s="7"/>
      <c r="S221" s="7"/>
      <c r="T221" s="12"/>
      <c r="U221" s="7"/>
      <c r="V221" s="7"/>
      <c r="W221" s="7"/>
    </row>
    <row r="222" spans="1:23" s="3" customFormat="1" ht="12.75">
      <c r="A222" s="87"/>
      <c r="B222" s="28" t="s">
        <v>46</v>
      </c>
      <c r="C222" s="28"/>
      <c r="D222" s="28"/>
      <c r="E222" s="28"/>
      <c r="F222" s="28"/>
      <c r="G222" s="28"/>
      <c r="H222" s="28" t="s">
        <v>73</v>
      </c>
      <c r="J222" s="9">
        <f>SUM(L222:S222)</f>
        <v>22285921.660581812</v>
      </c>
      <c r="K222" s="10"/>
      <c r="L222" s="9">
        <f>SUM(L212:L220)</f>
        <v>113970.43000000002</v>
      </c>
      <c r="M222" s="9">
        <f t="shared" ref="M222:V222" si="35">SUM(M212:M220)</f>
        <v>386326.79853825236</v>
      </c>
      <c r="N222" s="9">
        <f t="shared" si="35"/>
        <v>8109223.1534011476</v>
      </c>
      <c r="O222" s="9">
        <f t="shared" si="35"/>
        <v>5724635.4932893403</v>
      </c>
      <c r="P222" s="9">
        <f t="shared" si="35"/>
        <v>62631.259999999995</v>
      </c>
      <c r="Q222" s="9">
        <f t="shared" si="35"/>
        <v>7441455.7903530737</v>
      </c>
      <c r="R222" s="9">
        <f t="shared" si="35"/>
        <v>14480.774999999998</v>
      </c>
      <c r="S222" s="9">
        <f>SUM(S212:S220)</f>
        <v>433197.96</v>
      </c>
      <c r="T222" s="71"/>
      <c r="U222" s="9">
        <f t="shared" si="35"/>
        <v>0</v>
      </c>
      <c r="V222" s="9">
        <f t="shared" si="35"/>
        <v>0</v>
      </c>
      <c r="W222" s="9">
        <f t="shared" ref="W222" si="36">SUM(W212:W220)</f>
        <v>0</v>
      </c>
    </row>
    <row r="223" spans="1:23" s="3" customFormat="1" ht="12.75">
      <c r="A223" s="87"/>
      <c r="C223" s="28"/>
      <c r="D223" s="28"/>
      <c r="E223" s="28"/>
      <c r="F223" s="28"/>
      <c r="G223" s="28"/>
      <c r="T223" s="12"/>
    </row>
    <row r="224" spans="1:23" s="3" customFormat="1" ht="12.75">
      <c r="A224" s="87"/>
      <c r="B224" s="28"/>
      <c r="C224" s="29"/>
      <c r="D224" s="28"/>
      <c r="E224" s="28"/>
      <c r="F224" s="28"/>
      <c r="G224" s="28"/>
      <c r="H224" s="28"/>
      <c r="T224" s="71"/>
    </row>
    <row r="225" spans="1:23" s="3" customFormat="1" ht="12.75">
      <c r="A225" s="87"/>
      <c r="B225" s="27" t="s">
        <v>194</v>
      </c>
      <c r="C225" s="29"/>
      <c r="D225" s="28"/>
      <c r="E225" s="28"/>
      <c r="F225" s="28"/>
      <c r="G225" s="28"/>
      <c r="H225" s="28"/>
      <c r="T225" s="71"/>
    </row>
    <row r="226" spans="1:23" s="3" customFormat="1" ht="12.75">
      <c r="A226" s="87"/>
      <c r="B226" s="28" t="s">
        <v>198</v>
      </c>
      <c r="C226" s="29"/>
      <c r="D226" s="28"/>
      <c r="E226" s="28"/>
      <c r="F226" s="28"/>
      <c r="G226" s="28"/>
      <c r="H226" s="28" t="s">
        <v>73</v>
      </c>
      <c r="J226" s="9">
        <f>SUM(L226:S226)</f>
        <v>897716.79999999946</v>
      </c>
      <c r="K226" s="10"/>
      <c r="L226" s="11">
        <v>5311.96</v>
      </c>
      <c r="M226" s="11"/>
      <c r="N226" s="11">
        <v>363201.19999999949</v>
      </c>
      <c r="O226" s="11">
        <v>249285.12999999983</v>
      </c>
      <c r="P226" s="11">
        <v>1241.1600000000001</v>
      </c>
      <c r="Q226" s="11">
        <v>256687.08000000007</v>
      </c>
      <c r="R226" s="11"/>
      <c r="S226" s="11">
        <v>21990.27</v>
      </c>
      <c r="T226" s="71"/>
      <c r="U226" s="11"/>
      <c r="V226" s="45"/>
      <c r="W226" s="45"/>
    </row>
    <row r="227" spans="1:23" s="3" customFormat="1" ht="12.75">
      <c r="A227" s="87"/>
      <c r="T227" s="12"/>
    </row>
    <row r="228" spans="1:23" s="3" customFormat="1" ht="12.75">
      <c r="A228" s="87"/>
      <c r="T228" s="71"/>
    </row>
    <row r="229" spans="1:23" s="3" customFormat="1" ht="12.75">
      <c r="A229" s="87"/>
      <c r="B229" s="27" t="s">
        <v>67</v>
      </c>
      <c r="C229" s="28"/>
      <c r="D229" s="28"/>
      <c r="E229" s="28"/>
      <c r="F229" s="28"/>
      <c r="G229" s="28"/>
      <c r="H229" s="28"/>
      <c r="T229" s="71"/>
    </row>
    <row r="230" spans="1:23" s="3" customFormat="1" ht="12.75">
      <c r="A230" s="87"/>
      <c r="B230" s="28" t="s">
        <v>68</v>
      </c>
      <c r="C230" s="28"/>
      <c r="D230" s="28"/>
      <c r="E230" s="28"/>
      <c r="F230" s="28"/>
      <c r="G230" s="28"/>
      <c r="H230" s="28" t="s">
        <v>73</v>
      </c>
      <c r="J230" s="9">
        <f>SUM(L230:S230)</f>
        <v>630.70001220703125</v>
      </c>
      <c r="K230" s="10"/>
      <c r="L230" s="74">
        <v>0</v>
      </c>
      <c r="M230" s="75">
        <v>0</v>
      </c>
      <c r="N230" s="75">
        <v>0</v>
      </c>
      <c r="O230" s="75">
        <v>0</v>
      </c>
      <c r="P230" s="75">
        <v>630.70001220703125</v>
      </c>
      <c r="Q230" s="75">
        <v>0</v>
      </c>
      <c r="R230" s="75">
        <v>0</v>
      </c>
      <c r="S230" s="76">
        <v>0</v>
      </c>
      <c r="T230" s="71"/>
      <c r="U230" s="11"/>
      <c r="V230" s="45"/>
      <c r="W230" s="45"/>
    </row>
    <row r="231" spans="1:23" s="3" customFormat="1">
      <c r="T231" s="96"/>
    </row>
    <row r="232" spans="1:23" s="3" customFormat="1" ht="12.75"/>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3">
    <tabColor rgb="FFCCFFCC"/>
  </sheetPr>
  <dimension ref="A1:Y139"/>
  <sheetViews>
    <sheetView showGridLines="0" topLeftCell="A2" zoomScale="85" zoomScaleNormal="85" workbookViewId="0">
      <pane xSplit="6" ySplit="6" topLeftCell="G8" activePane="bottomRight" state="frozen"/>
      <selection activeCell="A2" sqref="A2"/>
      <selection pane="topRight" activeCell="E2" sqref="E2"/>
      <selection pane="bottomLeft" activeCell="A6" sqref="A6"/>
      <selection pane="bottomRight" activeCell="G8" sqref="G8"/>
    </sheetView>
  </sheetViews>
  <sheetFormatPr defaultRowHeight="14.25"/>
  <cols>
    <col min="1" max="1" width="2.7109375" style="114" customWidth="1"/>
    <col min="2" max="2" width="43" style="114" bestFit="1" customWidth="1"/>
    <col min="3" max="3" width="3.28515625" style="114" customWidth="1"/>
    <col min="4" max="4" width="16.28515625" style="114" customWidth="1"/>
    <col min="5" max="7" width="3.28515625" style="114" customWidth="1"/>
    <col min="8" max="8" width="14.42578125" style="114" customWidth="1"/>
    <col min="9" max="9" width="3.7109375" style="114" customWidth="1"/>
    <col min="10" max="10" width="16.7109375" style="114" bestFit="1" customWidth="1"/>
    <col min="11" max="11" width="3.7109375" style="114" customWidth="1"/>
    <col min="12" max="13" width="15.5703125" style="114" customWidth="1"/>
    <col min="14" max="14" width="17.7109375" style="114" customWidth="1"/>
    <col min="15" max="19" width="15.5703125" style="114" customWidth="1"/>
    <col min="20" max="20" width="4.28515625" style="114" customWidth="1"/>
    <col min="21" max="23" width="15.5703125" style="114" customWidth="1"/>
    <col min="24" max="16384" width="9.140625" style="114"/>
  </cols>
  <sheetData>
    <row r="1" spans="1:25" s="1" customFormat="1" ht="18" customHeight="1">
      <c r="B1" s="2" t="s">
        <v>82</v>
      </c>
      <c r="W1" s="101"/>
    </row>
    <row r="2" spans="1:25">
      <c r="B2" s="3" t="s">
        <v>350</v>
      </c>
    </row>
    <row r="3" spans="1:25" s="1" customFormat="1" ht="18" customHeight="1">
      <c r="B3" s="2" t="s">
        <v>136</v>
      </c>
      <c r="W3" s="101"/>
    </row>
    <row r="4" spans="1:25" s="15" customFormat="1" ht="18" customHeight="1"/>
    <row r="5" spans="1:25" s="15" customFormat="1" ht="18" customHeight="1">
      <c r="A5" s="88"/>
      <c r="B5" s="15" t="s">
        <v>339</v>
      </c>
    </row>
    <row r="6" spans="1:25" s="15" customFormat="1" ht="18" customHeight="1">
      <c r="B6" s="15" t="s">
        <v>338</v>
      </c>
    </row>
    <row r="7" spans="1:25" s="4" customFormat="1" ht="12.75">
      <c r="D7" s="4" t="s">
        <v>153</v>
      </c>
      <c r="H7" s="4" t="s">
        <v>0</v>
      </c>
      <c r="J7" s="4" t="s">
        <v>1</v>
      </c>
      <c r="L7" s="4" t="s">
        <v>357</v>
      </c>
      <c r="M7" s="4" t="s">
        <v>59</v>
      </c>
      <c r="N7" s="4" t="s">
        <v>228</v>
      </c>
      <c r="O7" s="4" t="s">
        <v>332</v>
      </c>
      <c r="P7" s="4" t="s">
        <v>229</v>
      </c>
      <c r="Q7" s="4" t="s">
        <v>230</v>
      </c>
      <c r="R7" s="4" t="s">
        <v>6</v>
      </c>
      <c r="S7" s="4" t="s">
        <v>26</v>
      </c>
      <c r="U7" s="4" t="s">
        <v>195</v>
      </c>
      <c r="V7" s="4" t="s">
        <v>231</v>
      </c>
      <c r="W7" s="102" t="s">
        <v>331</v>
      </c>
      <c r="Y7" s="4" t="s">
        <v>154</v>
      </c>
    </row>
    <row r="8" spans="1:25" s="3" customFormat="1" ht="12.75"/>
    <row r="9" spans="1:25" s="4" customFormat="1" ht="12.75">
      <c r="A9" s="4" t="s">
        <v>124</v>
      </c>
      <c r="B9" s="4" t="s">
        <v>83</v>
      </c>
      <c r="W9" s="102"/>
    </row>
    <row r="10" spans="1:25" s="3" customFormat="1" ht="12.75"/>
    <row r="11" spans="1:25" s="16" customFormat="1" ht="12.75">
      <c r="A11" s="88"/>
      <c r="B11" s="17" t="s">
        <v>92</v>
      </c>
      <c r="F11" s="3"/>
      <c r="H11" s="3"/>
      <c r="L11" s="48"/>
    </row>
    <row r="12" spans="1:25" s="16" customFormat="1" ht="12.75">
      <c r="A12" s="88"/>
      <c r="B12" s="3" t="s">
        <v>93</v>
      </c>
      <c r="F12" s="3"/>
      <c r="H12" s="3" t="s">
        <v>69</v>
      </c>
      <c r="J12" s="9">
        <f>SUM(L12:S12)</f>
        <v>0</v>
      </c>
      <c r="L12" s="65">
        <v>0</v>
      </c>
      <c r="M12" s="65">
        <v>0</v>
      </c>
      <c r="N12" s="65">
        <v>0</v>
      </c>
      <c r="O12" s="65">
        <v>0</v>
      </c>
      <c r="P12" s="65">
        <v>0</v>
      </c>
      <c r="Q12" s="65">
        <v>0</v>
      </c>
      <c r="R12" s="65">
        <v>0</v>
      </c>
      <c r="S12" s="65">
        <v>0</v>
      </c>
      <c r="T12" s="61"/>
      <c r="U12" s="65">
        <v>0</v>
      </c>
      <c r="V12" s="65">
        <v>0</v>
      </c>
      <c r="W12" s="65">
        <v>0</v>
      </c>
      <c r="Y12" s="30" t="s">
        <v>323</v>
      </c>
    </row>
    <row r="13" spans="1:25" s="16" customFormat="1" ht="12.75">
      <c r="A13" s="88"/>
      <c r="B13" s="3" t="s">
        <v>94</v>
      </c>
      <c r="F13" s="3"/>
      <c r="H13" s="3" t="s">
        <v>69</v>
      </c>
      <c r="J13" s="9">
        <f t="shared" ref="J13:J14" si="0">SUM(L13:S13)</f>
        <v>366557995.49968648</v>
      </c>
      <c r="L13" s="65">
        <v>2343779.8701332882</v>
      </c>
      <c r="M13" s="65">
        <v>9777971.3497460634</v>
      </c>
      <c r="N13" s="65">
        <v>129382155.53805822</v>
      </c>
      <c r="O13" s="65">
        <v>115816320.3470099</v>
      </c>
      <c r="P13" s="65">
        <v>1847261.4322588902</v>
      </c>
      <c r="Q13" s="65">
        <v>97670253.989491433</v>
      </c>
      <c r="R13" s="65">
        <v>3837280.1550218049</v>
      </c>
      <c r="S13" s="65">
        <v>5882972.8179669036</v>
      </c>
      <c r="T13" s="61"/>
      <c r="U13" s="65">
        <v>3647269.2219953872</v>
      </c>
      <c r="V13" s="65">
        <v>100536272.74171679</v>
      </c>
      <c r="W13" s="65">
        <v>116163722.89412554</v>
      </c>
    </row>
    <row r="14" spans="1:25" s="16" customFormat="1" ht="12.75">
      <c r="A14" s="88"/>
      <c r="B14" s="3" t="s">
        <v>95</v>
      </c>
      <c r="F14" s="3"/>
      <c r="H14" s="3" t="s">
        <v>69</v>
      </c>
      <c r="J14" s="9">
        <f t="shared" si="0"/>
        <v>6225637599.413497</v>
      </c>
      <c r="L14" s="65">
        <v>25087605.809630886</v>
      </c>
      <c r="M14" s="65">
        <v>112495281.99330693</v>
      </c>
      <c r="N14" s="65">
        <v>2093474995.6724801</v>
      </c>
      <c r="O14" s="65">
        <v>2288258444.3762717</v>
      </c>
      <c r="P14" s="65">
        <v>12573886.942943569</v>
      </c>
      <c r="Q14" s="65">
        <v>1556619985.4133365</v>
      </c>
      <c r="R14" s="65">
        <v>76982958.73413071</v>
      </c>
      <c r="S14" s="65">
        <v>60144440.471395873</v>
      </c>
      <c r="T14" s="61"/>
      <c r="U14" s="65">
        <v>59014837.764757976</v>
      </c>
      <c r="V14" s="65">
        <v>1602297168.4455764</v>
      </c>
      <c r="W14" s="65">
        <v>2295122302.6792579</v>
      </c>
    </row>
    <row r="15" spans="1:25" s="16" customFormat="1" ht="12.75">
      <c r="A15" s="88"/>
      <c r="B15" s="3"/>
      <c r="F15" s="3"/>
      <c r="H15" s="3"/>
      <c r="T15" s="97"/>
    </row>
    <row r="16" spans="1:25" s="16" customFormat="1" ht="12.75">
      <c r="A16" s="88"/>
      <c r="B16" s="17" t="s">
        <v>96</v>
      </c>
      <c r="F16" s="3"/>
      <c r="H16" s="3"/>
      <c r="T16" s="97"/>
    </row>
    <row r="17" spans="1:23" s="16" customFormat="1" ht="12.75">
      <c r="A17" s="88"/>
      <c r="B17" s="3" t="s">
        <v>97</v>
      </c>
      <c r="F17" s="3"/>
      <c r="H17" s="3" t="s">
        <v>69</v>
      </c>
      <c r="J17" s="9">
        <f>SUM(L17:S17)</f>
        <v>643744357.91251695</v>
      </c>
      <c r="L17" s="66">
        <v>3879809</v>
      </c>
      <c r="M17" s="66">
        <v>21683458.133099999</v>
      </c>
      <c r="N17" s="66">
        <v>218232070.5321669</v>
      </c>
      <c r="O17" s="65">
        <v>191852407.90066698</v>
      </c>
      <c r="P17" s="66">
        <v>1513958.19</v>
      </c>
      <c r="Q17" s="66">
        <v>192084788.50516024</v>
      </c>
      <c r="R17" s="66">
        <v>7311132.0886428747</v>
      </c>
      <c r="S17" s="66">
        <v>7186733.5627800003</v>
      </c>
      <c r="T17" s="98"/>
      <c r="U17" s="66">
        <v>6055643.6778330859</v>
      </c>
      <c r="V17" s="66">
        <v>192162981.66098002</v>
      </c>
      <c r="W17" s="66">
        <v>191852407.90066698</v>
      </c>
    </row>
    <row r="18" spans="1:23" s="16" customFormat="1" ht="12.75">
      <c r="A18" s="88"/>
      <c r="B18" s="3" t="s">
        <v>87</v>
      </c>
      <c r="F18" s="3"/>
      <c r="H18" s="3" t="s">
        <v>69</v>
      </c>
      <c r="J18" s="9">
        <f t="shared" ref="J18:J19" si="1">SUM(L18:S18)</f>
        <v>127602791.5127935</v>
      </c>
      <c r="L18" s="66">
        <v>672327.44455746596</v>
      </c>
      <c r="M18" s="66">
        <v>4331183.7941385573</v>
      </c>
      <c r="N18" s="66">
        <v>54756596.644576967</v>
      </c>
      <c r="O18" s="65">
        <v>28242530.681059711</v>
      </c>
      <c r="P18" s="66">
        <v>882988.92063802795</v>
      </c>
      <c r="Q18" s="66">
        <v>32447768.650195464</v>
      </c>
      <c r="R18" s="66">
        <v>4700510.8441525809</v>
      </c>
      <c r="S18" s="66">
        <v>1568884.5334747354</v>
      </c>
      <c r="T18" s="98"/>
      <c r="U18" s="66">
        <v>1231923.9875332727</v>
      </c>
      <c r="V18" s="66">
        <v>33547241.928423554</v>
      </c>
      <c r="W18" s="66">
        <v>28282913.589619711</v>
      </c>
    </row>
    <row r="19" spans="1:23" s="16" customFormat="1" ht="12.75">
      <c r="A19" s="88"/>
      <c r="B19" s="3" t="s">
        <v>98</v>
      </c>
      <c r="F19" s="3"/>
      <c r="H19" s="3" t="s">
        <v>69</v>
      </c>
      <c r="J19" s="9">
        <f t="shared" si="1"/>
        <v>3989549800.9897051</v>
      </c>
      <c r="L19" s="66">
        <v>29270115.745521598</v>
      </c>
      <c r="M19" s="66">
        <v>138468543.56900856</v>
      </c>
      <c r="N19" s="66">
        <v>1264604025.1252794</v>
      </c>
      <c r="O19" s="65">
        <v>1132969033.6083782</v>
      </c>
      <c r="P19" s="66">
        <v>20720366.479009826</v>
      </c>
      <c r="Q19" s="66">
        <v>1197116063.0027897</v>
      </c>
      <c r="R19" s="66">
        <v>167193758.77006823</v>
      </c>
      <c r="S19" s="66">
        <v>39207894.689649515</v>
      </c>
      <c r="T19" s="98"/>
      <c r="U19" s="66">
        <v>49501866.345757455</v>
      </c>
      <c r="V19" s="66">
        <v>1244891453.0362003</v>
      </c>
      <c r="W19" s="66">
        <v>1134927604.6735382</v>
      </c>
    </row>
    <row r="20" spans="1:23" s="16" customFormat="1" ht="12.75">
      <c r="A20" s="88"/>
      <c r="B20" s="3"/>
      <c r="F20" s="3"/>
      <c r="H20" s="3"/>
      <c r="T20" s="97"/>
    </row>
    <row r="21" spans="1:23" s="16" customFormat="1" ht="12.75">
      <c r="A21" s="88"/>
      <c r="B21" s="17" t="s">
        <v>99</v>
      </c>
      <c r="F21" s="3"/>
      <c r="H21" s="3"/>
      <c r="T21" s="97"/>
    </row>
    <row r="22" spans="1:23" s="16" customFormat="1" ht="12.75">
      <c r="A22" s="88"/>
      <c r="B22" s="3" t="s">
        <v>100</v>
      </c>
      <c r="F22" s="3"/>
      <c r="H22" s="3" t="s">
        <v>69</v>
      </c>
      <c r="J22" s="9">
        <f>SUM(L22:S22)</f>
        <v>0</v>
      </c>
      <c r="L22" s="66">
        <v>0</v>
      </c>
      <c r="M22" s="66">
        <v>0</v>
      </c>
      <c r="N22" s="66">
        <v>0</v>
      </c>
      <c r="O22" s="66">
        <v>0</v>
      </c>
      <c r="P22" s="66">
        <v>0</v>
      </c>
      <c r="Q22" s="66">
        <v>0</v>
      </c>
      <c r="R22" s="66">
        <v>0</v>
      </c>
      <c r="S22" s="66">
        <v>0</v>
      </c>
      <c r="T22" s="98"/>
      <c r="U22" s="66">
        <v>0</v>
      </c>
      <c r="V22" s="66">
        <v>0</v>
      </c>
      <c r="W22" s="66">
        <v>0</v>
      </c>
    </row>
    <row r="23" spans="1:23" s="16" customFormat="1" ht="12.75">
      <c r="A23" s="88"/>
      <c r="B23" s="3" t="s">
        <v>101</v>
      </c>
      <c r="F23" s="3"/>
      <c r="H23" s="3" t="s">
        <v>69</v>
      </c>
      <c r="J23" s="9">
        <f t="shared" ref="J23:J24" si="2">SUM(L23:S23)</f>
        <v>658970.57593401696</v>
      </c>
      <c r="L23" s="66">
        <v>0</v>
      </c>
      <c r="M23" s="66">
        <v>0</v>
      </c>
      <c r="N23" s="66">
        <v>0</v>
      </c>
      <c r="O23" s="66">
        <v>0</v>
      </c>
      <c r="P23" s="66">
        <v>658970.57593401696</v>
      </c>
      <c r="Q23" s="66">
        <v>0</v>
      </c>
      <c r="R23" s="66">
        <v>0</v>
      </c>
      <c r="S23" s="66">
        <v>0</v>
      </c>
      <c r="T23" s="98"/>
      <c r="U23" s="66">
        <v>0</v>
      </c>
      <c r="V23" s="66">
        <v>0</v>
      </c>
      <c r="W23" s="66">
        <v>0</v>
      </c>
    </row>
    <row r="24" spans="1:23" s="18" customFormat="1" ht="12.75">
      <c r="A24" s="89"/>
      <c r="B24" s="3" t="s">
        <v>102</v>
      </c>
      <c r="F24" s="3"/>
      <c r="H24" s="3" t="s">
        <v>69</v>
      </c>
      <c r="J24" s="9">
        <f t="shared" si="2"/>
        <v>3953823.4556040894</v>
      </c>
      <c r="L24" s="66">
        <v>-3.1470824857248278E-9</v>
      </c>
      <c r="M24" s="66">
        <v>0</v>
      </c>
      <c r="N24" s="66">
        <v>0</v>
      </c>
      <c r="O24" s="66">
        <v>0</v>
      </c>
      <c r="P24" s="66">
        <v>3953823.4556040927</v>
      </c>
      <c r="Q24" s="66">
        <v>0</v>
      </c>
      <c r="R24" s="66">
        <v>0</v>
      </c>
      <c r="S24" s="66">
        <v>0</v>
      </c>
      <c r="T24" s="98"/>
      <c r="U24" s="66">
        <v>0</v>
      </c>
      <c r="V24" s="66">
        <v>0</v>
      </c>
      <c r="W24" s="66">
        <v>0</v>
      </c>
    </row>
    <row r="25" spans="1:23" s="18" customFormat="1" ht="12.75">
      <c r="A25" s="89"/>
      <c r="B25" s="3"/>
      <c r="F25" s="3"/>
      <c r="H25" s="3"/>
      <c r="T25" s="99"/>
    </row>
    <row r="26" spans="1:23" s="18" customFormat="1" ht="12.75">
      <c r="A26" s="89"/>
      <c r="B26" s="17" t="s">
        <v>103</v>
      </c>
      <c r="F26" s="3"/>
      <c r="H26" s="3"/>
      <c r="T26" s="99"/>
    </row>
    <row r="27" spans="1:23" s="18" customFormat="1" ht="12.75">
      <c r="A27" s="89"/>
      <c r="B27" s="3" t="s">
        <v>104</v>
      </c>
      <c r="F27" s="3"/>
      <c r="H27" s="3" t="s">
        <v>69</v>
      </c>
      <c r="J27" s="9">
        <f>SUM(L27:S27)</f>
        <v>0</v>
      </c>
      <c r="L27" s="66">
        <v>0</v>
      </c>
      <c r="M27" s="66">
        <v>0</v>
      </c>
      <c r="N27" s="66">
        <v>0</v>
      </c>
      <c r="O27" s="66">
        <v>0</v>
      </c>
      <c r="P27" s="66">
        <v>0</v>
      </c>
      <c r="Q27" s="66">
        <v>0</v>
      </c>
      <c r="R27" s="66">
        <v>0</v>
      </c>
      <c r="S27" s="66">
        <v>0</v>
      </c>
      <c r="T27" s="98"/>
      <c r="U27" s="66">
        <v>0</v>
      </c>
      <c r="V27" s="66">
        <v>0</v>
      </c>
      <c r="W27" s="66">
        <v>0</v>
      </c>
    </row>
    <row r="28" spans="1:23" s="18" customFormat="1" ht="12.75">
      <c r="A28" s="89"/>
      <c r="B28" s="3" t="s">
        <v>105</v>
      </c>
      <c r="F28" s="3"/>
      <c r="H28" s="3" t="s">
        <v>69</v>
      </c>
      <c r="J28" s="9">
        <f t="shared" ref="J28:J29" si="3">SUM(L28:S28)</f>
        <v>237357.45611694362</v>
      </c>
      <c r="L28" s="66">
        <v>0</v>
      </c>
      <c r="M28" s="66">
        <v>237357.45611694362</v>
      </c>
      <c r="N28" s="66">
        <v>0</v>
      </c>
      <c r="O28" s="66">
        <v>0</v>
      </c>
      <c r="P28" s="66">
        <v>0</v>
      </c>
      <c r="Q28" s="66">
        <v>0</v>
      </c>
      <c r="R28" s="66">
        <v>0</v>
      </c>
      <c r="S28" s="66">
        <v>0</v>
      </c>
      <c r="T28" s="98"/>
      <c r="U28" s="66">
        <v>0</v>
      </c>
      <c r="V28" s="66">
        <v>0</v>
      </c>
      <c r="W28" s="66">
        <v>0</v>
      </c>
    </row>
    <row r="29" spans="1:23" s="18" customFormat="1" ht="12.75">
      <c r="A29" s="89"/>
      <c r="B29" s="3" t="s">
        <v>106</v>
      </c>
      <c r="F29" s="3"/>
      <c r="H29" s="3" t="s">
        <v>69</v>
      </c>
      <c r="J29" s="9">
        <f t="shared" si="3"/>
        <v>9575662.6294525228</v>
      </c>
      <c r="L29" s="66">
        <v>0</v>
      </c>
      <c r="M29" s="66">
        <v>9575662.6294525228</v>
      </c>
      <c r="N29" s="66">
        <v>0</v>
      </c>
      <c r="O29" s="66">
        <v>0</v>
      </c>
      <c r="P29" s="66">
        <v>0</v>
      </c>
      <c r="Q29" s="66">
        <v>0</v>
      </c>
      <c r="R29" s="66">
        <v>0</v>
      </c>
      <c r="S29" s="66">
        <v>0</v>
      </c>
      <c r="T29" s="98"/>
      <c r="U29" s="66">
        <v>0</v>
      </c>
      <c r="V29" s="66">
        <v>0</v>
      </c>
      <c r="W29" s="66">
        <v>0</v>
      </c>
    </row>
    <row r="30" spans="1:23" s="18" customFormat="1" ht="12.75">
      <c r="A30" s="89"/>
      <c r="B30" s="3"/>
      <c r="F30" s="3"/>
      <c r="H30" s="3"/>
      <c r="T30" s="99"/>
    </row>
    <row r="31" spans="1:23" s="18" customFormat="1" ht="12.75">
      <c r="A31" s="89"/>
      <c r="B31" s="17" t="s">
        <v>107</v>
      </c>
      <c r="F31" s="3"/>
      <c r="H31" s="3"/>
      <c r="T31" s="99"/>
    </row>
    <row r="32" spans="1:23" s="18" customFormat="1" ht="12.75">
      <c r="A32" s="89"/>
      <c r="B32" s="3" t="s">
        <v>108</v>
      </c>
      <c r="F32" s="3"/>
      <c r="H32" s="3" t="s">
        <v>69</v>
      </c>
      <c r="J32" s="9">
        <f>SUM(L32:S32)</f>
        <v>6392086.7999999998</v>
      </c>
      <c r="L32" s="66">
        <v>0</v>
      </c>
      <c r="M32" s="66">
        <v>1030000</v>
      </c>
      <c r="N32" s="66">
        <v>279304.8</v>
      </c>
      <c r="O32" s="66">
        <v>5082782</v>
      </c>
      <c r="P32" s="66">
        <v>0</v>
      </c>
      <c r="Q32" s="66">
        <v>0</v>
      </c>
      <c r="R32" s="66">
        <v>0</v>
      </c>
      <c r="S32" s="66">
        <v>0</v>
      </c>
      <c r="T32" s="98"/>
      <c r="U32" s="66">
        <v>0</v>
      </c>
      <c r="V32" s="66">
        <v>0</v>
      </c>
      <c r="W32" s="66">
        <v>5082782</v>
      </c>
    </row>
    <row r="33" spans="1:25" s="3" customFormat="1" ht="12.75">
      <c r="A33" s="87"/>
      <c r="B33" s="3" t="s">
        <v>109</v>
      </c>
      <c r="H33" s="3" t="s">
        <v>69</v>
      </c>
      <c r="J33" s="9">
        <f t="shared" ref="J33:J34" si="4">SUM(L33:S33)</f>
        <v>1582403.5213139681</v>
      </c>
      <c r="L33" s="66">
        <v>0</v>
      </c>
      <c r="M33" s="66">
        <v>51500</v>
      </c>
      <c r="N33" s="66">
        <v>4706.0959999999995</v>
      </c>
      <c r="O33" s="66">
        <v>206283.21111111113</v>
      </c>
      <c r="P33" s="66">
        <v>0</v>
      </c>
      <c r="Q33" s="66">
        <v>1319914.2142028571</v>
      </c>
      <c r="R33" s="66">
        <v>0</v>
      </c>
      <c r="S33" s="66">
        <v>0</v>
      </c>
      <c r="T33" s="98"/>
      <c r="U33" s="66">
        <v>0</v>
      </c>
      <c r="V33" s="66">
        <v>1319914.2142028571</v>
      </c>
      <c r="W33" s="66">
        <v>206283.21111111113</v>
      </c>
    </row>
    <row r="34" spans="1:25" s="3" customFormat="1" ht="12.75">
      <c r="A34" s="87"/>
      <c r="B34" s="3" t="s">
        <v>110</v>
      </c>
      <c r="H34" s="3" t="s">
        <v>69</v>
      </c>
      <c r="J34" s="9">
        <f t="shared" si="4"/>
        <v>26208726.171584606</v>
      </c>
      <c r="L34" s="66">
        <v>0</v>
      </c>
      <c r="M34" s="66">
        <v>978500</v>
      </c>
      <c r="N34" s="66">
        <v>274598.70400000003</v>
      </c>
      <c r="O34" s="66">
        <v>4876498.7888888884</v>
      </c>
      <c r="P34" s="66">
        <v>0</v>
      </c>
      <c r="Q34" s="66">
        <v>20079128.678695716</v>
      </c>
      <c r="R34" s="66">
        <v>0</v>
      </c>
      <c r="S34" s="66">
        <v>0</v>
      </c>
      <c r="T34" s="98"/>
      <c r="U34" s="66">
        <v>0</v>
      </c>
      <c r="V34" s="66">
        <v>20079128.678695716</v>
      </c>
      <c r="W34" s="66">
        <v>4876498.7888888884</v>
      </c>
    </row>
    <row r="35" spans="1:25" s="3" customFormat="1" ht="12.75">
      <c r="A35" s="87"/>
      <c r="L35" s="10"/>
      <c r="M35" s="10"/>
      <c r="N35" s="10"/>
      <c r="O35" s="10"/>
      <c r="P35" s="10"/>
      <c r="Q35" s="10"/>
      <c r="R35" s="10"/>
      <c r="S35" s="10"/>
      <c r="T35" s="10"/>
      <c r="U35" s="10"/>
      <c r="V35" s="10"/>
      <c r="W35" s="10"/>
    </row>
    <row r="36" spans="1:25" s="3" customFormat="1" ht="12.75">
      <c r="A36" s="87"/>
      <c r="B36" s="17" t="s">
        <v>125</v>
      </c>
      <c r="T36" s="71"/>
    </row>
    <row r="37" spans="1:25" s="3" customFormat="1" ht="12.75">
      <c r="A37" s="87"/>
      <c r="B37" s="3" t="s">
        <v>126</v>
      </c>
      <c r="H37" s="3" t="s">
        <v>69</v>
      </c>
      <c r="J37" s="9">
        <f>SUM(L37:S37)</f>
        <v>650136444.71251702</v>
      </c>
      <c r="L37" s="9">
        <f>L12+L17+L22+L27+L32</f>
        <v>3879809</v>
      </c>
      <c r="M37" s="9">
        <f t="shared" ref="M37:U37" si="5">M12+M17+M22+M27+M32</f>
        <v>22713458.133099999</v>
      </c>
      <c r="N37" s="9">
        <f t="shared" si="5"/>
        <v>218511375.33216691</v>
      </c>
      <c r="O37" s="9">
        <f t="shared" si="5"/>
        <v>196935189.90066698</v>
      </c>
      <c r="P37" s="9">
        <f t="shared" si="5"/>
        <v>1513958.19</v>
      </c>
      <c r="Q37" s="9">
        <f t="shared" si="5"/>
        <v>192084788.50516024</v>
      </c>
      <c r="R37" s="9">
        <f t="shared" si="5"/>
        <v>7311132.0886428747</v>
      </c>
      <c r="S37" s="9">
        <f t="shared" si="5"/>
        <v>7186733.5627800003</v>
      </c>
      <c r="T37" s="12"/>
      <c r="U37" s="9">
        <f t="shared" si="5"/>
        <v>6055643.6778330859</v>
      </c>
      <c r="V37" s="9">
        <f t="shared" ref="V37:W37" si="6">V12+V17+V22+V27+V32</f>
        <v>192162981.66098002</v>
      </c>
      <c r="W37" s="9">
        <f t="shared" si="6"/>
        <v>196935189.90066698</v>
      </c>
    </row>
    <row r="38" spans="1:25" s="3" customFormat="1" ht="12.75">
      <c r="A38" s="87"/>
      <c r="B38" s="3" t="s">
        <v>87</v>
      </c>
      <c r="H38" s="3" t="s">
        <v>69</v>
      </c>
      <c r="J38" s="9">
        <f t="shared" ref="J38:J39" si="7">SUM(L38:S38)</f>
        <v>496639518.56584489</v>
      </c>
      <c r="L38" s="9">
        <f>L13+L18+L23+L28+L33</f>
        <v>3016107.3146907543</v>
      </c>
      <c r="M38" s="9">
        <f t="shared" ref="M38:U38" si="8">M13+M18+M23+M28+M33</f>
        <v>14398012.600001566</v>
      </c>
      <c r="N38" s="9">
        <f t="shared" si="8"/>
        <v>184143458.27863517</v>
      </c>
      <c r="O38" s="9">
        <f t="shared" si="8"/>
        <v>144265134.23918071</v>
      </c>
      <c r="P38" s="9">
        <f t="shared" si="8"/>
        <v>3389220.9288309352</v>
      </c>
      <c r="Q38" s="9">
        <f t="shared" si="8"/>
        <v>131437936.85388975</v>
      </c>
      <c r="R38" s="9">
        <f t="shared" si="8"/>
        <v>8537790.9991743863</v>
      </c>
      <c r="S38" s="9">
        <f t="shared" si="8"/>
        <v>7451857.3514416385</v>
      </c>
      <c r="T38" s="12"/>
      <c r="U38" s="9">
        <f t="shared" si="8"/>
        <v>4879193.2095286604</v>
      </c>
      <c r="V38" s="9">
        <f t="shared" ref="V38:W38" si="9">V13+V18+V23+V28+V33</f>
        <v>135403428.88434321</v>
      </c>
      <c r="W38" s="9">
        <f t="shared" si="9"/>
        <v>144652919.69485635</v>
      </c>
    </row>
    <row r="39" spans="1:25" s="3" customFormat="1" ht="12.75">
      <c r="A39" s="87"/>
      <c r="B39" s="3" t="s">
        <v>127</v>
      </c>
      <c r="H39" s="3" t="s">
        <v>69</v>
      </c>
      <c r="J39" s="9">
        <f t="shared" si="7"/>
        <v>10254925612.659842</v>
      </c>
      <c r="L39" s="9">
        <f>L14+L19+L24+L29+L34</f>
        <v>54357721.555152483</v>
      </c>
      <c r="M39" s="9">
        <f t="shared" ref="M39:U39" si="10">M14+M19+M24+M29+M34</f>
        <v>261517988.19176802</v>
      </c>
      <c r="N39" s="9">
        <f t="shared" si="10"/>
        <v>3358353619.5017595</v>
      </c>
      <c r="O39" s="9">
        <f t="shared" si="10"/>
        <v>3426103976.7735386</v>
      </c>
      <c r="P39" s="9">
        <f t="shared" si="10"/>
        <v>37248076.877557486</v>
      </c>
      <c r="Q39" s="9">
        <f t="shared" si="10"/>
        <v>2773815177.0948219</v>
      </c>
      <c r="R39" s="9">
        <f t="shared" si="10"/>
        <v>244176717.50419894</v>
      </c>
      <c r="S39" s="9">
        <f t="shared" si="10"/>
        <v>99352335.161045387</v>
      </c>
      <c r="T39" s="12"/>
      <c r="U39" s="9">
        <f t="shared" si="10"/>
        <v>108516704.11051543</v>
      </c>
      <c r="V39" s="9">
        <f t="shared" ref="V39:W39" si="11">V14+V19+V24+V29+V34</f>
        <v>2867267750.1604724</v>
      </c>
      <c r="W39" s="9">
        <f t="shared" si="11"/>
        <v>3434926406.141685</v>
      </c>
    </row>
    <row r="40" spans="1:25" s="3" customFormat="1" ht="12.75"/>
    <row r="41" spans="1:25" s="4" customFormat="1" ht="12.75">
      <c r="A41" s="4" t="s">
        <v>124</v>
      </c>
      <c r="B41" s="4" t="s">
        <v>84</v>
      </c>
    </row>
    <row r="42" spans="1:25" s="16" customFormat="1" ht="12.75">
      <c r="B42" s="3"/>
      <c r="F42" s="3"/>
      <c r="H42" s="3"/>
    </row>
    <row r="43" spans="1:25" s="16" customFormat="1" ht="12.75">
      <c r="A43" s="88"/>
      <c r="B43" s="17" t="s">
        <v>92</v>
      </c>
      <c r="F43" s="3"/>
      <c r="H43" s="3"/>
    </row>
    <row r="44" spans="1:25" s="16" customFormat="1" ht="12.75">
      <c r="A44" s="88"/>
      <c r="B44" s="3" t="s">
        <v>93</v>
      </c>
      <c r="F44" s="3"/>
      <c r="H44" s="3" t="s">
        <v>71</v>
      </c>
      <c r="J44" s="9">
        <f>SUM(L44:S44)</f>
        <v>0</v>
      </c>
      <c r="L44" s="66">
        <v>0</v>
      </c>
      <c r="M44" s="66">
        <v>0</v>
      </c>
      <c r="N44" s="66">
        <v>0</v>
      </c>
      <c r="O44" s="65">
        <v>0</v>
      </c>
      <c r="P44" s="66">
        <v>0</v>
      </c>
      <c r="Q44" s="66">
        <v>0</v>
      </c>
      <c r="R44" s="66">
        <v>0</v>
      </c>
      <c r="S44" s="66">
        <v>0</v>
      </c>
      <c r="T44" s="61"/>
      <c r="U44" s="66">
        <v>0</v>
      </c>
      <c r="V44" s="66">
        <v>0</v>
      </c>
      <c r="W44" s="66">
        <v>0</v>
      </c>
      <c r="Y44" s="30" t="s">
        <v>323</v>
      </c>
    </row>
    <row r="45" spans="1:25" s="16" customFormat="1" ht="12.75">
      <c r="A45" s="88"/>
      <c r="B45" s="3" t="s">
        <v>94</v>
      </c>
      <c r="F45" s="3"/>
      <c r="H45" s="3" t="s">
        <v>71</v>
      </c>
      <c r="J45" s="9">
        <f t="shared" ref="J45:J46" si="12">SUM(L45:S45)</f>
        <v>374988829.39617926</v>
      </c>
      <c r="L45" s="66">
        <v>2397686.8071463536</v>
      </c>
      <c r="M45" s="66">
        <v>10002864.690790221</v>
      </c>
      <c r="N45" s="66">
        <v>132357945.11543353</v>
      </c>
      <c r="O45" s="65">
        <v>118480095.71499111</v>
      </c>
      <c r="P45" s="66">
        <v>1889748.4452008444</v>
      </c>
      <c r="Q45" s="66">
        <v>99916669.831249729</v>
      </c>
      <c r="R45" s="66">
        <v>3925537.5985873058</v>
      </c>
      <c r="S45" s="66">
        <v>6018281.1927801417</v>
      </c>
      <c r="T45" s="61"/>
      <c r="U45" s="66">
        <v>3731156.4141012807</v>
      </c>
      <c r="V45" s="66">
        <v>102848607.01477626</v>
      </c>
      <c r="W45" s="66">
        <v>118835488.52069041</v>
      </c>
    </row>
    <row r="46" spans="1:25" s="16" customFormat="1" ht="12.75">
      <c r="A46" s="88"/>
      <c r="B46" s="3" t="s">
        <v>95</v>
      </c>
      <c r="F46" s="3"/>
      <c r="H46" s="3" t="s">
        <v>71</v>
      </c>
      <c r="J46" s="9">
        <f t="shared" si="12"/>
        <v>5993838434.8038273</v>
      </c>
      <c r="L46" s="66">
        <v>23266933.936106041</v>
      </c>
      <c r="M46" s="66">
        <v>105079808.78836276</v>
      </c>
      <c r="N46" s="66">
        <v>2009266975.4575133</v>
      </c>
      <c r="O46" s="65">
        <v>2222408292.8819346</v>
      </c>
      <c r="P46" s="66">
        <v>10973337.897430426</v>
      </c>
      <c r="Q46" s="66">
        <v>1492505575.246593</v>
      </c>
      <c r="R46" s="66">
        <v>74828029.186428398</v>
      </c>
      <c r="S46" s="66">
        <v>55509481.409457818</v>
      </c>
      <c r="T46" s="61"/>
      <c r="U46" s="66">
        <v>56641022.619246133</v>
      </c>
      <c r="V46" s="66">
        <v>1536301396.305048</v>
      </c>
      <c r="W46" s="66">
        <v>2229074627.1201901</v>
      </c>
    </row>
    <row r="47" spans="1:25" s="16" customFormat="1" ht="12.75">
      <c r="A47" s="88"/>
      <c r="B47" s="3"/>
      <c r="F47" s="3"/>
      <c r="H47" s="3"/>
      <c r="T47" s="97"/>
    </row>
    <row r="48" spans="1:25" s="16" customFormat="1" ht="12.75">
      <c r="A48" s="88"/>
      <c r="B48" s="17" t="s">
        <v>96</v>
      </c>
      <c r="F48" s="3"/>
      <c r="H48" s="3"/>
      <c r="T48" s="97"/>
    </row>
    <row r="49" spans="1:23" s="16" customFormat="1" ht="12.75">
      <c r="A49" s="88"/>
      <c r="B49" s="3" t="s">
        <v>97</v>
      </c>
      <c r="F49" s="3"/>
      <c r="H49" s="3" t="s">
        <v>71</v>
      </c>
      <c r="J49" s="9">
        <f>SUM(L49:S49)</f>
        <v>599536886.61645186</v>
      </c>
      <c r="L49" s="66">
        <v>7608374.4873325648</v>
      </c>
      <c r="M49" s="66">
        <v>9746720.9813451823</v>
      </c>
      <c r="N49" s="66">
        <v>206888598.07087275</v>
      </c>
      <c r="O49" s="65">
        <v>184484095.49286264</v>
      </c>
      <c r="P49" s="66">
        <v>1109372.43</v>
      </c>
      <c r="Q49" s="66">
        <v>175091944.24870622</v>
      </c>
      <c r="R49" s="66">
        <v>6141909.7188744331</v>
      </c>
      <c r="S49" s="66">
        <v>8465871.1864579692</v>
      </c>
      <c r="T49" s="98"/>
      <c r="U49" s="66">
        <v>8964430.0431788173</v>
      </c>
      <c r="V49" s="66">
        <v>176291866.27000001</v>
      </c>
      <c r="W49" s="66">
        <v>184775634.49286264</v>
      </c>
    </row>
    <row r="50" spans="1:23" s="16" customFormat="1" ht="12.75">
      <c r="A50" s="88"/>
      <c r="B50" s="3" t="s">
        <v>87</v>
      </c>
      <c r="F50" s="3"/>
      <c r="H50" s="3" t="s">
        <v>71</v>
      </c>
      <c r="J50" s="9">
        <f t="shared" ref="J50:J51" si="13">SUM(L50:S50)</f>
        <v>147915057.63722035</v>
      </c>
      <c r="L50" s="66">
        <v>807526.03343643702</v>
      </c>
      <c r="M50" s="66">
        <v>4545322.2421729276</v>
      </c>
      <c r="N50" s="66">
        <v>63370916.777514622</v>
      </c>
      <c r="O50" s="65">
        <v>32252531.675323162</v>
      </c>
      <c r="P50" s="66">
        <v>837406.57116566901</v>
      </c>
      <c r="Q50" s="66">
        <v>38738698.376937144</v>
      </c>
      <c r="R50" s="66">
        <v>4973075.109152331</v>
      </c>
      <c r="S50" s="66">
        <v>2389580.8515180824</v>
      </c>
      <c r="T50" s="98"/>
      <c r="U50" s="66">
        <v>1441947.448003401</v>
      </c>
      <c r="V50" s="66">
        <v>39876854.516266257</v>
      </c>
      <c r="W50" s="66">
        <v>32296758.780780043</v>
      </c>
    </row>
    <row r="51" spans="1:23" s="16" customFormat="1" ht="12.75">
      <c r="A51" s="88"/>
      <c r="B51" s="3" t="s">
        <v>98</v>
      </c>
      <c r="F51" s="3"/>
      <c r="H51" s="3" t="s">
        <v>71</v>
      </c>
      <c r="J51" s="9">
        <f t="shared" si="13"/>
        <v>4532931275.3916998</v>
      </c>
      <c r="L51" s="66">
        <v>36744176.861564726</v>
      </c>
      <c r="M51" s="66">
        <v>146854718.81026798</v>
      </c>
      <c r="N51" s="66">
        <v>1437207598.9965189</v>
      </c>
      <c r="O51" s="65">
        <v>1311258885.1989102</v>
      </c>
      <c r="P51" s="66">
        <v>21468900.766861379</v>
      </c>
      <c r="Q51" s="66">
        <v>1361002978.3236229</v>
      </c>
      <c r="R51" s="66">
        <v>172208049.83150187</v>
      </c>
      <c r="S51" s="66">
        <v>46185966.602451339</v>
      </c>
      <c r="T51" s="98"/>
      <c r="U51" s="66">
        <v>58162891.86688529</v>
      </c>
      <c r="V51" s="66">
        <v>1409938968.2097666</v>
      </c>
      <c r="W51" s="66">
        <v>1313509815.2931118</v>
      </c>
    </row>
    <row r="52" spans="1:23" s="16" customFormat="1" ht="12.75">
      <c r="A52" s="88"/>
      <c r="B52" s="3"/>
      <c r="F52" s="3"/>
      <c r="H52" s="3"/>
      <c r="T52" s="97"/>
    </row>
    <row r="53" spans="1:23" s="16" customFormat="1" ht="12.75">
      <c r="A53" s="88"/>
      <c r="B53" s="17" t="s">
        <v>99</v>
      </c>
      <c r="F53" s="3"/>
      <c r="H53" s="3"/>
      <c r="T53" s="97"/>
    </row>
    <row r="54" spans="1:23" s="16" customFormat="1" ht="12.75">
      <c r="A54" s="88"/>
      <c r="B54" s="3" t="s">
        <v>100</v>
      </c>
      <c r="F54" s="3"/>
      <c r="H54" s="3" t="s">
        <v>71</v>
      </c>
      <c r="J54" s="9">
        <f>SUM(L54:S54)</f>
        <v>0</v>
      </c>
      <c r="L54" s="66">
        <v>0</v>
      </c>
      <c r="M54" s="66">
        <v>0</v>
      </c>
      <c r="N54" s="66">
        <v>0</v>
      </c>
      <c r="O54" s="66">
        <v>0</v>
      </c>
      <c r="P54" s="66">
        <v>0</v>
      </c>
      <c r="Q54" s="66">
        <v>0</v>
      </c>
      <c r="R54" s="66">
        <v>0</v>
      </c>
      <c r="S54" s="66">
        <v>0</v>
      </c>
      <c r="T54" s="98"/>
      <c r="U54" s="66">
        <v>0</v>
      </c>
      <c r="V54" s="66">
        <v>0</v>
      </c>
      <c r="W54" s="66">
        <v>0</v>
      </c>
    </row>
    <row r="55" spans="1:23" s="16" customFormat="1" ht="12.75">
      <c r="A55" s="88"/>
      <c r="B55" s="3" t="s">
        <v>101</v>
      </c>
      <c r="F55" s="3"/>
      <c r="H55" s="3" t="s">
        <v>71</v>
      </c>
      <c r="J55" s="9">
        <f t="shared" ref="J55:J56" si="14">SUM(L55:S55)</f>
        <v>674126.89918049925</v>
      </c>
      <c r="L55" s="66">
        <v>0</v>
      </c>
      <c r="M55" s="66">
        <v>0</v>
      </c>
      <c r="N55" s="66">
        <v>0</v>
      </c>
      <c r="O55" s="66">
        <v>0</v>
      </c>
      <c r="P55" s="66">
        <v>674126.89918049925</v>
      </c>
      <c r="Q55" s="66">
        <v>0</v>
      </c>
      <c r="R55" s="66">
        <v>0</v>
      </c>
      <c r="S55" s="66">
        <v>0</v>
      </c>
      <c r="T55" s="98"/>
      <c r="U55" s="66">
        <v>0</v>
      </c>
      <c r="V55" s="66">
        <v>0</v>
      </c>
      <c r="W55" s="66">
        <v>0</v>
      </c>
    </row>
    <row r="56" spans="1:23" s="18" customFormat="1" ht="12.75">
      <c r="A56" s="89"/>
      <c r="B56" s="3" t="s">
        <v>102</v>
      </c>
      <c r="F56" s="3"/>
      <c r="H56" s="3" t="s">
        <v>71</v>
      </c>
      <c r="J56" s="9">
        <f t="shared" si="14"/>
        <v>3370634.4959024838</v>
      </c>
      <c r="L56" s="66">
        <v>-3.2194653828964982E-9</v>
      </c>
      <c r="M56" s="66">
        <v>0</v>
      </c>
      <c r="N56" s="66">
        <v>0</v>
      </c>
      <c r="O56" s="66">
        <v>0</v>
      </c>
      <c r="P56" s="66">
        <v>3370634.4959024871</v>
      </c>
      <c r="Q56" s="66">
        <v>0</v>
      </c>
      <c r="R56" s="66">
        <v>0</v>
      </c>
      <c r="S56" s="66">
        <v>0</v>
      </c>
      <c r="T56" s="98"/>
      <c r="U56" s="66">
        <v>0</v>
      </c>
      <c r="V56" s="66">
        <v>0</v>
      </c>
      <c r="W56" s="66">
        <v>0</v>
      </c>
    </row>
    <row r="57" spans="1:23" s="18" customFormat="1" ht="12.75">
      <c r="A57" s="89"/>
      <c r="B57" s="3"/>
      <c r="F57" s="3"/>
      <c r="H57" s="3"/>
      <c r="T57" s="99"/>
    </row>
    <row r="58" spans="1:23" s="18" customFormat="1" ht="12.75">
      <c r="A58" s="89"/>
      <c r="B58" s="17" t="s">
        <v>103</v>
      </c>
      <c r="F58" s="3"/>
      <c r="H58" s="3"/>
      <c r="T58" s="99"/>
    </row>
    <row r="59" spans="1:23" s="18" customFormat="1" ht="12.75">
      <c r="A59" s="89"/>
      <c r="B59" s="3" t="s">
        <v>104</v>
      </c>
      <c r="F59" s="3"/>
      <c r="H59" s="3" t="s">
        <v>71</v>
      </c>
      <c r="J59" s="9">
        <f>SUM(L59:S59)</f>
        <v>0</v>
      </c>
      <c r="L59" s="66">
        <v>0</v>
      </c>
      <c r="M59" s="66">
        <v>0</v>
      </c>
      <c r="N59" s="66">
        <v>0</v>
      </c>
      <c r="O59" s="66">
        <v>0</v>
      </c>
      <c r="P59" s="66">
        <v>0</v>
      </c>
      <c r="Q59" s="66">
        <v>0</v>
      </c>
      <c r="R59" s="66">
        <v>0</v>
      </c>
      <c r="S59" s="66">
        <v>0</v>
      </c>
      <c r="T59" s="98"/>
      <c r="U59" s="66">
        <v>0</v>
      </c>
      <c r="V59" s="66">
        <v>0</v>
      </c>
      <c r="W59" s="66">
        <v>0</v>
      </c>
    </row>
    <row r="60" spans="1:23" s="18" customFormat="1" ht="12.75">
      <c r="A60" s="89"/>
      <c r="B60" s="3" t="s">
        <v>105</v>
      </c>
      <c r="F60" s="3"/>
      <c r="H60" s="3" t="s">
        <v>71</v>
      </c>
      <c r="J60" s="9">
        <f t="shared" ref="J60:J61" si="15">SUM(L60:S60)</f>
        <v>242816.67760763335</v>
      </c>
      <c r="L60" s="66">
        <v>0</v>
      </c>
      <c r="M60" s="66">
        <v>242816.67760763335</v>
      </c>
      <c r="N60" s="66">
        <v>0</v>
      </c>
      <c r="O60" s="66">
        <v>0</v>
      </c>
      <c r="P60" s="66">
        <v>0</v>
      </c>
      <c r="Q60" s="66">
        <v>0</v>
      </c>
      <c r="R60" s="66">
        <v>0</v>
      </c>
      <c r="S60" s="66">
        <v>0</v>
      </c>
      <c r="T60" s="98"/>
      <c r="U60" s="66">
        <v>0</v>
      </c>
      <c r="V60" s="66">
        <v>0</v>
      </c>
      <c r="W60" s="66">
        <v>0</v>
      </c>
    </row>
    <row r="61" spans="1:23" s="18" customFormat="1" ht="12.75">
      <c r="A61" s="89"/>
      <c r="B61" s="3" t="s">
        <v>106</v>
      </c>
      <c r="F61" s="3"/>
      <c r="H61" s="3" t="s">
        <v>71</v>
      </c>
      <c r="J61" s="9">
        <f t="shared" si="15"/>
        <v>9553086.192322297</v>
      </c>
      <c r="L61" s="66">
        <v>0</v>
      </c>
      <c r="M61" s="66">
        <v>9553086.192322297</v>
      </c>
      <c r="N61" s="66">
        <v>0</v>
      </c>
      <c r="O61" s="66">
        <v>0</v>
      </c>
      <c r="P61" s="66">
        <v>0</v>
      </c>
      <c r="Q61" s="66">
        <v>0</v>
      </c>
      <c r="R61" s="66">
        <v>0</v>
      </c>
      <c r="S61" s="66">
        <v>0</v>
      </c>
      <c r="T61" s="98"/>
      <c r="U61" s="66">
        <v>0</v>
      </c>
      <c r="V61" s="66">
        <v>0</v>
      </c>
      <c r="W61" s="66">
        <v>0</v>
      </c>
    </row>
    <row r="62" spans="1:23" s="18" customFormat="1" ht="12.75">
      <c r="A62" s="89"/>
      <c r="B62" s="3"/>
      <c r="F62" s="3"/>
      <c r="H62" s="3"/>
      <c r="T62" s="99"/>
    </row>
    <row r="63" spans="1:23" s="18" customFormat="1" ht="12.75">
      <c r="A63" s="89"/>
      <c r="B63" s="17" t="s">
        <v>107</v>
      </c>
      <c r="F63" s="3"/>
      <c r="H63" s="3"/>
      <c r="T63" s="99"/>
    </row>
    <row r="64" spans="1:23" s="18" customFormat="1" ht="12.75">
      <c r="A64" s="89"/>
      <c r="B64" s="3" t="s">
        <v>108</v>
      </c>
      <c r="F64" s="3"/>
      <c r="H64" s="3" t="s">
        <v>71</v>
      </c>
      <c r="J64" s="9">
        <f>SUM(L64:S64)</f>
        <v>0</v>
      </c>
      <c r="L64" s="66">
        <v>0</v>
      </c>
      <c r="M64" s="66">
        <v>0</v>
      </c>
      <c r="N64" s="66">
        <v>0</v>
      </c>
      <c r="O64" s="66">
        <v>0</v>
      </c>
      <c r="P64" s="66">
        <v>0</v>
      </c>
      <c r="Q64" s="66">
        <v>0</v>
      </c>
      <c r="R64" s="66">
        <v>0</v>
      </c>
      <c r="S64" s="66">
        <v>0</v>
      </c>
      <c r="T64" s="98"/>
      <c r="U64" s="66">
        <v>0</v>
      </c>
      <c r="V64" s="66">
        <v>0</v>
      </c>
      <c r="W64" s="66">
        <v>0</v>
      </c>
    </row>
    <row r="65" spans="1:25" s="3" customFormat="1" ht="12.75">
      <c r="A65" s="87"/>
      <c r="B65" s="3" t="s">
        <v>109</v>
      </c>
      <c r="H65" s="3" t="s">
        <v>71</v>
      </c>
      <c r="J65" s="9">
        <f t="shared" ref="J65:J66" si="16">SUM(L65:S65)</f>
        <v>1887325.3634788559</v>
      </c>
      <c r="L65" s="66">
        <v>0</v>
      </c>
      <c r="M65" s="66">
        <v>105368.99999999999</v>
      </c>
      <c r="N65" s="66">
        <v>9628.6724159999976</v>
      </c>
      <c r="O65" s="66">
        <v>422055.44993333326</v>
      </c>
      <c r="P65" s="66">
        <v>0</v>
      </c>
      <c r="Q65" s="66">
        <v>1350272.2411295227</v>
      </c>
      <c r="R65" s="66">
        <v>0</v>
      </c>
      <c r="S65" s="66">
        <v>0</v>
      </c>
      <c r="T65" s="98"/>
      <c r="U65" s="66">
        <v>0</v>
      </c>
      <c r="V65" s="66">
        <v>1350272.2411295227</v>
      </c>
      <c r="W65" s="66">
        <v>422055.44993333326</v>
      </c>
    </row>
    <row r="66" spans="1:25" s="3" customFormat="1" ht="12.75">
      <c r="A66" s="87"/>
      <c r="B66" s="3" t="s">
        <v>110</v>
      </c>
      <c r="H66" s="3" t="s">
        <v>71</v>
      </c>
      <c r="J66" s="9">
        <f t="shared" si="16"/>
        <v>24924201.510052189</v>
      </c>
      <c r="L66" s="66">
        <v>0</v>
      </c>
      <c r="M66" s="66">
        <v>895636.49999999988</v>
      </c>
      <c r="N66" s="66">
        <v>271285.80177599995</v>
      </c>
      <c r="O66" s="66">
        <v>4566602.8111000005</v>
      </c>
      <c r="P66" s="66">
        <v>0</v>
      </c>
      <c r="Q66" s="66">
        <v>19190676.397176191</v>
      </c>
      <c r="R66" s="66">
        <v>0</v>
      </c>
      <c r="S66" s="66">
        <v>0</v>
      </c>
      <c r="T66" s="98"/>
      <c r="U66" s="66">
        <v>0</v>
      </c>
      <c r="V66" s="66">
        <v>19190676.397176191</v>
      </c>
      <c r="W66" s="66">
        <v>4566602.8111000005</v>
      </c>
    </row>
    <row r="67" spans="1:25" s="3" customFormat="1" ht="12.75">
      <c r="A67" s="87"/>
      <c r="L67" s="109"/>
      <c r="M67" s="109"/>
      <c r="N67" s="109"/>
      <c r="O67" s="109"/>
      <c r="P67" s="109"/>
      <c r="Q67" s="109"/>
      <c r="R67" s="109"/>
      <c r="S67" s="109"/>
      <c r="T67" s="109"/>
      <c r="U67" s="109"/>
      <c r="V67" s="109"/>
      <c r="W67" s="109"/>
    </row>
    <row r="68" spans="1:25" s="3" customFormat="1" ht="12.75">
      <c r="A68" s="87"/>
      <c r="B68" s="17" t="s">
        <v>125</v>
      </c>
      <c r="T68" s="71"/>
    </row>
    <row r="69" spans="1:25" s="3" customFormat="1" ht="12.75">
      <c r="A69" s="87"/>
      <c r="B69" s="3" t="s">
        <v>126</v>
      </c>
      <c r="H69" s="3" t="s">
        <v>71</v>
      </c>
      <c r="J69" s="9">
        <f>SUM(L69:S69)</f>
        <v>599536886.61645186</v>
      </c>
      <c r="L69" s="9">
        <f>L44+L49+L54+L59+L64</f>
        <v>7608374.4873325648</v>
      </c>
      <c r="M69" s="9">
        <f t="shared" ref="M69:V69" si="17">M44+M49+M54+M59+M64</f>
        <v>9746720.9813451823</v>
      </c>
      <c r="N69" s="9">
        <f t="shared" si="17"/>
        <v>206888598.07087275</v>
      </c>
      <c r="O69" s="9">
        <f>O44+O49+O54+O59+O64</f>
        <v>184484095.49286264</v>
      </c>
      <c r="P69" s="9">
        <f t="shared" si="17"/>
        <v>1109372.43</v>
      </c>
      <c r="Q69" s="9">
        <f t="shared" si="17"/>
        <v>175091944.24870622</v>
      </c>
      <c r="R69" s="9">
        <f t="shared" si="17"/>
        <v>6141909.7188744331</v>
      </c>
      <c r="S69" s="9">
        <f t="shared" si="17"/>
        <v>8465871.1864579692</v>
      </c>
      <c r="T69" s="12"/>
      <c r="U69" s="9">
        <f t="shared" si="17"/>
        <v>8964430.0431788173</v>
      </c>
      <c r="V69" s="9">
        <f t="shared" si="17"/>
        <v>176291866.27000001</v>
      </c>
      <c r="W69" s="9">
        <f t="shared" ref="W69" si="18">W44+W49+W54+W59+W64</f>
        <v>184775634.49286264</v>
      </c>
    </row>
    <row r="70" spans="1:25" s="3" customFormat="1" ht="12.75">
      <c r="A70" s="87"/>
      <c r="B70" s="3" t="s">
        <v>87</v>
      </c>
      <c r="H70" s="3" t="s">
        <v>71</v>
      </c>
      <c r="J70" s="9">
        <f t="shared" ref="J70:J71" si="19">SUM(L70:S70)</f>
        <v>525708155.97366661</v>
      </c>
      <c r="L70" s="9">
        <f>L45+L50+L55+L60+L65</f>
        <v>3205212.8405827908</v>
      </c>
      <c r="M70" s="9">
        <f t="shared" ref="M70:V70" si="20">M45+M50+M55+M60+M65</f>
        <v>14896372.610570781</v>
      </c>
      <c r="N70" s="9">
        <f t="shared" si="20"/>
        <v>195738490.56536415</v>
      </c>
      <c r="O70" s="9">
        <f t="shared" si="20"/>
        <v>151154682.8402476</v>
      </c>
      <c r="P70" s="9">
        <f t="shared" si="20"/>
        <v>3401281.9155470128</v>
      </c>
      <c r="Q70" s="9">
        <f t="shared" si="20"/>
        <v>140005640.44931638</v>
      </c>
      <c r="R70" s="9">
        <f t="shared" si="20"/>
        <v>8898612.7077396363</v>
      </c>
      <c r="S70" s="9">
        <f t="shared" si="20"/>
        <v>8407862.0442982242</v>
      </c>
      <c r="T70" s="12"/>
      <c r="U70" s="9">
        <f t="shared" si="20"/>
        <v>5173103.8621046823</v>
      </c>
      <c r="V70" s="9">
        <f t="shared" si="20"/>
        <v>144075733.77217203</v>
      </c>
      <c r="W70" s="9">
        <f t="shared" ref="W70" si="21">W45+W50+W55+W60+W65</f>
        <v>151554302.75140378</v>
      </c>
    </row>
    <row r="71" spans="1:25" s="3" customFormat="1" ht="12.75">
      <c r="A71" s="87"/>
      <c r="B71" s="3" t="s">
        <v>127</v>
      </c>
      <c r="H71" s="3" t="s">
        <v>71</v>
      </c>
      <c r="J71" s="9">
        <f t="shared" si="19"/>
        <v>10564617632.393805</v>
      </c>
      <c r="L71" s="9">
        <f>L46+L51+L56+L61+L66</f>
        <v>60011110.797670767</v>
      </c>
      <c r="M71" s="9">
        <f t="shared" ref="M71:V71" si="22">M46+M51+M56+M61+M66</f>
        <v>262383250.29095301</v>
      </c>
      <c r="N71" s="9">
        <f t="shared" si="22"/>
        <v>3446745860.2558079</v>
      </c>
      <c r="O71" s="9">
        <f t="shared" si="22"/>
        <v>3538233780.8919449</v>
      </c>
      <c r="P71" s="9">
        <f t="shared" si="22"/>
        <v>35812873.160194293</v>
      </c>
      <c r="Q71" s="9">
        <f t="shared" si="22"/>
        <v>2872699229.9673924</v>
      </c>
      <c r="R71" s="9">
        <f t="shared" si="22"/>
        <v>247036079.01793027</v>
      </c>
      <c r="S71" s="9">
        <f t="shared" si="22"/>
        <v>101695448.01190916</v>
      </c>
      <c r="T71" s="12"/>
      <c r="U71" s="9">
        <f t="shared" si="22"/>
        <v>114803914.48613143</v>
      </c>
      <c r="V71" s="9">
        <f t="shared" si="22"/>
        <v>2965431040.9119906</v>
      </c>
      <c r="W71" s="9">
        <f t="shared" ref="W71" si="23">W46+W51+W56+W61+W66</f>
        <v>3547151045.224402</v>
      </c>
    </row>
    <row r="72" spans="1:25" s="3" customFormat="1" ht="12.75"/>
    <row r="73" spans="1:25" s="4" customFormat="1" ht="12.75">
      <c r="A73" s="4" t="s">
        <v>124</v>
      </c>
      <c r="B73" s="4" t="s">
        <v>85</v>
      </c>
    </row>
    <row r="74" spans="1:25" s="16" customFormat="1" ht="12.75">
      <c r="B74" s="3"/>
      <c r="F74" s="3"/>
      <c r="H74" s="3"/>
    </row>
    <row r="75" spans="1:25" s="16" customFormat="1" ht="12.75">
      <c r="A75" s="88"/>
      <c r="B75" s="17" t="s">
        <v>92</v>
      </c>
      <c r="F75" s="3"/>
      <c r="H75" s="3"/>
    </row>
    <row r="76" spans="1:25" s="16" customFormat="1" ht="12.75">
      <c r="A76" s="88"/>
      <c r="B76" s="3" t="s">
        <v>93</v>
      </c>
      <c r="F76" s="3"/>
      <c r="H76" s="3" t="s">
        <v>72</v>
      </c>
      <c r="J76" s="9">
        <f>SUM(L76:S76)</f>
        <v>0</v>
      </c>
      <c r="L76" s="65">
        <v>0</v>
      </c>
      <c r="M76" s="65">
        <v>0</v>
      </c>
      <c r="N76" s="65">
        <v>0</v>
      </c>
      <c r="O76" s="65">
        <v>0</v>
      </c>
      <c r="P76" s="65">
        <v>0</v>
      </c>
      <c r="Q76" s="65">
        <v>0</v>
      </c>
      <c r="R76" s="65">
        <v>0</v>
      </c>
      <c r="S76" s="65">
        <v>0</v>
      </c>
      <c r="T76" s="61"/>
      <c r="U76" s="65">
        <v>0</v>
      </c>
      <c r="V76" s="65">
        <v>0</v>
      </c>
      <c r="W76" s="65">
        <v>0</v>
      </c>
      <c r="Y76" s="30" t="s">
        <v>323</v>
      </c>
    </row>
    <row r="77" spans="1:25" s="16" customFormat="1" ht="12.75">
      <c r="A77" s="88"/>
      <c r="B77" s="3" t="s">
        <v>94</v>
      </c>
      <c r="F77" s="3"/>
      <c r="H77" s="3" t="s">
        <v>72</v>
      </c>
      <c r="J77" s="9">
        <f t="shared" ref="J77:J78" si="24">SUM(L77:S77)</f>
        <v>385488516.61927223</v>
      </c>
      <c r="L77" s="65">
        <v>2464822.0377464513</v>
      </c>
      <c r="M77" s="65">
        <v>10282944.902132347</v>
      </c>
      <c r="N77" s="65">
        <v>136063967.57866567</v>
      </c>
      <c r="O77" s="65">
        <v>121797538.39501086</v>
      </c>
      <c r="P77" s="65">
        <v>1942661.401666468</v>
      </c>
      <c r="Q77" s="65">
        <v>102714336.58652472</v>
      </c>
      <c r="R77" s="65">
        <v>4035452.6513477503</v>
      </c>
      <c r="S77" s="65">
        <v>6186793.0661779856</v>
      </c>
      <c r="T77" s="61"/>
      <c r="U77" s="65">
        <v>3835628.7936961167</v>
      </c>
      <c r="V77" s="65">
        <v>105728368.01119</v>
      </c>
      <c r="W77" s="65">
        <v>122162882.19926974</v>
      </c>
    </row>
    <row r="78" spans="1:25" s="16" customFormat="1" ht="12.75">
      <c r="A78" s="88"/>
      <c r="B78" s="3" t="s">
        <v>95</v>
      </c>
      <c r="F78" s="3"/>
      <c r="H78" s="3" t="s">
        <v>72</v>
      </c>
      <c r="J78" s="9">
        <f t="shared" si="24"/>
        <v>5776177394.3590612</v>
      </c>
      <c r="L78" s="65">
        <v>21453586.048570558</v>
      </c>
      <c r="M78" s="65">
        <v>97739098.532304555</v>
      </c>
      <c r="N78" s="65">
        <v>1929462483.1916583</v>
      </c>
      <c r="O78" s="65">
        <v>2162838186.6876178</v>
      </c>
      <c r="P78" s="65">
        <v>9337929.9568920098</v>
      </c>
      <c r="Q78" s="65">
        <v>1431581394.7669728</v>
      </c>
      <c r="R78" s="65">
        <v>72887761.352300629</v>
      </c>
      <c r="S78" s="65">
        <v>50876953.822744645</v>
      </c>
      <c r="T78" s="61"/>
      <c r="U78" s="65">
        <v>54391342.458888918</v>
      </c>
      <c r="V78" s="65">
        <v>1473589467.3903992</v>
      </c>
      <c r="W78" s="65">
        <v>2169325834.4802861</v>
      </c>
    </row>
    <row r="79" spans="1:25" s="16" customFormat="1" ht="12.75">
      <c r="A79" s="88"/>
      <c r="B79" s="3"/>
      <c r="F79" s="3"/>
      <c r="H79" s="3"/>
      <c r="T79" s="97"/>
    </row>
    <row r="80" spans="1:25" s="16" customFormat="1" ht="12.75">
      <c r="A80" s="88"/>
      <c r="B80" s="17" t="s">
        <v>96</v>
      </c>
      <c r="F80" s="3"/>
      <c r="H80" s="3"/>
      <c r="T80" s="97"/>
    </row>
    <row r="81" spans="1:23" s="16" customFormat="1" ht="12.75">
      <c r="A81" s="88"/>
      <c r="B81" s="3" t="s">
        <v>97</v>
      </c>
      <c r="F81" s="3"/>
      <c r="H81" s="3" t="s">
        <v>72</v>
      </c>
      <c r="J81" s="9">
        <f>SUM(L81:S81)</f>
        <v>558655315.09860158</v>
      </c>
      <c r="L81" s="65">
        <v>2933540.8299999996</v>
      </c>
      <c r="M81" s="65">
        <v>13559004.601679137</v>
      </c>
      <c r="N81" s="65">
        <v>188369394.39301234</v>
      </c>
      <c r="O81" s="65">
        <v>165071573.97249997</v>
      </c>
      <c r="P81" s="65">
        <v>1182575.9099999997</v>
      </c>
      <c r="Q81" s="65">
        <v>178109375.14175653</v>
      </c>
      <c r="R81" s="65">
        <v>5827422.8703785753</v>
      </c>
      <c r="S81" s="65">
        <v>3602427.3792749993</v>
      </c>
      <c r="T81" s="98"/>
      <c r="U81" s="65">
        <v>5449446.2950000055</v>
      </c>
      <c r="V81" s="65">
        <v>183014835.28539914</v>
      </c>
      <c r="W81" s="65">
        <v>164334738.97249997</v>
      </c>
    </row>
    <row r="82" spans="1:23" s="16" customFormat="1" ht="12.75">
      <c r="A82" s="88"/>
      <c r="B82" s="3" t="s">
        <v>87</v>
      </c>
      <c r="F82" s="3"/>
      <c r="H82" s="3" t="s">
        <v>72</v>
      </c>
      <c r="J82" s="9">
        <f t="shared" ref="J82:J83" si="25">SUM(L82:S82)</f>
        <v>168432188.20398128</v>
      </c>
      <c r="L82" s="65">
        <v>941284.08031690284</v>
      </c>
      <c r="M82" s="65">
        <v>5043147.1487070229</v>
      </c>
      <c r="N82" s="65">
        <v>69195827.505268976</v>
      </c>
      <c r="O82" s="65">
        <v>38070765.994870737</v>
      </c>
      <c r="P82" s="65">
        <v>789843.13188888284</v>
      </c>
      <c r="Q82" s="65">
        <v>46159659.713606581</v>
      </c>
      <c r="R82" s="65">
        <v>5316911.3393869009</v>
      </c>
      <c r="S82" s="65">
        <v>2914749.2899352545</v>
      </c>
      <c r="T82" s="98"/>
      <c r="U82" s="65">
        <v>1658728.2777331586</v>
      </c>
      <c r="V82" s="65">
        <v>47394067.309894077</v>
      </c>
      <c r="W82" s="65">
        <v>38111860.130200408</v>
      </c>
    </row>
    <row r="83" spans="1:23" s="16" customFormat="1" ht="12.75">
      <c r="A83" s="88"/>
      <c r="B83" s="3" t="s">
        <v>98</v>
      </c>
      <c r="F83" s="3"/>
      <c r="H83" s="3" t="s">
        <v>72</v>
      </c>
      <c r="J83" s="9">
        <f t="shared" si="25"/>
        <v>5050076477.9972868</v>
      </c>
      <c r="L83" s="65">
        <v>39765270.563371629</v>
      </c>
      <c r="M83" s="65">
        <v>159482508.38992763</v>
      </c>
      <c r="N83" s="65">
        <v>1596622978.6561651</v>
      </c>
      <c r="O83" s="65">
        <v>1474974941.9621089</v>
      </c>
      <c r="P83" s="65">
        <v>22462762.76644462</v>
      </c>
      <c r="Q83" s="65">
        <v>1531060777.1448343</v>
      </c>
      <c r="R83" s="65">
        <v>177540386.75777563</v>
      </c>
      <c r="S83" s="65">
        <v>48166851.756659724</v>
      </c>
      <c r="T83" s="98"/>
      <c r="U83" s="65">
        <v>63582170.85642492</v>
      </c>
      <c r="V83" s="65">
        <v>1585038027.295145</v>
      </c>
      <c r="W83" s="65">
        <v>1476510968.9636188</v>
      </c>
    </row>
    <row r="84" spans="1:23" s="16" customFormat="1" ht="12.75">
      <c r="A84" s="88"/>
      <c r="B84" s="3"/>
      <c r="F84" s="3"/>
      <c r="H84" s="3"/>
      <c r="T84" s="97"/>
    </row>
    <row r="85" spans="1:23" s="16" customFormat="1" ht="12.75">
      <c r="A85" s="88"/>
      <c r="B85" s="17" t="s">
        <v>99</v>
      </c>
      <c r="F85" s="3"/>
      <c r="H85" s="3"/>
      <c r="T85" s="97"/>
    </row>
    <row r="86" spans="1:23" s="16" customFormat="1" ht="12.75">
      <c r="A86" s="88"/>
      <c r="B86" s="3" t="s">
        <v>100</v>
      </c>
      <c r="F86" s="3"/>
      <c r="H86" s="3" t="s">
        <v>72</v>
      </c>
      <c r="J86" s="9">
        <f>SUM(L86:S86)</f>
        <v>0</v>
      </c>
      <c r="L86" s="65">
        <v>0</v>
      </c>
      <c r="M86" s="65">
        <v>0</v>
      </c>
      <c r="N86" s="65">
        <v>0</v>
      </c>
      <c r="O86" s="65">
        <v>0</v>
      </c>
      <c r="P86" s="65">
        <v>0</v>
      </c>
      <c r="Q86" s="65">
        <v>0</v>
      </c>
      <c r="R86" s="65">
        <v>0</v>
      </c>
      <c r="S86" s="65">
        <v>0</v>
      </c>
      <c r="T86" s="98"/>
      <c r="U86" s="65">
        <v>0</v>
      </c>
      <c r="V86" s="65">
        <v>0</v>
      </c>
      <c r="W86" s="65">
        <v>0</v>
      </c>
    </row>
    <row r="87" spans="1:23" s="16" customFormat="1" ht="12.75">
      <c r="A87" s="88"/>
      <c r="B87" s="3" t="s">
        <v>101</v>
      </c>
      <c r="F87" s="3"/>
      <c r="H87" s="3" t="s">
        <v>72</v>
      </c>
      <c r="J87" s="9">
        <f t="shared" ref="J87:J88" si="26">SUM(L87:S87)</f>
        <v>693002.45235755329</v>
      </c>
      <c r="L87" s="65">
        <v>0</v>
      </c>
      <c r="M87" s="65">
        <v>0</v>
      </c>
      <c r="N87" s="65">
        <v>0</v>
      </c>
      <c r="O87" s="65">
        <v>0</v>
      </c>
      <c r="P87" s="65">
        <v>693002.45235755329</v>
      </c>
      <c r="Q87" s="65">
        <v>0</v>
      </c>
      <c r="R87" s="65">
        <v>0</v>
      </c>
      <c r="S87" s="65">
        <v>0</v>
      </c>
      <c r="T87" s="98"/>
      <c r="U87" s="65">
        <v>0</v>
      </c>
      <c r="V87" s="65">
        <v>0</v>
      </c>
      <c r="W87" s="65">
        <v>0</v>
      </c>
    </row>
    <row r="88" spans="1:23" s="18" customFormat="1" ht="12.75">
      <c r="A88" s="89"/>
      <c r="B88" s="3" t="s">
        <v>102</v>
      </c>
      <c r="F88" s="3"/>
      <c r="H88" s="3" t="s">
        <v>72</v>
      </c>
      <c r="J88" s="9">
        <f t="shared" si="26"/>
        <v>2772009.8094302001</v>
      </c>
      <c r="L88" s="65">
        <v>-3.3096104136176E-9</v>
      </c>
      <c r="M88" s="65">
        <v>0</v>
      </c>
      <c r="N88" s="65">
        <v>0</v>
      </c>
      <c r="O88" s="65">
        <v>0</v>
      </c>
      <c r="P88" s="65">
        <v>2772009.8094302034</v>
      </c>
      <c r="Q88" s="65">
        <v>0</v>
      </c>
      <c r="R88" s="65">
        <v>0</v>
      </c>
      <c r="S88" s="65">
        <v>0</v>
      </c>
      <c r="T88" s="98"/>
      <c r="U88" s="65">
        <v>0</v>
      </c>
      <c r="V88" s="65">
        <v>0</v>
      </c>
      <c r="W88" s="65">
        <v>0</v>
      </c>
    </row>
    <row r="89" spans="1:23" s="18" customFormat="1" ht="12.75">
      <c r="A89" s="89"/>
      <c r="B89" s="3"/>
      <c r="F89" s="3"/>
      <c r="H89" s="3"/>
      <c r="T89" s="99"/>
    </row>
    <row r="90" spans="1:23" s="18" customFormat="1" ht="12.75">
      <c r="A90" s="89"/>
      <c r="B90" s="17" t="s">
        <v>103</v>
      </c>
      <c r="F90" s="3"/>
      <c r="H90" s="3"/>
      <c r="T90" s="99"/>
    </row>
    <row r="91" spans="1:23" s="18" customFormat="1" ht="12.75">
      <c r="A91" s="89"/>
      <c r="B91" s="3" t="s">
        <v>104</v>
      </c>
      <c r="F91" s="3"/>
      <c r="H91" s="3" t="s">
        <v>72</v>
      </c>
      <c r="J91" s="9">
        <f>SUM(L91:S91)</f>
        <v>0</v>
      </c>
      <c r="L91" s="65">
        <v>0</v>
      </c>
      <c r="M91" s="65">
        <v>0</v>
      </c>
      <c r="N91" s="65">
        <v>0</v>
      </c>
      <c r="O91" s="65">
        <v>0</v>
      </c>
      <c r="P91" s="65">
        <v>0</v>
      </c>
      <c r="Q91" s="65">
        <v>0</v>
      </c>
      <c r="R91" s="65">
        <v>0</v>
      </c>
      <c r="S91" s="65">
        <v>0</v>
      </c>
      <c r="T91" s="98"/>
      <c r="U91" s="65">
        <v>0</v>
      </c>
      <c r="V91" s="65">
        <v>0</v>
      </c>
      <c r="W91" s="65">
        <v>0</v>
      </c>
    </row>
    <row r="92" spans="1:23" s="18" customFormat="1" ht="12.75">
      <c r="A92" s="89"/>
      <c r="B92" s="3" t="s">
        <v>105</v>
      </c>
      <c r="F92" s="3"/>
      <c r="H92" s="3" t="s">
        <v>72</v>
      </c>
      <c r="J92" s="9">
        <f t="shared" ref="J92:J93" si="27">SUM(L92:S92)</f>
        <v>249615.54458064711</v>
      </c>
      <c r="L92" s="65">
        <v>0</v>
      </c>
      <c r="M92" s="65">
        <v>249615.54458064711</v>
      </c>
      <c r="N92" s="65">
        <v>0</v>
      </c>
      <c r="O92" s="65">
        <v>0</v>
      </c>
      <c r="P92" s="65">
        <v>0</v>
      </c>
      <c r="Q92" s="65">
        <v>0</v>
      </c>
      <c r="R92" s="65">
        <v>0</v>
      </c>
      <c r="S92" s="65">
        <v>0</v>
      </c>
      <c r="T92" s="98"/>
      <c r="U92" s="65">
        <v>0</v>
      </c>
      <c r="V92" s="65">
        <v>0</v>
      </c>
      <c r="W92" s="65">
        <v>0</v>
      </c>
    </row>
    <row r="93" spans="1:23" s="18" customFormat="1" ht="12.75">
      <c r="A93" s="89"/>
      <c r="B93" s="3" t="s">
        <v>106</v>
      </c>
      <c r="F93" s="3"/>
      <c r="H93" s="3" t="s">
        <v>72</v>
      </c>
      <c r="J93" s="9">
        <f t="shared" si="27"/>
        <v>9570957.0611266755</v>
      </c>
      <c r="L93" s="65">
        <v>0</v>
      </c>
      <c r="M93" s="65">
        <v>9570957.0611266755</v>
      </c>
      <c r="N93" s="65">
        <v>0</v>
      </c>
      <c r="O93" s="65">
        <v>0</v>
      </c>
      <c r="P93" s="65">
        <v>0</v>
      </c>
      <c r="Q93" s="65">
        <v>0</v>
      </c>
      <c r="R93" s="65">
        <v>0</v>
      </c>
      <c r="S93" s="65">
        <v>0</v>
      </c>
      <c r="T93" s="98"/>
      <c r="U93" s="65">
        <v>0</v>
      </c>
      <c r="V93" s="65">
        <v>0</v>
      </c>
      <c r="W93" s="65">
        <v>0</v>
      </c>
    </row>
    <row r="94" spans="1:23" s="18" customFormat="1" ht="12.75">
      <c r="A94" s="89"/>
      <c r="B94" s="3"/>
      <c r="F94" s="3"/>
      <c r="H94" s="3"/>
      <c r="T94" s="99"/>
    </row>
    <row r="95" spans="1:23" s="18" customFormat="1" ht="12.75">
      <c r="A95" s="89"/>
      <c r="B95" s="17" t="s">
        <v>107</v>
      </c>
      <c r="F95" s="3"/>
      <c r="H95" s="3"/>
      <c r="T95" s="99"/>
    </row>
    <row r="96" spans="1:23" s="18" customFormat="1" ht="12.75">
      <c r="A96" s="89"/>
      <c r="B96" s="3" t="s">
        <v>108</v>
      </c>
      <c r="F96" s="3"/>
      <c r="H96" s="3" t="s">
        <v>72</v>
      </c>
      <c r="J96" s="9">
        <f>SUM(L96:S96)</f>
        <v>0</v>
      </c>
      <c r="L96" s="65">
        <v>0</v>
      </c>
      <c r="M96" s="65">
        <v>0</v>
      </c>
      <c r="N96" s="65">
        <v>0</v>
      </c>
      <c r="O96" s="65">
        <v>0</v>
      </c>
      <c r="P96" s="65">
        <v>0</v>
      </c>
      <c r="Q96" s="65">
        <v>0</v>
      </c>
      <c r="R96" s="65">
        <v>0</v>
      </c>
      <c r="S96" s="65">
        <v>0</v>
      </c>
      <c r="T96" s="98"/>
      <c r="U96" s="65">
        <v>0</v>
      </c>
      <c r="V96" s="65">
        <v>0</v>
      </c>
      <c r="W96" s="65">
        <v>0</v>
      </c>
    </row>
    <row r="97" spans="1:25" s="3" customFormat="1" ht="12.75">
      <c r="A97" s="87"/>
      <c r="B97" s="3" t="s">
        <v>109</v>
      </c>
      <c r="H97" s="3" t="s">
        <v>72</v>
      </c>
      <c r="J97" s="9">
        <f t="shared" ref="J97:J98" si="28">SUM(L97:S97)</f>
        <v>1940170.4736562641</v>
      </c>
      <c r="L97" s="65">
        <v>0</v>
      </c>
      <c r="M97" s="65">
        <v>108319.33200000001</v>
      </c>
      <c r="N97" s="65">
        <v>9898.2752436480005</v>
      </c>
      <c r="O97" s="65">
        <v>433873.00253146666</v>
      </c>
      <c r="P97" s="65">
        <v>0</v>
      </c>
      <c r="Q97" s="65">
        <v>1388079.8638811496</v>
      </c>
      <c r="R97" s="65">
        <v>0</v>
      </c>
      <c r="S97" s="65">
        <v>0</v>
      </c>
      <c r="T97" s="98"/>
      <c r="U97" s="65">
        <v>0</v>
      </c>
      <c r="V97" s="65">
        <v>1388079.8638811496</v>
      </c>
      <c r="W97" s="65">
        <v>433873.00253146666</v>
      </c>
    </row>
    <row r="98" spans="1:25" s="3" customFormat="1" ht="12.75">
      <c r="A98" s="87"/>
      <c r="B98" s="3" t="s">
        <v>110</v>
      </c>
      <c r="H98" s="3" t="s">
        <v>72</v>
      </c>
      <c r="J98" s="9">
        <f t="shared" si="28"/>
        <v>23681908.678677388</v>
      </c>
      <c r="L98" s="65">
        <v>0</v>
      </c>
      <c r="M98" s="65">
        <v>812394.99</v>
      </c>
      <c r="N98" s="65">
        <v>268983.52898208005</v>
      </c>
      <c r="O98" s="65">
        <v>4260594.6872793334</v>
      </c>
      <c r="P98" s="65">
        <v>0</v>
      </c>
      <c r="Q98" s="65">
        <v>18339935.472415976</v>
      </c>
      <c r="R98" s="65">
        <v>0</v>
      </c>
      <c r="S98" s="65">
        <v>0</v>
      </c>
      <c r="T98" s="98"/>
      <c r="U98" s="65">
        <v>0</v>
      </c>
      <c r="V98" s="65">
        <v>18339935.472415976</v>
      </c>
      <c r="W98" s="65">
        <v>4260594.6872793334</v>
      </c>
    </row>
    <row r="99" spans="1:25" s="3" customFormat="1" ht="12.75">
      <c r="A99" s="87"/>
      <c r="L99" s="110"/>
      <c r="M99" s="110"/>
      <c r="N99" s="110"/>
      <c r="O99" s="110"/>
      <c r="P99" s="110"/>
      <c r="Q99" s="110"/>
      <c r="R99" s="110"/>
      <c r="S99" s="110"/>
      <c r="T99" s="110"/>
      <c r="U99" s="110"/>
      <c r="V99" s="110"/>
      <c r="W99" s="110"/>
    </row>
    <row r="100" spans="1:25" s="3" customFormat="1" ht="12.75">
      <c r="A100" s="87"/>
      <c r="B100" s="17" t="s">
        <v>125</v>
      </c>
      <c r="T100" s="71"/>
    </row>
    <row r="101" spans="1:25" s="3" customFormat="1" ht="12.75">
      <c r="A101" s="87"/>
      <c r="B101" s="3" t="s">
        <v>126</v>
      </c>
      <c r="H101" s="3" t="s">
        <v>72</v>
      </c>
      <c r="J101" s="9">
        <f>SUM(L101:S101)</f>
        <v>558655315.09860158</v>
      </c>
      <c r="L101" s="9">
        <f>L76+L81+L86+L91+L96</f>
        <v>2933540.8299999996</v>
      </c>
      <c r="M101" s="9">
        <f t="shared" ref="M101:W103" si="29">M76+M81+M86+M91+M96</f>
        <v>13559004.601679137</v>
      </c>
      <c r="N101" s="9">
        <f t="shared" si="29"/>
        <v>188369394.39301234</v>
      </c>
      <c r="O101" s="9">
        <f t="shared" si="29"/>
        <v>165071573.97249997</v>
      </c>
      <c r="P101" s="9">
        <f t="shared" si="29"/>
        <v>1182575.9099999997</v>
      </c>
      <c r="Q101" s="9">
        <f t="shared" si="29"/>
        <v>178109375.14175653</v>
      </c>
      <c r="R101" s="9">
        <f t="shared" si="29"/>
        <v>5827422.8703785753</v>
      </c>
      <c r="S101" s="9">
        <f t="shared" si="29"/>
        <v>3602427.3792749993</v>
      </c>
      <c r="T101" s="12"/>
      <c r="U101" s="9">
        <f t="shared" si="29"/>
        <v>5449446.2950000055</v>
      </c>
      <c r="V101" s="9">
        <f t="shared" si="29"/>
        <v>183014835.28539914</v>
      </c>
      <c r="W101" s="9">
        <f t="shared" ref="W101" si="30">W76+W81+W86+W91+W96</f>
        <v>164334738.97249997</v>
      </c>
    </row>
    <row r="102" spans="1:25" s="3" customFormat="1" ht="12.75">
      <c r="A102" s="87"/>
      <c r="B102" s="3" t="s">
        <v>87</v>
      </c>
      <c r="H102" s="3" t="s">
        <v>72</v>
      </c>
      <c r="J102" s="9">
        <f t="shared" ref="J102:J103" si="31">SUM(L102:S102)</f>
        <v>556803493.29384804</v>
      </c>
      <c r="L102" s="9">
        <f t="shared" ref="L102:U103" si="32">L77+L82+L87+L92+L97</f>
        <v>3406106.1180633539</v>
      </c>
      <c r="M102" s="9">
        <f t="shared" si="32"/>
        <v>15684026.927420018</v>
      </c>
      <c r="N102" s="9">
        <f t="shared" si="32"/>
        <v>205269693.3591783</v>
      </c>
      <c r="O102" s="9">
        <f t="shared" si="32"/>
        <v>160302177.39241308</v>
      </c>
      <c r="P102" s="9">
        <f t="shared" si="32"/>
        <v>3425506.9859129041</v>
      </c>
      <c r="Q102" s="9">
        <f t="shared" si="32"/>
        <v>150262076.16401246</v>
      </c>
      <c r="R102" s="9">
        <f t="shared" si="32"/>
        <v>9352363.9907346517</v>
      </c>
      <c r="S102" s="9">
        <f t="shared" si="32"/>
        <v>9101542.3561132401</v>
      </c>
      <c r="T102" s="12"/>
      <c r="U102" s="9">
        <f t="shared" si="32"/>
        <v>5494357.071429275</v>
      </c>
      <c r="V102" s="9">
        <f t="shared" si="29"/>
        <v>154510515.18496522</v>
      </c>
      <c r="W102" s="9">
        <f t="shared" si="29"/>
        <v>160708615.33200163</v>
      </c>
    </row>
    <row r="103" spans="1:25" s="3" customFormat="1" ht="12.75">
      <c r="A103" s="87"/>
      <c r="B103" s="3" t="s">
        <v>127</v>
      </c>
      <c r="H103" s="3" t="s">
        <v>72</v>
      </c>
      <c r="J103" s="9">
        <f t="shared" si="31"/>
        <v>10862278747.905584</v>
      </c>
      <c r="L103" s="9">
        <f t="shared" si="32"/>
        <v>61218856.611942187</v>
      </c>
      <c r="M103" s="9">
        <f t="shared" si="32"/>
        <v>267604958.97335887</v>
      </c>
      <c r="N103" s="9">
        <f t="shared" si="32"/>
        <v>3526354445.3768053</v>
      </c>
      <c r="O103" s="9">
        <f t="shared" si="32"/>
        <v>3642073723.3370061</v>
      </c>
      <c r="P103" s="9">
        <f t="shared" si="32"/>
        <v>34572702.532766834</v>
      </c>
      <c r="Q103" s="9">
        <f t="shared" si="32"/>
        <v>2980982107.384223</v>
      </c>
      <c r="R103" s="9">
        <f t="shared" si="32"/>
        <v>250428148.11007625</v>
      </c>
      <c r="S103" s="9">
        <f t="shared" si="32"/>
        <v>99043805.579404369</v>
      </c>
      <c r="T103" s="12"/>
      <c r="U103" s="9">
        <f t="shared" si="32"/>
        <v>117973513.31531385</v>
      </c>
      <c r="V103" s="9">
        <f t="shared" si="29"/>
        <v>3076967430.1579599</v>
      </c>
      <c r="W103" s="9">
        <f t="shared" si="29"/>
        <v>3650097398.1311841</v>
      </c>
    </row>
    <row r="104" spans="1:25" s="16" customFormat="1" ht="12.75">
      <c r="B104" s="3"/>
      <c r="F104" s="3"/>
      <c r="H104" s="3"/>
    </row>
    <row r="105" spans="1:25" s="4" customFormat="1" ht="12.75">
      <c r="A105" s="4" t="s">
        <v>124</v>
      </c>
      <c r="B105" s="4" t="s">
        <v>86</v>
      </c>
    </row>
    <row r="106" spans="1:25" s="16" customFormat="1" ht="12.75">
      <c r="B106" s="3"/>
      <c r="F106" s="3"/>
      <c r="H106" s="3"/>
    </row>
    <row r="107" spans="1:25" s="16" customFormat="1" ht="12.75">
      <c r="A107" s="88"/>
      <c r="B107" s="17" t="s">
        <v>92</v>
      </c>
      <c r="F107" s="3"/>
      <c r="H107" s="3"/>
    </row>
    <row r="108" spans="1:25" s="16" customFormat="1" ht="12.75">
      <c r="A108" s="88"/>
      <c r="B108" s="3" t="s">
        <v>93</v>
      </c>
      <c r="F108" s="3"/>
      <c r="H108" s="3" t="s">
        <v>73</v>
      </c>
      <c r="J108" s="9">
        <f>SUM(L108:S108)</f>
        <v>0</v>
      </c>
      <c r="L108" s="65">
        <v>0</v>
      </c>
      <c r="M108" s="65">
        <v>0</v>
      </c>
      <c r="N108" s="65">
        <v>0</v>
      </c>
      <c r="O108" s="65">
        <v>0</v>
      </c>
      <c r="P108" s="65">
        <v>0</v>
      </c>
      <c r="Q108" s="65">
        <v>0</v>
      </c>
      <c r="R108" s="65">
        <v>0</v>
      </c>
      <c r="S108" s="65">
        <v>0</v>
      </c>
      <c r="T108" s="61"/>
      <c r="U108" s="65">
        <v>0</v>
      </c>
      <c r="V108" s="65">
        <v>0</v>
      </c>
      <c r="W108" s="65">
        <v>0</v>
      </c>
      <c r="Y108" s="30" t="s">
        <v>323</v>
      </c>
    </row>
    <row r="109" spans="1:25" s="16" customFormat="1" ht="12.75">
      <c r="A109" s="88"/>
      <c r="B109" s="3" t="s">
        <v>94</v>
      </c>
      <c r="F109" s="3"/>
      <c r="H109" s="3" t="s">
        <v>73</v>
      </c>
      <c r="J109" s="9">
        <f t="shared" ref="J109:J110" si="33">SUM(L109:S109)</f>
        <v>389343401.78546488</v>
      </c>
      <c r="L109" s="65">
        <v>2489470.2581239156</v>
      </c>
      <c r="M109" s="65">
        <v>10385774.351153672</v>
      </c>
      <c r="N109" s="65">
        <v>137424607.25445232</v>
      </c>
      <c r="O109" s="65">
        <v>123015513.77896096</v>
      </c>
      <c r="P109" s="65">
        <v>1962088.0156831327</v>
      </c>
      <c r="Q109" s="65">
        <v>103741479.95238997</v>
      </c>
      <c r="R109" s="65">
        <v>4075807.1778612281</v>
      </c>
      <c r="S109" s="65">
        <v>6248660.9968397655</v>
      </c>
      <c r="T109" s="61"/>
      <c r="U109" s="65">
        <v>3873985.0816330775</v>
      </c>
      <c r="V109" s="65">
        <v>106785651.69130188</v>
      </c>
      <c r="W109" s="65">
        <v>123384511.02126244</v>
      </c>
    </row>
    <row r="110" spans="1:25" s="16" customFormat="1" ht="12.75">
      <c r="A110" s="88"/>
      <c r="B110" s="3" t="s">
        <v>95</v>
      </c>
      <c r="F110" s="3"/>
      <c r="H110" s="3" t="s">
        <v>73</v>
      </c>
      <c r="J110" s="9">
        <f t="shared" si="33"/>
        <v>5444595766.5171862</v>
      </c>
      <c r="L110" s="65">
        <v>19178651.650932346</v>
      </c>
      <c r="M110" s="65">
        <v>88330715.16647391</v>
      </c>
      <c r="N110" s="65">
        <v>1811332500.7691226</v>
      </c>
      <c r="O110" s="65">
        <v>2061451054.775533</v>
      </c>
      <c r="P110" s="65">
        <v>7469221.2407777961</v>
      </c>
      <c r="Q110" s="65">
        <v>1342155728.7622526</v>
      </c>
      <c r="R110" s="65">
        <v>69540831.787962407</v>
      </c>
      <c r="S110" s="65">
        <v>45137062.364132322</v>
      </c>
      <c r="T110" s="61"/>
      <c r="U110" s="65">
        <v>51061270.801844738</v>
      </c>
      <c r="V110" s="65">
        <v>1381539710.3730013</v>
      </c>
      <c r="W110" s="65">
        <v>2067634581.8038268</v>
      </c>
    </row>
    <row r="111" spans="1:25" s="16" customFormat="1" ht="12.75">
      <c r="A111" s="88"/>
      <c r="B111" s="3"/>
      <c r="F111" s="3"/>
      <c r="H111" s="3"/>
      <c r="T111" s="97"/>
    </row>
    <row r="112" spans="1:25" s="16" customFormat="1" ht="12.75">
      <c r="A112" s="88"/>
      <c r="B112" s="17" t="s">
        <v>96</v>
      </c>
      <c r="F112" s="3"/>
      <c r="H112" s="3"/>
      <c r="T112" s="97"/>
    </row>
    <row r="113" spans="1:23" s="16" customFormat="1" ht="12.75">
      <c r="A113" s="88"/>
      <c r="B113" s="3" t="s">
        <v>97</v>
      </c>
      <c r="F113" s="3"/>
      <c r="H113" s="3" t="s">
        <v>73</v>
      </c>
      <c r="J113" s="9">
        <f>SUM(L113:S113)</f>
        <v>581217822.06120706</v>
      </c>
      <c r="L113" s="65">
        <v>1519715.7447459218</v>
      </c>
      <c r="M113" s="65">
        <v>23582649.814661585</v>
      </c>
      <c r="N113" s="65">
        <v>181749568.90639356</v>
      </c>
      <c r="O113" s="65">
        <v>226380875.0142571</v>
      </c>
      <c r="P113" s="65">
        <v>1997900.5600000003</v>
      </c>
      <c r="Q113" s="65">
        <v>132132253.46892956</v>
      </c>
      <c r="R113" s="65">
        <v>6361719.7387392893</v>
      </c>
      <c r="S113" s="65">
        <v>7493138.8134799991</v>
      </c>
      <c r="T113" s="98"/>
      <c r="U113" s="65">
        <v>3295286.129999999</v>
      </c>
      <c r="V113" s="65">
        <v>132132253.46892956</v>
      </c>
      <c r="W113" s="65">
        <v>225459044.0142571</v>
      </c>
    </row>
    <row r="114" spans="1:23" s="16" customFormat="1" ht="12.75">
      <c r="A114" s="88"/>
      <c r="B114" s="3" t="s">
        <v>87</v>
      </c>
      <c r="F114" s="3"/>
      <c r="H114" s="3" t="s">
        <v>73</v>
      </c>
      <c r="J114" s="9">
        <f t="shared" ref="J114:J115" si="34">SUM(L114:S114)</f>
        <v>182359687.68386334</v>
      </c>
      <c r="L114" s="65">
        <v>999340.14661725913</v>
      </c>
      <c r="M114" s="65">
        <v>5529182.2558687842</v>
      </c>
      <c r="N114" s="65">
        <v>70466700.076911181</v>
      </c>
      <c r="O114" s="65">
        <v>43309963.961124212</v>
      </c>
      <c r="P114" s="65">
        <v>805339.95078115468</v>
      </c>
      <c r="Q114" s="65">
        <v>52657629.344188087</v>
      </c>
      <c r="R114" s="65">
        <v>5561903.658255225</v>
      </c>
      <c r="S114" s="65">
        <v>3029628.2901174477</v>
      </c>
      <c r="T114" s="98"/>
      <c r="U114" s="65">
        <v>1778586.4316998012</v>
      </c>
      <c r="V114" s="65">
        <v>53956330.733742461</v>
      </c>
      <c r="W114" s="65">
        <v>43334808.694307178</v>
      </c>
    </row>
    <row r="115" spans="1:23" s="16" customFormat="1" ht="12.75">
      <c r="A115" s="88"/>
      <c r="B115" s="3" t="s">
        <v>98</v>
      </c>
      <c r="F115" s="3"/>
      <c r="H115" s="3" t="s">
        <v>73</v>
      </c>
      <c r="J115" s="9">
        <f t="shared" si="34"/>
        <v>5499435377.1546049</v>
      </c>
      <c r="L115" s="65">
        <v>40683298.867134005</v>
      </c>
      <c r="M115" s="65">
        <v>179130801.03261971</v>
      </c>
      <c r="N115" s="65">
        <v>1723872077.2722092</v>
      </c>
      <c r="O115" s="65">
        <v>1672795602.4348626</v>
      </c>
      <c r="P115" s="65">
        <v>23879951.003327906</v>
      </c>
      <c r="Q115" s="65">
        <v>1625846009.0410242</v>
      </c>
      <c r="R115" s="65">
        <v>180115606.70583743</v>
      </c>
      <c r="S115" s="65">
        <v>53112030.79758887</v>
      </c>
      <c r="T115" s="98"/>
      <c r="U115" s="65">
        <v>65734692.26328937</v>
      </c>
      <c r="V115" s="65">
        <v>1679064330.3032839</v>
      </c>
      <c r="W115" s="65">
        <v>1673400313.9732046</v>
      </c>
    </row>
    <row r="116" spans="1:23" s="16" customFormat="1" ht="12.75">
      <c r="A116" s="88"/>
      <c r="B116" s="3"/>
      <c r="F116" s="3"/>
      <c r="H116" s="3"/>
      <c r="T116" s="97"/>
    </row>
    <row r="117" spans="1:23" s="16" customFormat="1" ht="12.75">
      <c r="A117" s="88"/>
      <c r="B117" s="17" t="s">
        <v>99</v>
      </c>
      <c r="F117" s="3"/>
      <c r="H117" s="3"/>
      <c r="T117" s="97"/>
    </row>
    <row r="118" spans="1:23" s="16" customFormat="1" ht="12.75">
      <c r="A118" s="88"/>
      <c r="B118" s="3" t="s">
        <v>100</v>
      </c>
      <c r="F118" s="3"/>
      <c r="H118" s="3" t="s">
        <v>73</v>
      </c>
      <c r="J118" s="9">
        <f>SUM(L118:S118)</f>
        <v>0</v>
      </c>
      <c r="L118" s="65">
        <v>0</v>
      </c>
      <c r="M118" s="65">
        <v>0</v>
      </c>
      <c r="N118" s="65">
        <v>0</v>
      </c>
      <c r="O118" s="65">
        <v>0</v>
      </c>
      <c r="P118" s="65">
        <v>0</v>
      </c>
      <c r="Q118" s="65">
        <v>0</v>
      </c>
      <c r="R118" s="65">
        <v>0</v>
      </c>
      <c r="S118" s="65">
        <v>0</v>
      </c>
      <c r="T118" s="98"/>
      <c r="U118" s="65">
        <v>0</v>
      </c>
      <c r="V118" s="65">
        <v>0</v>
      </c>
      <c r="W118" s="65">
        <v>0</v>
      </c>
    </row>
    <row r="119" spans="1:23" s="16" customFormat="1" ht="12.75">
      <c r="A119" s="88"/>
      <c r="B119" s="3" t="s">
        <v>101</v>
      </c>
      <c r="F119" s="3"/>
      <c r="H119" s="3" t="s">
        <v>73</v>
      </c>
      <c r="J119" s="9">
        <f t="shared" ref="J119:J120" si="35">SUM(L119:S119)</f>
        <v>699932.47688112885</v>
      </c>
      <c r="L119" s="65">
        <v>0</v>
      </c>
      <c r="M119" s="65">
        <v>0</v>
      </c>
      <c r="N119" s="65">
        <v>0</v>
      </c>
      <c r="O119" s="65">
        <v>0</v>
      </c>
      <c r="P119" s="65">
        <v>699932.47688112885</v>
      </c>
      <c r="Q119" s="65">
        <v>0</v>
      </c>
      <c r="R119" s="65">
        <v>0</v>
      </c>
      <c r="S119" s="65">
        <v>0</v>
      </c>
      <c r="T119" s="98"/>
      <c r="U119" s="65">
        <v>0</v>
      </c>
      <c r="V119" s="65">
        <v>0</v>
      </c>
      <c r="W119" s="65">
        <v>0</v>
      </c>
    </row>
    <row r="120" spans="1:23" s="18" customFormat="1" ht="12.75">
      <c r="A120" s="89"/>
      <c r="B120" s="3" t="s">
        <v>102</v>
      </c>
      <c r="F120" s="3"/>
      <c r="H120" s="3" t="s">
        <v>73</v>
      </c>
      <c r="J120" s="9">
        <f t="shared" si="35"/>
        <v>2099797.4306433732</v>
      </c>
      <c r="L120" s="65">
        <v>-3.3427065177537763E-9</v>
      </c>
      <c r="M120" s="65">
        <v>0</v>
      </c>
      <c r="N120" s="65">
        <v>0</v>
      </c>
      <c r="O120" s="65">
        <v>0</v>
      </c>
      <c r="P120" s="65">
        <v>2099797.4306433764</v>
      </c>
      <c r="Q120" s="65">
        <v>0</v>
      </c>
      <c r="R120" s="65">
        <v>0</v>
      </c>
      <c r="S120" s="65">
        <v>0</v>
      </c>
      <c r="T120" s="98"/>
      <c r="U120" s="65">
        <v>0</v>
      </c>
      <c r="V120" s="65">
        <v>0</v>
      </c>
      <c r="W120" s="65">
        <v>0</v>
      </c>
    </row>
    <row r="121" spans="1:23" s="18" customFormat="1" ht="12.75">
      <c r="A121" s="89"/>
      <c r="B121" s="3"/>
      <c r="F121" s="3"/>
      <c r="H121" s="3"/>
      <c r="T121" s="99"/>
    </row>
    <row r="122" spans="1:23" s="18" customFormat="1" ht="12.75">
      <c r="A122" s="89"/>
      <c r="B122" s="17" t="s">
        <v>103</v>
      </c>
      <c r="F122" s="3"/>
      <c r="H122" s="3"/>
      <c r="T122" s="99"/>
    </row>
    <row r="123" spans="1:23" s="18" customFormat="1" ht="12.75">
      <c r="A123" s="89"/>
      <c r="B123" s="3" t="s">
        <v>104</v>
      </c>
      <c r="F123" s="3"/>
      <c r="H123" s="3" t="s">
        <v>73</v>
      </c>
      <c r="J123" s="9">
        <f>SUM(L123:S123)</f>
        <v>0</v>
      </c>
      <c r="L123" s="65">
        <v>0</v>
      </c>
      <c r="M123" s="65">
        <v>0</v>
      </c>
      <c r="N123" s="65">
        <v>0</v>
      </c>
      <c r="O123" s="65">
        <v>0</v>
      </c>
      <c r="P123" s="65">
        <v>0</v>
      </c>
      <c r="Q123" s="65">
        <v>0</v>
      </c>
      <c r="R123" s="65">
        <v>0</v>
      </c>
      <c r="S123" s="65">
        <v>0</v>
      </c>
      <c r="T123" s="98"/>
      <c r="U123" s="65">
        <v>0</v>
      </c>
      <c r="V123" s="65">
        <v>0</v>
      </c>
      <c r="W123" s="65">
        <v>0</v>
      </c>
    </row>
    <row r="124" spans="1:23" s="18" customFormat="1" ht="12.75">
      <c r="A124" s="89"/>
      <c r="B124" s="3" t="s">
        <v>105</v>
      </c>
      <c r="F124" s="3"/>
      <c r="H124" s="3" t="s">
        <v>73</v>
      </c>
      <c r="J124" s="9">
        <f t="shared" ref="J124:J125" si="36">SUM(L124:S124)</f>
        <v>252111.70002645359</v>
      </c>
      <c r="L124" s="65">
        <v>0</v>
      </c>
      <c r="M124" s="65">
        <v>252111.70002645359</v>
      </c>
      <c r="N124" s="65">
        <v>0</v>
      </c>
      <c r="O124" s="65">
        <v>0</v>
      </c>
      <c r="P124" s="65">
        <v>0</v>
      </c>
      <c r="Q124" s="65">
        <v>0</v>
      </c>
      <c r="R124" s="65">
        <v>0</v>
      </c>
      <c r="S124" s="65">
        <v>0</v>
      </c>
      <c r="T124" s="98"/>
      <c r="U124" s="65">
        <v>0</v>
      </c>
      <c r="V124" s="65">
        <v>0</v>
      </c>
      <c r="W124" s="65">
        <v>0</v>
      </c>
    </row>
    <row r="125" spans="1:23" s="18" customFormat="1" ht="12.75">
      <c r="A125" s="89"/>
      <c r="B125" s="3" t="s">
        <v>106</v>
      </c>
      <c r="F125" s="3"/>
      <c r="H125" s="3" t="s">
        <v>73</v>
      </c>
      <c r="J125" s="9">
        <f t="shared" si="36"/>
        <v>9414554.9317114875</v>
      </c>
      <c r="L125" s="65">
        <v>0</v>
      </c>
      <c r="M125" s="65">
        <v>9414554.9317114875</v>
      </c>
      <c r="N125" s="65">
        <v>0</v>
      </c>
      <c r="O125" s="65">
        <v>0</v>
      </c>
      <c r="P125" s="65">
        <v>0</v>
      </c>
      <c r="Q125" s="65">
        <v>0</v>
      </c>
      <c r="R125" s="65">
        <v>0</v>
      </c>
      <c r="S125" s="65">
        <v>0</v>
      </c>
      <c r="T125" s="98"/>
      <c r="U125" s="65">
        <v>0</v>
      </c>
      <c r="V125" s="65">
        <v>0</v>
      </c>
      <c r="W125" s="65">
        <v>0</v>
      </c>
    </row>
    <row r="126" spans="1:23" s="18" customFormat="1" ht="12.75">
      <c r="A126" s="89"/>
      <c r="B126" s="3"/>
      <c r="F126" s="3"/>
      <c r="H126" s="3"/>
      <c r="T126" s="99"/>
    </row>
    <row r="127" spans="1:23" s="18" customFormat="1" ht="12.75">
      <c r="A127" s="89"/>
      <c r="B127" s="17" t="s">
        <v>107</v>
      </c>
      <c r="F127" s="3"/>
      <c r="H127" s="3"/>
      <c r="T127" s="99"/>
    </row>
    <row r="128" spans="1:23" s="18" customFormat="1" ht="12.75">
      <c r="A128" s="89"/>
      <c r="B128" s="3" t="s">
        <v>108</v>
      </c>
      <c r="F128" s="3"/>
      <c r="H128" s="3" t="s">
        <v>73</v>
      </c>
      <c r="J128" s="9">
        <f>SUM(L128:S128)</f>
        <v>135517.27272727274</v>
      </c>
      <c r="L128" s="65">
        <v>0</v>
      </c>
      <c r="M128" s="65">
        <v>0</v>
      </c>
      <c r="N128" s="65">
        <v>0</v>
      </c>
      <c r="O128" s="65">
        <v>0</v>
      </c>
      <c r="P128" s="65">
        <v>0</v>
      </c>
      <c r="Q128" s="65">
        <v>0</v>
      </c>
      <c r="R128" s="65">
        <v>135517.27272727274</v>
      </c>
      <c r="S128" s="65">
        <v>0</v>
      </c>
      <c r="T128" s="98"/>
      <c r="U128" s="65">
        <v>0</v>
      </c>
      <c r="V128" s="65">
        <v>0</v>
      </c>
      <c r="W128" s="65">
        <v>0</v>
      </c>
    </row>
    <row r="129" spans="1:23" s="3" customFormat="1" ht="12.75">
      <c r="A129" s="87"/>
      <c r="B129" s="3" t="s">
        <v>109</v>
      </c>
      <c r="H129" s="3" t="s">
        <v>73</v>
      </c>
      <c r="J129" s="9">
        <f t="shared" ref="J129:J130" si="37">SUM(L129:S129)</f>
        <v>1973123.9056655539</v>
      </c>
      <c r="L129" s="65">
        <v>0</v>
      </c>
      <c r="M129" s="65">
        <v>109402.52532</v>
      </c>
      <c r="N129" s="65">
        <v>9997.2579960844832</v>
      </c>
      <c r="O129" s="65">
        <v>438211.73255678132</v>
      </c>
      <c r="P129" s="65">
        <v>0</v>
      </c>
      <c r="Q129" s="65">
        <v>1401960.6625199609</v>
      </c>
      <c r="R129" s="65">
        <v>13551.727272727274</v>
      </c>
      <c r="S129" s="65">
        <v>0</v>
      </c>
      <c r="T129" s="98"/>
      <c r="U129" s="65">
        <v>0</v>
      </c>
      <c r="V129" s="65">
        <v>1401960.6625199609</v>
      </c>
      <c r="W129" s="65">
        <v>438211.73255678132</v>
      </c>
    </row>
    <row r="130" spans="1:23" s="3" customFormat="1" ht="12.75">
      <c r="A130" s="87"/>
      <c r="B130" s="3" t="s">
        <v>110</v>
      </c>
      <c r="H130" s="3" t="s">
        <v>73</v>
      </c>
      <c r="J130" s="9">
        <f t="shared" si="37"/>
        <v>22081121.132525884</v>
      </c>
      <c r="L130" s="65">
        <v>0</v>
      </c>
      <c r="M130" s="65">
        <v>711116.41457999998</v>
      </c>
      <c r="N130" s="65">
        <v>261676.10627581636</v>
      </c>
      <c r="O130" s="65">
        <v>3864988.9015953452</v>
      </c>
      <c r="P130" s="65">
        <v>0</v>
      </c>
      <c r="Q130" s="65">
        <v>17121374.164620176</v>
      </c>
      <c r="R130" s="65">
        <v>121965.54545454546</v>
      </c>
      <c r="S130" s="65">
        <v>0</v>
      </c>
      <c r="T130" s="98"/>
      <c r="U130" s="65">
        <v>0</v>
      </c>
      <c r="V130" s="65">
        <v>17121374.164620176</v>
      </c>
      <c r="W130" s="65">
        <v>3864988.9015953452</v>
      </c>
    </row>
    <row r="131" spans="1:23" s="3" customFormat="1" ht="12.75">
      <c r="A131" s="87"/>
      <c r="L131" s="10"/>
      <c r="M131" s="10"/>
      <c r="N131" s="10"/>
      <c r="O131" s="10"/>
      <c r="P131" s="10"/>
      <c r="Q131" s="10"/>
      <c r="R131" s="10"/>
      <c r="S131" s="10"/>
      <c r="T131" s="10"/>
      <c r="U131" s="10"/>
      <c r="V131" s="10"/>
      <c r="W131" s="10"/>
    </row>
    <row r="132" spans="1:23" s="3" customFormat="1" ht="12.75">
      <c r="A132" s="87"/>
      <c r="B132" s="17" t="s">
        <v>125</v>
      </c>
      <c r="T132" s="71"/>
    </row>
    <row r="133" spans="1:23" s="3" customFormat="1" ht="12.75">
      <c r="A133" s="87"/>
      <c r="B133" s="3" t="s">
        <v>126</v>
      </c>
      <c r="H133" s="3" t="s">
        <v>73</v>
      </c>
      <c r="J133" s="9">
        <f>SUM(L133:S133)</f>
        <v>581353339.33393431</v>
      </c>
      <c r="L133" s="9">
        <f>L108+L113+L118+L123+L128</f>
        <v>1519715.7447459218</v>
      </c>
      <c r="M133" s="9">
        <f t="shared" ref="M133:V133" si="38">M108+M113+M118+M123+M128</f>
        <v>23582649.814661585</v>
      </c>
      <c r="N133" s="9">
        <f t="shared" si="38"/>
        <v>181749568.90639356</v>
      </c>
      <c r="O133" s="9">
        <f t="shared" si="38"/>
        <v>226380875.0142571</v>
      </c>
      <c r="P133" s="9">
        <f t="shared" si="38"/>
        <v>1997900.5600000003</v>
      </c>
      <c r="Q133" s="9">
        <f t="shared" si="38"/>
        <v>132132253.46892956</v>
      </c>
      <c r="R133" s="9">
        <f t="shared" si="38"/>
        <v>6497237.0114665618</v>
      </c>
      <c r="S133" s="9">
        <f t="shared" si="38"/>
        <v>7493138.8134799991</v>
      </c>
      <c r="T133" s="12"/>
      <c r="U133" s="9">
        <f t="shared" si="38"/>
        <v>3295286.129999999</v>
      </c>
      <c r="V133" s="9">
        <f t="shared" si="38"/>
        <v>132132253.46892956</v>
      </c>
      <c r="W133" s="9">
        <f t="shared" ref="W133" si="39">W108+W113+W118+W123+W128</f>
        <v>225459044.0142571</v>
      </c>
    </row>
    <row r="134" spans="1:23" s="3" customFormat="1" ht="12.75">
      <c r="A134" s="87"/>
      <c r="B134" s="3" t="s">
        <v>87</v>
      </c>
      <c r="H134" s="3" t="s">
        <v>73</v>
      </c>
      <c r="J134" s="9">
        <f t="shared" ref="J134:J135" si="40">SUM(L134:S134)</f>
        <v>574628257.55190146</v>
      </c>
      <c r="L134" s="9">
        <f t="shared" ref="L134" si="41">L109+L114+L119+L124+L129</f>
        <v>3488810.4047411745</v>
      </c>
      <c r="M134" s="9">
        <f t="shared" ref="M134:V134" si="42">M109+M114+M119+M124+M129</f>
        <v>16276470.83236891</v>
      </c>
      <c r="N134" s="9">
        <f t="shared" si="42"/>
        <v>207901304.58935958</v>
      </c>
      <c r="O134" s="9">
        <f t="shared" si="42"/>
        <v>166763689.47264197</v>
      </c>
      <c r="P134" s="9">
        <f t="shared" si="42"/>
        <v>3467360.4433454163</v>
      </c>
      <c r="Q134" s="9">
        <f t="shared" si="42"/>
        <v>157801069.95909801</v>
      </c>
      <c r="R134" s="9">
        <f t="shared" si="42"/>
        <v>9651262.5633891802</v>
      </c>
      <c r="S134" s="9">
        <f t="shared" si="42"/>
        <v>9278289.2869572137</v>
      </c>
      <c r="T134" s="12"/>
      <c r="U134" s="9">
        <f t="shared" si="42"/>
        <v>5652571.5133328792</v>
      </c>
      <c r="V134" s="9">
        <f t="shared" si="42"/>
        <v>162143943.08756432</v>
      </c>
      <c r="W134" s="9">
        <f t="shared" ref="W134" si="43">W109+W114+W119+W124+W129</f>
        <v>167157531.44812641</v>
      </c>
    </row>
    <row r="135" spans="1:23" s="3" customFormat="1" ht="12.75">
      <c r="A135" s="87"/>
      <c r="B135" s="3" t="s">
        <v>127</v>
      </c>
      <c r="H135" s="3" t="s">
        <v>73</v>
      </c>
      <c r="J135" s="9">
        <f t="shared" si="40"/>
        <v>10977626617.166672</v>
      </c>
      <c r="L135" s="9">
        <f t="shared" ref="L135" si="44">L110+L115+L120+L125+L130</f>
        <v>59861950.518066347</v>
      </c>
      <c r="M135" s="9">
        <f t="shared" ref="M135:V135" si="45">M110+M115+M120+M125+M130</f>
        <v>277587187.54538512</v>
      </c>
      <c r="N135" s="9">
        <f t="shared" si="45"/>
        <v>3535466254.1476078</v>
      </c>
      <c r="O135" s="9">
        <f t="shared" si="45"/>
        <v>3738111646.1119909</v>
      </c>
      <c r="P135" s="9">
        <f t="shared" si="45"/>
        <v>33448969.67474908</v>
      </c>
      <c r="Q135" s="9">
        <f t="shared" si="45"/>
        <v>2985123111.9678974</v>
      </c>
      <c r="R135" s="9">
        <f t="shared" si="45"/>
        <v>249778404.03925437</v>
      </c>
      <c r="S135" s="9">
        <f t="shared" si="45"/>
        <v>98249093.1617212</v>
      </c>
      <c r="T135" s="12"/>
      <c r="U135" s="9">
        <f t="shared" si="45"/>
        <v>116795963.06513411</v>
      </c>
      <c r="V135" s="9">
        <f t="shared" si="45"/>
        <v>3077725414.8409057</v>
      </c>
      <c r="W135" s="9">
        <f t="shared" ref="W135" si="46">W110+W115+W120+W125+W130</f>
        <v>3744899884.6786265</v>
      </c>
    </row>
    <row r="136" spans="1:23" s="3" customFormat="1" ht="12.75"/>
    <row r="137" spans="1:23" s="3" customFormat="1" ht="12.75"/>
    <row r="138" spans="1:23" s="3" customFormat="1" ht="12.75"/>
    <row r="139" spans="1:23" s="3" customFormat="1" ht="12.75"/>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0">
    <tabColor rgb="FFCCFFCC"/>
  </sheetPr>
  <dimension ref="A1:P31"/>
  <sheetViews>
    <sheetView showGridLines="0" zoomScale="85" zoomScaleNormal="85" workbookViewId="0"/>
  </sheetViews>
  <sheetFormatPr defaultRowHeight="14.25"/>
  <cols>
    <col min="1" max="1" width="2.7109375" style="114" customWidth="1"/>
    <col min="2" max="2" width="24.7109375" style="114" customWidth="1"/>
    <col min="3" max="5" width="9.140625" style="114"/>
    <col min="6" max="6" width="9.140625" style="114" customWidth="1"/>
    <col min="7" max="15" width="13.28515625" style="114" customWidth="1"/>
    <col min="16" max="16384" width="9.140625" style="114"/>
  </cols>
  <sheetData>
    <row r="1" spans="1:16">
      <c r="B1" s="3" t="s">
        <v>350</v>
      </c>
    </row>
    <row r="2" spans="1:16" s="1" customFormat="1" ht="18" customHeight="1">
      <c r="B2" s="2" t="s">
        <v>178</v>
      </c>
    </row>
    <row r="3" spans="1:16">
      <c r="B3" s="3"/>
      <c r="C3" s="3"/>
      <c r="D3" s="3"/>
      <c r="E3" s="3"/>
      <c r="F3" s="3"/>
      <c r="G3" s="3"/>
      <c r="H3" s="3"/>
      <c r="I3" s="3"/>
      <c r="J3" s="3"/>
      <c r="K3" s="3"/>
      <c r="L3" s="3"/>
      <c r="M3" s="3"/>
      <c r="N3" s="3"/>
      <c r="O3" s="3"/>
      <c r="P3" s="3"/>
    </row>
    <row r="4" spans="1:16">
      <c r="B4" s="22" t="s">
        <v>188</v>
      </c>
      <c r="C4" s="3"/>
      <c r="D4" s="3"/>
      <c r="E4" s="3"/>
      <c r="F4" s="3"/>
      <c r="G4" s="3"/>
      <c r="H4" s="3"/>
      <c r="I4" s="3"/>
      <c r="J4" s="3"/>
      <c r="K4" s="3"/>
      <c r="L4" s="3"/>
      <c r="M4" s="3"/>
      <c r="N4" s="3"/>
      <c r="O4" s="3"/>
      <c r="P4" s="3"/>
    </row>
    <row r="5" spans="1:16">
      <c r="B5" s="22" t="s">
        <v>189</v>
      </c>
      <c r="C5" s="3"/>
      <c r="D5" s="3"/>
      <c r="E5" s="3"/>
      <c r="F5" s="3"/>
      <c r="G5" s="3"/>
      <c r="H5" s="3"/>
      <c r="I5" s="3"/>
      <c r="J5" s="3"/>
      <c r="K5" s="3"/>
      <c r="L5" s="3"/>
      <c r="M5" s="3"/>
      <c r="N5" s="3"/>
      <c r="O5" s="3"/>
      <c r="P5" s="3"/>
    </row>
    <row r="6" spans="1:16">
      <c r="B6" s="22" t="s">
        <v>190</v>
      </c>
      <c r="C6" s="3"/>
      <c r="D6" s="3"/>
      <c r="E6" s="3"/>
      <c r="F6" s="3"/>
      <c r="G6" s="3"/>
      <c r="H6" s="3"/>
      <c r="I6" s="3"/>
      <c r="J6" s="3"/>
      <c r="K6" s="3"/>
      <c r="L6" s="3"/>
      <c r="M6" s="3"/>
      <c r="N6" s="3"/>
      <c r="O6" s="3"/>
      <c r="P6" s="3"/>
    </row>
    <row r="7" spans="1:16">
      <c r="B7" s="3"/>
      <c r="C7" s="3"/>
      <c r="D7" s="3"/>
      <c r="E7" s="3"/>
      <c r="F7" s="3"/>
      <c r="G7" s="3"/>
      <c r="H7" s="3"/>
      <c r="I7" s="3"/>
      <c r="J7" s="3"/>
      <c r="K7" s="3"/>
      <c r="L7" s="3"/>
      <c r="M7" s="3"/>
      <c r="N7" s="3"/>
      <c r="O7" s="3"/>
      <c r="P7" s="3"/>
    </row>
    <row r="8" spans="1:16" s="4" customFormat="1" ht="12.75">
      <c r="A8" s="4" t="s">
        <v>124</v>
      </c>
      <c r="B8" s="4" t="s">
        <v>178</v>
      </c>
    </row>
    <row r="9" spans="1:16">
      <c r="B9" s="3"/>
      <c r="C9" s="3"/>
      <c r="D9" s="3"/>
      <c r="E9" s="3"/>
      <c r="F9" s="3"/>
      <c r="G9" s="3"/>
      <c r="H9" s="3"/>
      <c r="I9" s="3"/>
      <c r="J9" s="3"/>
      <c r="K9" s="3"/>
      <c r="L9" s="3"/>
      <c r="M9" s="3"/>
      <c r="N9" s="3"/>
      <c r="O9" s="3"/>
      <c r="P9" s="3"/>
    </row>
    <row r="10" spans="1:16" s="34" customFormat="1" ht="12.75">
      <c r="A10" s="90"/>
      <c r="B10" s="31"/>
      <c r="G10" s="34" t="s">
        <v>203</v>
      </c>
      <c r="H10" s="138">
        <f>CPI!J10</f>
        <v>2.3E-2</v>
      </c>
    </row>
    <row r="11" spans="1:16" s="34" customFormat="1" ht="12.75">
      <c r="A11" s="90"/>
      <c r="B11" s="31"/>
      <c r="G11" s="34" t="s">
        <v>204</v>
      </c>
      <c r="H11" s="138">
        <f>CPI!J11</f>
        <v>2.8000000000000001E-2</v>
      </c>
    </row>
    <row r="12" spans="1:16" s="34" customFormat="1" ht="12.75">
      <c r="A12" s="90"/>
      <c r="B12" s="31"/>
      <c r="G12" s="34" t="s">
        <v>205</v>
      </c>
      <c r="H12" s="138">
        <f>CPI!J12</f>
        <v>0.01</v>
      </c>
    </row>
    <row r="13" spans="1:16" s="34" customFormat="1" ht="12.75">
      <c r="A13" s="90"/>
      <c r="B13" s="31"/>
    </row>
    <row r="14" spans="1:16" s="34" customFormat="1" ht="12.75">
      <c r="A14" s="90"/>
      <c r="B14" s="34" t="s">
        <v>258</v>
      </c>
      <c r="G14" s="34" t="s">
        <v>25</v>
      </c>
      <c r="H14" s="42">
        <v>6687708.9184038285</v>
      </c>
      <c r="J14" s="31" t="s">
        <v>206</v>
      </c>
    </row>
    <row r="15" spans="1:16" s="34" customFormat="1" ht="12.75">
      <c r="A15" s="90"/>
      <c r="B15" s="34" t="s">
        <v>257</v>
      </c>
      <c r="G15" s="34" t="s">
        <v>28</v>
      </c>
      <c r="H15" s="42">
        <v>7366025.970745883</v>
      </c>
    </row>
    <row r="16" spans="1:16" s="34" customFormat="1">
      <c r="A16" s="90"/>
      <c r="H16" s="114"/>
    </row>
    <row r="17" spans="1:16">
      <c r="A17" s="127"/>
      <c r="C17" s="3"/>
      <c r="D17" s="3"/>
      <c r="E17" s="3"/>
      <c r="F17" s="3"/>
      <c r="G17" s="3"/>
      <c r="H17" s="3"/>
      <c r="I17" s="3"/>
      <c r="J17" s="3"/>
      <c r="K17" s="3"/>
      <c r="L17" s="3"/>
      <c r="M17" s="3"/>
      <c r="N17" s="3"/>
      <c r="O17" s="3"/>
      <c r="P17" s="3"/>
    </row>
    <row r="18" spans="1:16" s="34" customFormat="1" ht="12.75">
      <c r="A18" s="90"/>
      <c r="B18" s="31"/>
    </row>
    <row r="19" spans="1:16" s="34" customFormat="1" ht="12.75">
      <c r="A19" s="90"/>
      <c r="B19" s="32" t="s">
        <v>180</v>
      </c>
      <c r="G19" s="33" t="s">
        <v>181</v>
      </c>
      <c r="H19" s="33">
        <v>2009</v>
      </c>
      <c r="I19" s="33">
        <v>2010</v>
      </c>
      <c r="J19" s="33">
        <v>2011</v>
      </c>
      <c r="K19" s="33">
        <v>2012</v>
      </c>
      <c r="L19" s="33">
        <v>2013</v>
      </c>
      <c r="M19" s="33">
        <v>2014</v>
      </c>
      <c r="N19" s="33">
        <v>2015</v>
      </c>
      <c r="O19" s="33">
        <v>2016</v>
      </c>
    </row>
    <row r="20" spans="1:16" s="34" customFormat="1" ht="12.75">
      <c r="A20" s="90"/>
      <c r="B20" s="30" t="s">
        <v>179</v>
      </c>
      <c r="G20" s="33"/>
      <c r="H20" s="33"/>
      <c r="I20" s="33"/>
      <c r="J20" s="33"/>
      <c r="K20" s="33"/>
      <c r="L20" s="33"/>
      <c r="M20" s="33"/>
      <c r="N20" s="33"/>
      <c r="O20" s="33"/>
    </row>
    <row r="21" spans="1:16" s="34" customFormat="1" ht="12.75">
      <c r="A21" s="90"/>
      <c r="G21" s="35" t="s">
        <v>182</v>
      </c>
      <c r="H21" s="35" t="s">
        <v>182</v>
      </c>
      <c r="I21" s="35" t="s">
        <v>183</v>
      </c>
      <c r="J21" s="35" t="s">
        <v>184</v>
      </c>
      <c r="K21" s="35" t="s">
        <v>25</v>
      </c>
      <c r="L21" s="35" t="s">
        <v>28</v>
      </c>
      <c r="M21" s="35" t="s">
        <v>28</v>
      </c>
      <c r="N21" s="35" t="s">
        <v>28</v>
      </c>
      <c r="O21" s="35" t="s">
        <v>28</v>
      </c>
    </row>
    <row r="22" spans="1:16" s="34" customFormat="1" ht="12.75">
      <c r="A22" s="90"/>
    </row>
    <row r="23" spans="1:16" s="34" customFormat="1" ht="12.75">
      <c r="A23" s="90"/>
      <c r="B23" s="34" t="s">
        <v>185</v>
      </c>
      <c r="G23" s="11">
        <v>7023000</v>
      </c>
      <c r="H23" s="11">
        <v>7050000</v>
      </c>
      <c r="I23" s="11">
        <v>8589000</v>
      </c>
      <c r="J23" s="11">
        <v>9021000</v>
      </c>
      <c r="K23" s="11">
        <v>9278000</v>
      </c>
      <c r="L23" s="37">
        <v>13785222.222222222</v>
      </c>
      <c r="M23" s="11">
        <v>34131000</v>
      </c>
      <c r="N23" s="11">
        <v>36713000</v>
      </c>
      <c r="O23" s="36">
        <v>36713000</v>
      </c>
    </row>
    <row r="24" spans="1:16" s="34" customFormat="1" ht="12.75">
      <c r="A24" s="90"/>
      <c r="B24" s="34" t="s">
        <v>186</v>
      </c>
      <c r="G24" s="11">
        <v>587000</v>
      </c>
      <c r="H24" s="11">
        <v>226000</v>
      </c>
      <c r="I24" s="11">
        <v>226000</v>
      </c>
      <c r="J24" s="11">
        <v>71000</v>
      </c>
      <c r="K24" s="11">
        <v>87000</v>
      </c>
      <c r="L24" s="11">
        <v>98000</v>
      </c>
      <c r="M24" s="11">
        <v>97000</v>
      </c>
      <c r="N24" s="11">
        <v>96000</v>
      </c>
      <c r="O24" s="92">
        <f>125000-29000</f>
        <v>96000</v>
      </c>
    </row>
    <row r="25" spans="1:16" s="34" customFormat="1" ht="12.75">
      <c r="A25" s="90"/>
      <c r="B25" s="34" t="s">
        <v>187</v>
      </c>
      <c r="G25" s="9">
        <f>G23-G24</f>
        <v>6436000</v>
      </c>
      <c r="H25" s="9">
        <f t="shared" ref="H25:N25" si="0">H23-H24</f>
        <v>6824000</v>
      </c>
      <c r="I25" s="9">
        <f t="shared" si="0"/>
        <v>8363000</v>
      </c>
      <c r="J25" s="9">
        <f t="shared" si="0"/>
        <v>8950000</v>
      </c>
      <c r="K25" s="9">
        <f>K23-K24</f>
        <v>9191000</v>
      </c>
      <c r="L25" s="9">
        <f>L23-L24</f>
        <v>13687222.222222222</v>
      </c>
      <c r="M25" s="9">
        <f>M23-M24</f>
        <v>34034000</v>
      </c>
      <c r="N25" s="9">
        <f t="shared" si="0"/>
        <v>36617000</v>
      </c>
      <c r="O25" s="9">
        <f>O23-O24</f>
        <v>36617000</v>
      </c>
    </row>
    <row r="26" spans="1:16">
      <c r="A26" s="127"/>
      <c r="B26" s="3"/>
      <c r="C26" s="3"/>
      <c r="D26" s="3"/>
      <c r="E26" s="3"/>
      <c r="F26" s="3"/>
      <c r="G26" s="3"/>
      <c r="H26" s="3"/>
      <c r="I26" s="3"/>
      <c r="J26" s="3"/>
      <c r="K26" s="3"/>
      <c r="L26" s="3"/>
      <c r="M26" s="3"/>
      <c r="N26" s="3"/>
      <c r="O26" s="3"/>
      <c r="P26" s="3"/>
    </row>
    <row r="27" spans="1:16">
      <c r="A27" s="127"/>
      <c r="B27" s="3"/>
      <c r="C27" s="3"/>
      <c r="D27" s="3"/>
      <c r="E27" s="3"/>
      <c r="F27" s="3"/>
      <c r="G27" s="3"/>
      <c r="H27" s="3"/>
      <c r="I27" s="3"/>
      <c r="J27" s="3"/>
      <c r="K27" s="3" t="s">
        <v>25</v>
      </c>
      <c r="L27" s="3" t="s">
        <v>28</v>
      </c>
      <c r="M27" s="3" t="s">
        <v>30</v>
      </c>
      <c r="N27" s="3" t="s">
        <v>32</v>
      </c>
      <c r="O27" s="3"/>
      <c r="P27" s="3"/>
    </row>
    <row r="28" spans="1:16">
      <c r="A28" s="127"/>
      <c r="B28" s="34" t="s">
        <v>191</v>
      </c>
      <c r="C28" s="3"/>
      <c r="D28" s="3"/>
      <c r="E28" s="3"/>
      <c r="F28" s="3"/>
      <c r="G28" s="3"/>
      <c r="H28" s="3"/>
      <c r="I28" s="3"/>
      <c r="J28" s="3"/>
      <c r="K28" s="9">
        <f>($O$25/(1+$H$10)-K25)</f>
        <v>26602743.890518084</v>
      </c>
      <c r="L28" s="9">
        <f>$O$25-L25</f>
        <v>22929777.777777776</v>
      </c>
      <c r="M28" s="9">
        <f>($O$25-M25)*(1+$H$11)</f>
        <v>2655324</v>
      </c>
      <c r="N28" s="9">
        <f t="shared" ref="N28" si="1">$O$25-N25</f>
        <v>0</v>
      </c>
      <c r="O28" s="3"/>
      <c r="P28" s="3"/>
    </row>
    <row r="29" spans="1:16">
      <c r="A29" s="127"/>
      <c r="B29" s="34" t="s">
        <v>259</v>
      </c>
      <c r="C29" s="3"/>
      <c r="D29" s="3"/>
      <c r="E29" s="3"/>
      <c r="F29" s="3"/>
      <c r="G29" s="3"/>
      <c r="H29" s="3"/>
      <c r="I29" s="3"/>
      <c r="J29" s="3"/>
      <c r="K29" s="21">
        <f>H14</f>
        <v>6687708.9184038285</v>
      </c>
      <c r="L29" s="37">
        <f>H15* (7/12)</f>
        <v>4296848.4829350989</v>
      </c>
      <c r="M29" s="45"/>
      <c r="N29" s="45"/>
      <c r="O29" s="3"/>
      <c r="P29" s="3"/>
    </row>
    <row r="30" spans="1:16">
      <c r="A30" s="127"/>
      <c r="B30" s="3" t="s">
        <v>192</v>
      </c>
      <c r="C30" s="3"/>
      <c r="D30" s="3"/>
      <c r="E30" s="3"/>
      <c r="F30" s="3"/>
      <c r="G30" s="3"/>
      <c r="H30" s="3"/>
      <c r="I30" s="3"/>
      <c r="J30" s="3"/>
      <c r="K30" s="9">
        <f>K28-K29</f>
        <v>19915034.972114258</v>
      </c>
      <c r="L30" s="9">
        <f t="shared" ref="L30:N30" si="2">L28-L29</f>
        <v>18632929.294842675</v>
      </c>
      <c r="M30" s="9">
        <f t="shared" si="2"/>
        <v>2655324</v>
      </c>
      <c r="N30" s="9">
        <f t="shared" si="2"/>
        <v>0</v>
      </c>
      <c r="O30" s="3"/>
      <c r="P30" s="3"/>
    </row>
    <row r="31" spans="1:16">
      <c r="B31" s="3"/>
      <c r="C31" s="3"/>
      <c r="D31" s="3"/>
      <c r="E31" s="3"/>
      <c r="F31" s="3"/>
      <c r="G31" s="3"/>
      <c r="H31" s="3"/>
      <c r="I31" s="3"/>
      <c r="J31" s="3"/>
      <c r="K31" s="3"/>
      <c r="L31" s="3"/>
      <c r="M31" s="3"/>
      <c r="N31" s="3"/>
      <c r="O31" s="3"/>
      <c r="P31" s="3"/>
    </row>
  </sheetData>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tabColor rgb="FFFFFFCC"/>
  </sheetPr>
  <dimension ref="A1:O33"/>
  <sheetViews>
    <sheetView showGridLines="0" zoomScale="85" zoomScaleNormal="85" workbookViewId="0"/>
  </sheetViews>
  <sheetFormatPr defaultRowHeight="12.75"/>
  <cols>
    <col min="1" max="1" width="2.85546875" style="3" customWidth="1"/>
    <col min="2" max="2" width="51.28515625" style="3" customWidth="1"/>
    <col min="3" max="5" width="12.7109375" style="3" customWidth="1"/>
    <col min="6" max="6" width="9.140625" style="3"/>
    <col min="7" max="7" width="19.42578125" style="3" customWidth="1"/>
    <col min="8" max="8" width="16.28515625" style="3" customWidth="1"/>
    <col min="9" max="9" width="16.42578125" style="3" customWidth="1"/>
    <col min="10" max="10" width="21.42578125" style="3" customWidth="1"/>
    <col min="11" max="11" width="13.7109375" style="3" customWidth="1"/>
    <col min="12" max="12" width="9.7109375" style="3" bestFit="1" customWidth="1"/>
    <col min="13" max="16384" width="9.140625" style="3"/>
  </cols>
  <sheetData>
    <row r="1" spans="1:15">
      <c r="B1" s="3" t="s">
        <v>350</v>
      </c>
    </row>
    <row r="2" spans="1:15" s="1" customFormat="1" ht="18" customHeight="1">
      <c r="B2" s="40" t="s">
        <v>35</v>
      </c>
    </row>
    <row r="3" spans="1:15" ht="26.25" customHeight="1">
      <c r="B3" s="3" t="s">
        <v>281</v>
      </c>
    </row>
    <row r="4" spans="1:15">
      <c r="A4" s="71"/>
      <c r="B4" s="3" t="s">
        <v>334</v>
      </c>
    </row>
    <row r="5" spans="1:15">
      <c r="A5" s="71"/>
      <c r="B5" s="3" t="s">
        <v>340</v>
      </c>
    </row>
    <row r="6" spans="1:15">
      <c r="B6" s="22" t="s">
        <v>341</v>
      </c>
    </row>
    <row r="7" spans="1:15">
      <c r="B7" s="22"/>
    </row>
    <row r="8" spans="1:15" s="4" customFormat="1">
      <c r="B8" s="4" t="s">
        <v>282</v>
      </c>
      <c r="E8" s="4" t="s">
        <v>0</v>
      </c>
      <c r="K8" s="4" t="s">
        <v>154</v>
      </c>
    </row>
    <row r="10" spans="1:15">
      <c r="B10" s="3" t="s">
        <v>279</v>
      </c>
      <c r="G10" s="139">
        <f>CPI!J11</f>
        <v>2.8000000000000001E-2</v>
      </c>
    </row>
    <row r="12" spans="1:15">
      <c r="B12" s="3" t="s">
        <v>275</v>
      </c>
      <c r="E12" s="3" t="s">
        <v>30</v>
      </c>
      <c r="G12" s="6">
        <v>9500000</v>
      </c>
      <c r="J12" s="30"/>
      <c r="K12" s="30" t="s">
        <v>322</v>
      </c>
      <c r="O12" s="30"/>
    </row>
    <row r="13" spans="1:15">
      <c r="B13" s="3" t="s">
        <v>276</v>
      </c>
      <c r="E13" s="3" t="s">
        <v>30</v>
      </c>
      <c r="G13" s="81">
        <v>1987601</v>
      </c>
    </row>
    <row r="14" spans="1:15">
      <c r="B14" s="3" t="s">
        <v>277</v>
      </c>
      <c r="G14" s="82">
        <f>G12+G13</f>
        <v>11487601</v>
      </c>
    </row>
    <row r="15" spans="1:15">
      <c r="G15" s="83"/>
    </row>
    <row r="16" spans="1:15">
      <c r="B16" s="3" t="s">
        <v>278</v>
      </c>
      <c r="E16" s="3" t="s">
        <v>28</v>
      </c>
      <c r="G16" s="82">
        <f>G14/(1+G10)</f>
        <v>11174709.143968871</v>
      </c>
    </row>
    <row r="18" spans="1:15" s="4" customFormat="1">
      <c r="B18" s="4" t="s">
        <v>283</v>
      </c>
      <c r="G18" s="4" t="s">
        <v>287</v>
      </c>
      <c r="H18" s="4" t="s">
        <v>286</v>
      </c>
      <c r="K18" s="4" t="s">
        <v>154</v>
      </c>
    </row>
    <row r="20" spans="1:15">
      <c r="A20" s="8"/>
      <c r="B20" s="3" t="s">
        <v>288</v>
      </c>
      <c r="E20" s="3" t="s">
        <v>28</v>
      </c>
      <c r="F20" s="71"/>
      <c r="G20" s="6">
        <v>409704.4272000622</v>
      </c>
      <c r="H20" s="6">
        <v>-954214.82722078997</v>
      </c>
      <c r="K20" s="79" t="s">
        <v>321</v>
      </c>
      <c r="O20" s="79"/>
    </row>
    <row r="21" spans="1:15">
      <c r="B21" s="3" t="s">
        <v>289</v>
      </c>
      <c r="E21" s="3" t="s">
        <v>28</v>
      </c>
      <c r="F21" s="71"/>
      <c r="G21" s="66">
        <v>-7283806.5479199998</v>
      </c>
      <c r="H21" s="6">
        <v>-307845.11016621097</v>
      </c>
    </row>
    <row r="22" spans="1:15">
      <c r="B22" s="3" t="s">
        <v>295</v>
      </c>
      <c r="E22" s="3" t="s">
        <v>28</v>
      </c>
      <c r="F22" s="71"/>
      <c r="G22" s="82">
        <f>SUM(G20:G21)</f>
        <v>-6874102.1207199376</v>
      </c>
      <c r="H22" s="82">
        <f>SUM(H20:H21)</f>
        <v>-1262059.937387001</v>
      </c>
    </row>
    <row r="23" spans="1:15">
      <c r="F23" s="71"/>
    </row>
    <row r="24" spans="1:15">
      <c r="B24" s="3" t="s">
        <v>290</v>
      </c>
      <c r="E24" s="3" t="s">
        <v>30</v>
      </c>
      <c r="F24" s="71"/>
      <c r="G24" s="6">
        <v>427084.56147086422</v>
      </c>
      <c r="H24" s="6">
        <v>-994693.72058698069</v>
      </c>
    </row>
    <row r="25" spans="1:15">
      <c r="B25" s="3" t="s">
        <v>291</v>
      </c>
      <c r="E25" s="3" t="s">
        <v>30</v>
      </c>
      <c r="F25" s="71"/>
      <c r="G25" s="66">
        <v>-7268423.0872</v>
      </c>
      <c r="H25" s="6">
        <v>61311.958098875824</v>
      </c>
    </row>
    <row r="26" spans="1:15">
      <c r="B26" s="3" t="s">
        <v>296</v>
      </c>
      <c r="F26" s="71"/>
      <c r="G26" s="82">
        <f>SUM(G24:G25)</f>
        <v>-6841338.5257291356</v>
      </c>
      <c r="H26" s="82">
        <f>SUM(H24:H25)</f>
        <v>-933381.76248810487</v>
      </c>
    </row>
    <row r="27" spans="1:15">
      <c r="F27" s="71"/>
    </row>
    <row r="28" spans="1:15">
      <c r="B28" s="3" t="s">
        <v>292</v>
      </c>
      <c r="E28" s="3" t="s">
        <v>32</v>
      </c>
      <c r="F28" s="71"/>
      <c r="G28" s="6">
        <v>467007.33229686564</v>
      </c>
      <c r="H28" s="6">
        <v>-1094647.8105482748</v>
      </c>
    </row>
    <row r="29" spans="1:15">
      <c r="B29" s="3" t="s">
        <v>293</v>
      </c>
      <c r="E29" s="3" t="s">
        <v>32</v>
      </c>
      <c r="F29" s="71"/>
      <c r="G29" s="6">
        <v>-7159501.7431999994</v>
      </c>
      <c r="H29" s="6">
        <v>78175.992244295252</v>
      </c>
    </row>
    <row r="30" spans="1:15">
      <c r="B30" s="3" t="s">
        <v>297</v>
      </c>
      <c r="E30" s="3" t="s">
        <v>32</v>
      </c>
      <c r="F30" s="71"/>
      <c r="G30" s="82">
        <f>SUM(G28:G29)</f>
        <v>-6692494.4109031335</v>
      </c>
      <c r="H30" s="82">
        <f>SUM(H28:H29)</f>
        <v>-1016471.8183039795</v>
      </c>
    </row>
    <row r="31" spans="1:15">
      <c r="G31" s="86"/>
      <c r="H31" s="86"/>
    </row>
    <row r="33" spans="2:2">
      <c r="B33" s="1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4">
    <tabColor rgb="FFFFFFCC"/>
  </sheetPr>
  <dimension ref="A1:Y454"/>
  <sheetViews>
    <sheetView showGridLines="0" zoomScale="85" zoomScaleNormal="85" workbookViewId="0">
      <pane xSplit="5" ySplit="7" topLeftCell="F8" activePane="bottomRight" state="frozen"/>
      <selection pane="topRight" activeCell="F1" sqref="F1"/>
      <selection pane="bottomLeft" activeCell="A8" sqref="A8"/>
      <selection pane="bottomRight" activeCell="F8" sqref="F8"/>
    </sheetView>
  </sheetViews>
  <sheetFormatPr defaultRowHeight="14.25"/>
  <cols>
    <col min="1" max="1" width="2" style="114" customWidth="1"/>
    <col min="2" max="2" width="72.140625" style="114" customWidth="1"/>
    <col min="3" max="3" width="2.7109375" style="114" customWidth="1"/>
    <col min="4" max="4" width="19.85546875" style="114" customWidth="1"/>
    <col min="5" max="7" width="2.7109375" style="114" customWidth="1"/>
    <col min="8" max="8" width="15.7109375" style="114" customWidth="1"/>
    <col min="9" max="9" width="2.7109375" style="114" customWidth="1"/>
    <col min="10" max="10" width="15.7109375" style="114" customWidth="1"/>
    <col min="11" max="11" width="3.28515625" style="114" customWidth="1"/>
    <col min="12" max="20" width="14.7109375" style="114" customWidth="1"/>
    <col min="21" max="21" width="17.42578125" style="114" customWidth="1"/>
    <col min="22" max="22" width="20" style="114" customWidth="1"/>
    <col min="23" max="23" width="9.140625" style="114"/>
    <col min="24" max="24" width="4.5703125" style="114" customWidth="1"/>
    <col min="25" max="25" width="9.140625" style="114" customWidth="1"/>
    <col min="26" max="16384" width="9.140625" style="114"/>
  </cols>
  <sheetData>
    <row r="1" spans="1:22">
      <c r="B1" s="3" t="s">
        <v>350</v>
      </c>
    </row>
    <row r="2" spans="1:22" s="1" customFormat="1" ht="18" customHeight="1">
      <c r="B2" s="2" t="s">
        <v>35</v>
      </c>
    </row>
    <row r="3" spans="1:22" s="3" customFormat="1" ht="12.75"/>
    <row r="4" spans="1:22" s="3" customFormat="1" ht="12.75">
      <c r="A4" s="87"/>
      <c r="B4" s="3" t="s">
        <v>342</v>
      </c>
    </row>
    <row r="5" spans="1:22" s="3" customFormat="1" ht="12.75">
      <c r="A5" s="87"/>
      <c r="B5" s="3" t="s">
        <v>343</v>
      </c>
    </row>
    <row r="6" spans="1:22" s="3" customFormat="1" ht="12.75">
      <c r="A6" s="87"/>
    </row>
    <row r="7" spans="1:22" s="4" customFormat="1" ht="12.75">
      <c r="D7" s="4" t="s">
        <v>153</v>
      </c>
      <c r="H7" s="4" t="s">
        <v>0</v>
      </c>
      <c r="J7" s="4" t="s">
        <v>1</v>
      </c>
      <c r="L7" s="4" t="s">
        <v>357</v>
      </c>
      <c r="M7" s="4" t="s">
        <v>59</v>
      </c>
      <c r="N7" s="4" t="s">
        <v>2</v>
      </c>
      <c r="O7" s="4" t="s">
        <v>3</v>
      </c>
      <c r="P7" s="4" t="s">
        <v>4</v>
      </c>
      <c r="Q7" s="4" t="s">
        <v>5</v>
      </c>
      <c r="R7" s="4" t="s">
        <v>6</v>
      </c>
      <c r="S7" s="4" t="s">
        <v>26</v>
      </c>
      <c r="T7" s="4" t="s">
        <v>176</v>
      </c>
      <c r="U7" s="4" t="s">
        <v>199</v>
      </c>
      <c r="V7" s="4" t="s">
        <v>330</v>
      </c>
    </row>
    <row r="8" spans="1:22" s="3" customFormat="1" ht="12.75"/>
    <row r="9" spans="1:22" s="4" customFormat="1" ht="12.75">
      <c r="B9" s="4" t="s">
        <v>36</v>
      </c>
    </row>
    <row r="10" spans="1:22" s="3" customFormat="1" ht="12.75"/>
    <row r="11" spans="1:22" s="3" customFormat="1" ht="12.75">
      <c r="A11" s="87"/>
      <c r="B11" s="8" t="s">
        <v>37</v>
      </c>
    </row>
    <row r="12" spans="1:22" s="3" customFormat="1" ht="12.75">
      <c r="A12" s="87"/>
    </row>
    <row r="13" spans="1:22" s="3" customFormat="1" ht="12.75">
      <c r="A13" s="87"/>
      <c r="B13" s="8" t="s">
        <v>8</v>
      </c>
    </row>
    <row r="14" spans="1:22" s="3" customFormat="1" ht="12.75">
      <c r="A14" s="87"/>
      <c r="B14" s="3" t="s">
        <v>9</v>
      </c>
      <c r="H14" s="3" t="s">
        <v>25</v>
      </c>
      <c r="J14" s="9">
        <f>SUM(L14:S14)</f>
        <v>355594186.6006127</v>
      </c>
      <c r="K14" s="10"/>
      <c r="L14" s="21">
        <f>'Input operationele kosten'!L11</f>
        <v>0</v>
      </c>
      <c r="M14" s="21">
        <f>'Input operationele kosten'!M11</f>
        <v>8880192.4545788374</v>
      </c>
      <c r="N14" s="21">
        <f>'Input operationele kosten'!N11</f>
        <v>141855339.68000001</v>
      </c>
      <c r="O14" s="21">
        <f>'Input operationele kosten'!O11</f>
        <v>114575797.41666667</v>
      </c>
      <c r="P14" s="21">
        <f>'Input operationele kosten'!P11</f>
        <v>0</v>
      </c>
      <c r="Q14" s="21">
        <f>'Input operationele kosten'!Q11</f>
        <v>82955235.159999996</v>
      </c>
      <c r="R14" s="21">
        <f>'Input operationele kosten'!R11</f>
        <v>7327621.8893671352</v>
      </c>
      <c r="S14" s="21">
        <f>'Input operationele kosten'!S11</f>
        <v>0</v>
      </c>
      <c r="T14" s="45">
        <f>'Input operationele kosten'!U11</f>
        <v>0</v>
      </c>
      <c r="U14" s="45">
        <f>'Input operationele kosten'!V11</f>
        <v>0</v>
      </c>
      <c r="V14" s="45">
        <f>'Input operationele kosten'!W11</f>
        <v>0</v>
      </c>
    </row>
    <row r="15" spans="1:22" s="3" customFormat="1" ht="12.75">
      <c r="A15" s="87"/>
      <c r="B15" s="3" t="s">
        <v>10</v>
      </c>
      <c r="H15" s="3" t="s">
        <v>25</v>
      </c>
      <c r="J15" s="9">
        <f>SUM(L15:S15)</f>
        <v>19900655.606179394</v>
      </c>
      <c r="K15" s="10"/>
      <c r="L15" s="21">
        <f>'Input operationele kosten'!L12</f>
        <v>3258198</v>
      </c>
      <c r="M15" s="21">
        <f>'Input operationele kosten'!M12</f>
        <v>0</v>
      </c>
      <c r="N15" s="21">
        <f>'Input operationele kosten'!N12</f>
        <v>701040.53364000004</v>
      </c>
      <c r="O15" s="21">
        <f>'Input operationele kosten'!O12</f>
        <v>757117.24166666681</v>
      </c>
      <c r="P15" s="21">
        <f>'Input operationele kosten'!P12</f>
        <v>2116603.44</v>
      </c>
      <c r="Q15" s="21">
        <f>'Input operationele kosten'!Q12</f>
        <v>6004607.2448727274</v>
      </c>
      <c r="R15" s="21">
        <f>'Input operationele kosten'!R12</f>
        <v>172155.22599999933</v>
      </c>
      <c r="S15" s="21">
        <f>'Input operationele kosten'!S12</f>
        <v>6890933.9199999999</v>
      </c>
      <c r="T15" s="45">
        <f>'Input operationele kosten'!U12</f>
        <v>0</v>
      </c>
      <c r="U15" s="45">
        <f>'Input operationele kosten'!V12</f>
        <v>0</v>
      </c>
      <c r="V15" s="45">
        <f>'Input operationele kosten'!W12</f>
        <v>0</v>
      </c>
    </row>
    <row r="16" spans="1:22" s="3" customFormat="1" ht="12.75">
      <c r="A16" s="87"/>
      <c r="B16" s="3" t="s">
        <v>11</v>
      </c>
      <c r="H16" s="3" t="s">
        <v>25</v>
      </c>
      <c r="J16" s="9">
        <f>SUM(L16:S16)</f>
        <v>268445231.60768998</v>
      </c>
      <c r="K16" s="10"/>
      <c r="L16" s="21">
        <f>'Input operationele kosten'!L13</f>
        <v>1043794</v>
      </c>
      <c r="M16" s="21">
        <f>'Input operationele kosten'!M13</f>
        <v>5739842.75</v>
      </c>
      <c r="N16" s="21">
        <f>'Input operationele kosten'!N13</f>
        <v>95272596.307689965</v>
      </c>
      <c r="O16" s="21">
        <f>'Input operationele kosten'!O13</f>
        <v>110406026.91999999</v>
      </c>
      <c r="P16" s="21">
        <f>'Input operationele kosten'!P13</f>
        <v>531075.98</v>
      </c>
      <c r="Q16" s="21">
        <f>'Input operationele kosten'!Q13</f>
        <v>48739592</v>
      </c>
      <c r="R16" s="21">
        <f>'Input operationele kosten'!R13</f>
        <v>4108651.93</v>
      </c>
      <c r="S16" s="21">
        <f>'Input operationele kosten'!S13</f>
        <v>2603651.7199999997</v>
      </c>
      <c r="T16" s="45">
        <f>'Input operationele kosten'!U13</f>
        <v>0</v>
      </c>
      <c r="U16" s="45">
        <f>'Input operationele kosten'!V13</f>
        <v>0</v>
      </c>
      <c r="V16" s="45">
        <f>'Input operationele kosten'!W13</f>
        <v>0</v>
      </c>
    </row>
    <row r="17" spans="1:22" s="3" customFormat="1" ht="12.75">
      <c r="A17" s="87"/>
      <c r="B17" s="3" t="s">
        <v>12</v>
      </c>
      <c r="H17" s="3" t="s">
        <v>25</v>
      </c>
      <c r="J17" s="9">
        <f>SUM(L17:S17)</f>
        <v>6288</v>
      </c>
      <c r="K17" s="10"/>
      <c r="L17" s="21">
        <f>'Input operationele kosten'!L14</f>
        <v>6288</v>
      </c>
      <c r="M17" s="21">
        <f>'Input operationele kosten'!M14</f>
        <v>0</v>
      </c>
      <c r="N17" s="21">
        <f>'Input operationele kosten'!N14</f>
        <v>0</v>
      </c>
      <c r="O17" s="21">
        <f>'Input operationele kosten'!O14</f>
        <v>0</v>
      </c>
      <c r="P17" s="21">
        <f>'Input operationele kosten'!P14</f>
        <v>0</v>
      </c>
      <c r="Q17" s="21">
        <f>'Input operationele kosten'!Q14</f>
        <v>0</v>
      </c>
      <c r="R17" s="21">
        <f>'Input operationele kosten'!R14</f>
        <v>0</v>
      </c>
      <c r="S17" s="21">
        <f>'Input operationele kosten'!S14</f>
        <v>0</v>
      </c>
      <c r="T17" s="45">
        <f>'Input operationele kosten'!U14</f>
        <v>0</v>
      </c>
      <c r="U17" s="45">
        <f>'Input operationele kosten'!V14</f>
        <v>0</v>
      </c>
      <c r="V17" s="45">
        <f>'Input operationele kosten'!W14</f>
        <v>0</v>
      </c>
    </row>
    <row r="18" spans="1:22" s="3" customFormat="1" ht="12.75">
      <c r="A18" s="87"/>
      <c r="J18" s="10"/>
      <c r="K18" s="10"/>
      <c r="L18" s="10"/>
      <c r="M18" s="10"/>
      <c r="N18" s="10"/>
      <c r="O18" s="10"/>
      <c r="P18" s="10"/>
      <c r="Q18" s="10"/>
      <c r="R18" s="10"/>
      <c r="S18" s="10"/>
      <c r="T18" s="12"/>
      <c r="U18" s="12"/>
      <c r="V18" s="12"/>
    </row>
    <row r="19" spans="1:22" s="3" customFormat="1" ht="12.75">
      <c r="A19" s="87"/>
      <c r="B19" s="8" t="s">
        <v>13</v>
      </c>
      <c r="J19" s="10"/>
      <c r="K19" s="10"/>
      <c r="L19" s="10"/>
      <c r="M19" s="10"/>
      <c r="N19" s="10"/>
      <c r="O19" s="10"/>
      <c r="P19" s="10"/>
      <c r="Q19" s="10"/>
      <c r="R19" s="10"/>
      <c r="S19" s="10"/>
      <c r="T19" s="12"/>
      <c r="U19" s="12"/>
      <c r="V19" s="12"/>
    </row>
    <row r="20" spans="1:22" s="3" customFormat="1" ht="12.75">
      <c r="A20" s="87"/>
      <c r="B20" s="3" t="s">
        <v>14</v>
      </c>
      <c r="H20" s="3" t="s">
        <v>25</v>
      </c>
      <c r="J20" s="9">
        <f>SUM(L20:S20)</f>
        <v>840361579.75091136</v>
      </c>
      <c r="K20" s="10"/>
      <c r="L20" s="21">
        <f>'Input operationele kosten'!L17</f>
        <v>4517685</v>
      </c>
      <c r="M20" s="21">
        <f>'Input operationele kosten'!M17</f>
        <v>25343493.373409849</v>
      </c>
      <c r="N20" s="21">
        <f>'Input operationele kosten'!N17</f>
        <v>238347464.43642327</v>
      </c>
      <c r="O20" s="21">
        <f>'Input operationele kosten'!O17</f>
        <v>361385953.88940197</v>
      </c>
      <c r="P20" s="21">
        <f>'Input operationele kosten'!P17</f>
        <v>2145616.61</v>
      </c>
      <c r="Q20" s="21">
        <f>'Input operationele kosten'!Q17</f>
        <v>189649902.17479649</v>
      </c>
      <c r="R20" s="21">
        <f>'Input operationele kosten'!R17</f>
        <v>10258780.68565</v>
      </c>
      <c r="S20" s="21">
        <f>'Input operationele kosten'!S17</f>
        <v>8712683.5812297929</v>
      </c>
      <c r="T20" s="45">
        <f>'Input operationele kosten'!U17</f>
        <v>0</v>
      </c>
      <c r="U20" s="45">
        <f>'Input operationele kosten'!V17</f>
        <v>0</v>
      </c>
      <c r="V20" s="45">
        <f>'Input operationele kosten'!W17</f>
        <v>0</v>
      </c>
    </row>
    <row r="21" spans="1:22" s="3" customFormat="1" ht="12.75">
      <c r="A21" s="87"/>
      <c r="B21" s="3" t="s">
        <v>15</v>
      </c>
      <c r="H21" s="3" t="s">
        <v>25</v>
      </c>
      <c r="J21" s="9">
        <f>SUM(L21:S21)</f>
        <v>21599075.919442751</v>
      </c>
      <c r="K21" s="10"/>
      <c r="L21" s="21">
        <f>'Input operationele kosten'!L18</f>
        <v>0</v>
      </c>
      <c r="M21" s="21">
        <f>'Input operationele kosten'!M18</f>
        <v>0</v>
      </c>
      <c r="N21" s="21">
        <f>'Input operationele kosten'!N18</f>
        <v>0</v>
      </c>
      <c r="O21" s="21">
        <f>'Input operationele kosten'!O18</f>
        <v>0</v>
      </c>
      <c r="P21" s="21">
        <f>'Input operationele kosten'!P18</f>
        <v>271762.44</v>
      </c>
      <c r="Q21" s="21">
        <f>'Input operationele kosten'!Q18</f>
        <v>21327313.479442749</v>
      </c>
      <c r="R21" s="21">
        <f>'Input operationele kosten'!R18</f>
        <v>0</v>
      </c>
      <c r="S21" s="21">
        <f>'Input operationele kosten'!S18</f>
        <v>0</v>
      </c>
      <c r="T21" s="45">
        <f>'Input operationele kosten'!U18</f>
        <v>0</v>
      </c>
      <c r="U21" s="45">
        <f>'Input operationele kosten'!V18</f>
        <v>0</v>
      </c>
      <c r="V21" s="45">
        <f>'Input operationele kosten'!W18</f>
        <v>0</v>
      </c>
    </row>
    <row r="22" spans="1:22" s="3" customFormat="1" ht="12.75">
      <c r="A22" s="87"/>
      <c r="J22" s="10"/>
      <c r="K22" s="10"/>
      <c r="L22" s="10"/>
      <c r="M22" s="10"/>
      <c r="N22" s="10"/>
      <c r="O22" s="10"/>
      <c r="P22" s="10"/>
      <c r="Q22" s="10"/>
      <c r="R22" s="10"/>
      <c r="S22" s="10"/>
      <c r="T22" s="12"/>
      <c r="U22" s="12"/>
      <c r="V22" s="12"/>
    </row>
    <row r="23" spans="1:22" s="3" customFormat="1" ht="12.75">
      <c r="A23" s="87"/>
      <c r="B23" s="8" t="s">
        <v>16</v>
      </c>
      <c r="J23" s="10"/>
      <c r="K23" s="10"/>
      <c r="L23" s="10"/>
      <c r="M23" s="10"/>
      <c r="N23" s="10"/>
      <c r="O23" s="10"/>
      <c r="P23" s="10"/>
      <c r="Q23" s="10"/>
      <c r="R23" s="10"/>
      <c r="S23" s="10"/>
      <c r="T23" s="12"/>
      <c r="U23" s="12"/>
      <c r="V23" s="12"/>
    </row>
    <row r="24" spans="1:22" s="3" customFormat="1" ht="12.75">
      <c r="A24" s="87"/>
      <c r="B24" s="3" t="s">
        <v>17</v>
      </c>
      <c r="H24" s="3" t="s">
        <v>25</v>
      </c>
      <c r="J24" s="9">
        <f>SUM(L24:S24)</f>
        <v>48807818.626913533</v>
      </c>
      <c r="K24" s="10"/>
      <c r="L24" s="21">
        <f>'Input operationele kosten'!L21</f>
        <v>0</v>
      </c>
      <c r="M24" s="21">
        <f>'Input operationele kosten'!M21</f>
        <v>851761.6</v>
      </c>
      <c r="N24" s="21">
        <f>'Input operationele kosten'!N21</f>
        <v>1612169.4569135276</v>
      </c>
      <c r="O24" s="21">
        <f>'Input operationele kosten'!O21</f>
        <v>29496804.710000001</v>
      </c>
      <c r="P24" s="21">
        <f>'Input operationele kosten'!P21</f>
        <v>0</v>
      </c>
      <c r="Q24" s="21">
        <f>'Input operationele kosten'!Q21</f>
        <v>16832392</v>
      </c>
      <c r="R24" s="21">
        <f>'Input operationele kosten'!R21</f>
        <v>14690.86</v>
      </c>
      <c r="S24" s="21">
        <f>'Input operationele kosten'!S21</f>
        <v>0</v>
      </c>
      <c r="T24" s="45">
        <f>'Input operationele kosten'!U21</f>
        <v>0</v>
      </c>
      <c r="U24" s="45">
        <f>'Input operationele kosten'!V21</f>
        <v>0</v>
      </c>
      <c r="V24" s="45">
        <f>'Input operationele kosten'!W21</f>
        <v>0</v>
      </c>
    </row>
    <row r="25" spans="1:22" s="3" customFormat="1" ht="12.75">
      <c r="A25" s="87"/>
      <c r="B25" s="3" t="s">
        <v>18</v>
      </c>
      <c r="H25" s="3" t="s">
        <v>25</v>
      </c>
      <c r="J25" s="9">
        <f>SUM(L25:S25)</f>
        <v>1484</v>
      </c>
      <c r="K25" s="10"/>
      <c r="L25" s="21">
        <f>'Input operationele kosten'!L22</f>
        <v>1484</v>
      </c>
      <c r="M25" s="21">
        <f>'Input operationele kosten'!M22</f>
        <v>0</v>
      </c>
      <c r="N25" s="21">
        <f>'Input operationele kosten'!N22</f>
        <v>0</v>
      </c>
      <c r="O25" s="21">
        <f>'Input operationele kosten'!O22</f>
        <v>0</v>
      </c>
      <c r="P25" s="21">
        <f>'Input operationele kosten'!P22</f>
        <v>0</v>
      </c>
      <c r="Q25" s="21">
        <f>'Input operationele kosten'!Q22</f>
        <v>0</v>
      </c>
      <c r="R25" s="21">
        <f>'Input operationele kosten'!R22</f>
        <v>0</v>
      </c>
      <c r="S25" s="21">
        <f>'Input operationele kosten'!S22</f>
        <v>0</v>
      </c>
      <c r="T25" s="45">
        <f>'Input operationele kosten'!U22</f>
        <v>0</v>
      </c>
      <c r="U25" s="45">
        <f>'Input operationele kosten'!V22</f>
        <v>0</v>
      </c>
      <c r="V25" s="45">
        <f>'Input operationele kosten'!W22</f>
        <v>0</v>
      </c>
    </row>
    <row r="26" spans="1:22" s="3" customFormat="1" ht="12.75">
      <c r="A26" s="87"/>
      <c r="J26" s="10"/>
      <c r="K26" s="10"/>
      <c r="L26" s="10"/>
      <c r="M26" s="10"/>
      <c r="N26" s="10"/>
      <c r="O26" s="10"/>
      <c r="P26" s="10"/>
      <c r="Q26" s="10"/>
      <c r="R26" s="10"/>
      <c r="S26" s="10"/>
      <c r="T26" s="12"/>
      <c r="U26" s="12"/>
      <c r="V26" s="12"/>
    </row>
    <row r="27" spans="1:22" s="3" customFormat="1" ht="12.75">
      <c r="A27" s="87"/>
      <c r="B27" s="8" t="s">
        <v>19</v>
      </c>
      <c r="J27" s="10"/>
      <c r="K27" s="10"/>
      <c r="L27" s="10"/>
      <c r="M27" s="10"/>
      <c r="N27" s="10"/>
      <c r="O27" s="10"/>
      <c r="P27" s="10"/>
      <c r="Q27" s="10"/>
      <c r="R27" s="10"/>
      <c r="S27" s="10"/>
      <c r="T27" s="12"/>
      <c r="U27" s="12"/>
      <c r="V27" s="12"/>
    </row>
    <row r="28" spans="1:22" s="3" customFormat="1" ht="12.75">
      <c r="A28" s="87"/>
      <c r="B28" s="3" t="s">
        <v>20</v>
      </c>
      <c r="H28" s="3" t="s">
        <v>25</v>
      </c>
      <c r="J28" s="9">
        <f>SUM(L28:S28)</f>
        <v>5785744.5088608395</v>
      </c>
      <c r="K28" s="10"/>
      <c r="L28" s="21">
        <f>'Input operationele kosten'!L25</f>
        <v>28737.208160840109</v>
      </c>
      <c r="M28" s="21">
        <f>'Input operationele kosten'!M25</f>
        <v>0</v>
      </c>
      <c r="N28" s="21">
        <f>'Input operationele kosten'!N25</f>
        <v>897000</v>
      </c>
      <c r="O28" s="21">
        <f>'Input operationele kosten'!O25</f>
        <v>705744</v>
      </c>
      <c r="P28" s="21">
        <f>'Input operationele kosten'!P25</f>
        <v>3263.3006999999998</v>
      </c>
      <c r="Q28" s="21">
        <f>'Input operationele kosten'!Q25</f>
        <v>4000000</v>
      </c>
      <c r="R28" s="21">
        <f>'Input operationele kosten'!R25</f>
        <v>0</v>
      </c>
      <c r="S28" s="21">
        <f>'Input operationele kosten'!S25</f>
        <v>151000</v>
      </c>
      <c r="T28" s="45">
        <f>'Input operationele kosten'!U25</f>
        <v>0</v>
      </c>
      <c r="U28" s="45">
        <f>'Input operationele kosten'!V25</f>
        <v>0</v>
      </c>
      <c r="V28" s="45">
        <f>'Input operationele kosten'!W25</f>
        <v>0</v>
      </c>
    </row>
    <row r="29" spans="1:22" s="3" customFormat="1" ht="12.75">
      <c r="A29" s="87"/>
      <c r="B29" s="3" t="s">
        <v>21</v>
      </c>
      <c r="H29" s="3" t="s">
        <v>25</v>
      </c>
      <c r="J29" s="9">
        <f>SUM(L29:S29)</f>
        <v>947542.48477746267</v>
      </c>
      <c r="K29" s="10"/>
      <c r="L29" s="21">
        <f>'Input operationele kosten'!L26</f>
        <v>-54.294998973977982</v>
      </c>
      <c r="M29" s="21">
        <f>'Input operationele kosten'!M26</f>
        <v>0</v>
      </c>
      <c r="N29" s="21">
        <f>'Input operationele kosten'!N26</f>
        <v>455909.32626629254</v>
      </c>
      <c r="O29" s="21">
        <f>'Input operationele kosten'!O26</f>
        <v>0</v>
      </c>
      <c r="P29" s="21">
        <f>'Input operationele kosten'!P26</f>
        <v>-289.38653862875952</v>
      </c>
      <c r="Q29" s="21">
        <f>'Input operationele kosten'!Q26</f>
        <v>481054.56764304871</v>
      </c>
      <c r="R29" s="21">
        <f>'Input operationele kosten'!R26</f>
        <v>0</v>
      </c>
      <c r="S29" s="21">
        <f>'Input operationele kosten'!S26</f>
        <v>10922.272405724121</v>
      </c>
      <c r="T29" s="45">
        <f>'Input operationele kosten'!U26</f>
        <v>0</v>
      </c>
      <c r="U29" s="45">
        <f>'Input operationele kosten'!V26</f>
        <v>0</v>
      </c>
      <c r="V29" s="45">
        <f>'Input operationele kosten'!W26</f>
        <v>0</v>
      </c>
    </row>
    <row r="30" spans="1:22" s="3" customFormat="1" ht="12.75">
      <c r="A30" s="87"/>
      <c r="B30" s="3" t="s">
        <v>22</v>
      </c>
      <c r="H30" s="3" t="s">
        <v>25</v>
      </c>
      <c r="J30" s="9">
        <f>SUM(L30:S30)</f>
        <v>5263289.2005261993</v>
      </c>
      <c r="K30" s="10"/>
      <c r="L30" s="21">
        <f>'Input operationele kosten'!L27</f>
        <v>30894</v>
      </c>
      <c r="M30" s="21">
        <f>'Input operationele kosten'!M27</f>
        <v>113082.90043756668</v>
      </c>
      <c r="N30" s="21">
        <f>'Input operationele kosten'!N27</f>
        <v>1592417.5369157223</v>
      </c>
      <c r="O30" s="21">
        <f>'Input operationele kosten'!O27</f>
        <v>1747367.0458747949</v>
      </c>
      <c r="P30" s="21">
        <f>'Input operationele kosten'!P27</f>
        <v>37126.31</v>
      </c>
      <c r="Q30" s="21">
        <f>'Input operationele kosten'!Q27</f>
        <v>1467903.3519429786</v>
      </c>
      <c r="R30" s="21">
        <f>'Input operationele kosten'!R27</f>
        <v>205281.53144187349</v>
      </c>
      <c r="S30" s="21">
        <f>'Input operationele kosten'!S27</f>
        <v>69216.523913263387</v>
      </c>
      <c r="T30" s="45">
        <f>'Input operationele kosten'!U27</f>
        <v>0</v>
      </c>
      <c r="U30" s="45">
        <f>'Input operationele kosten'!V27</f>
        <v>0</v>
      </c>
      <c r="V30" s="45">
        <f>'Input operationele kosten'!W27</f>
        <v>0</v>
      </c>
    </row>
    <row r="31" spans="1:22" s="3" customFormat="1" ht="12.75">
      <c r="A31" s="87"/>
      <c r="B31" s="3" t="s">
        <v>23</v>
      </c>
      <c r="H31" s="3" t="s">
        <v>25</v>
      </c>
      <c r="J31" s="9">
        <f>SUM(L31:S31)</f>
        <v>18798386.207195289</v>
      </c>
      <c r="K31" s="10"/>
      <c r="L31" s="21">
        <f>'Input operationele kosten'!L28</f>
        <v>0</v>
      </c>
      <c r="M31" s="21">
        <f>'Input operationele kosten'!M28</f>
        <v>95907.53</v>
      </c>
      <c r="N31" s="21">
        <f>'Input operationele kosten'!N28</f>
        <v>6084709.2708396483</v>
      </c>
      <c r="O31" s="21">
        <f>'Input operationele kosten'!O28</f>
        <v>11890028.667398341</v>
      </c>
      <c r="P31" s="21">
        <f>'Input operationele kosten'!P28</f>
        <v>38704.22</v>
      </c>
      <c r="Q31" s="21">
        <f>'Input operationele kosten'!Q28</f>
        <v>285737.56154795532</v>
      </c>
      <c r="R31" s="21">
        <f>'Input operationele kosten'!R28</f>
        <v>105500</v>
      </c>
      <c r="S31" s="21">
        <f>'Input operationele kosten'!S28</f>
        <v>297798.95740934968</v>
      </c>
      <c r="T31" s="45">
        <f>'Input operationele kosten'!U28</f>
        <v>0</v>
      </c>
      <c r="U31" s="45">
        <f>'Input operationele kosten'!V28</f>
        <v>0</v>
      </c>
      <c r="V31" s="45">
        <f>'Input operationele kosten'!W28</f>
        <v>0</v>
      </c>
    </row>
    <row r="32" spans="1:22" s="3" customFormat="1" ht="12.75">
      <c r="A32" s="87"/>
      <c r="J32" s="10"/>
      <c r="K32" s="10"/>
      <c r="L32" s="10"/>
      <c r="M32" s="10"/>
      <c r="N32" s="10"/>
      <c r="O32" s="10"/>
      <c r="P32" s="10"/>
      <c r="Q32" s="10"/>
      <c r="R32" s="10"/>
      <c r="S32" s="10"/>
      <c r="T32" s="12"/>
      <c r="U32" s="10"/>
      <c r="V32" s="10"/>
    </row>
    <row r="33" spans="1:22" s="3" customFormat="1" ht="12.75">
      <c r="A33" s="87"/>
      <c r="B33" s="8" t="s">
        <v>24</v>
      </c>
      <c r="H33" s="3" t="s">
        <v>25</v>
      </c>
      <c r="J33" s="9">
        <f>SUM(L33:S33)</f>
        <v>1585511282.5131097</v>
      </c>
      <c r="K33" s="12"/>
      <c r="L33" s="9">
        <f>SUM(L14:L17,L20:L21,L24:L25,L28:L31)</f>
        <v>8887025.9131618664</v>
      </c>
      <c r="M33" s="9">
        <f t="shared" ref="M33:S33" si="0">SUM(M14:M17,M20:M21,M24:M25,M28:M31)</f>
        <v>41024280.608426251</v>
      </c>
      <c r="N33" s="9">
        <f>SUM(N14:N17,N20:N21,N24:N25,N28:N31)</f>
        <v>486818646.54868841</v>
      </c>
      <c r="O33" s="9">
        <f t="shared" si="0"/>
        <v>630964839.8910085</v>
      </c>
      <c r="P33" s="9">
        <f t="shared" si="0"/>
        <v>5143862.9141613701</v>
      </c>
      <c r="Q33" s="9">
        <f t="shared" si="0"/>
        <v>371743737.54024595</v>
      </c>
      <c r="R33" s="9">
        <f t="shared" si="0"/>
        <v>22192682.122459009</v>
      </c>
      <c r="S33" s="9">
        <f t="shared" si="0"/>
        <v>18736206.974958129</v>
      </c>
      <c r="T33" s="45">
        <f t="shared" ref="T33:U33" si="1">SUM(T14:T17,T20:T21,T24:T25,T28:T31)</f>
        <v>0</v>
      </c>
      <c r="U33" s="45">
        <f t="shared" si="1"/>
        <v>0</v>
      </c>
      <c r="V33" s="45">
        <f t="shared" ref="V33" si="2">SUM(V14:V17,V20:V21,V24:V25,V28:V31)</f>
        <v>0</v>
      </c>
    </row>
    <row r="34" spans="1:22" s="3" customFormat="1" ht="12.75">
      <c r="A34" s="87"/>
      <c r="J34" s="10"/>
      <c r="K34" s="10"/>
      <c r="L34" s="10"/>
      <c r="M34" s="10"/>
      <c r="N34" s="10"/>
      <c r="O34" s="10"/>
      <c r="P34" s="10"/>
      <c r="Q34" s="10"/>
      <c r="R34" s="10"/>
      <c r="S34" s="10"/>
      <c r="T34" s="10"/>
    </row>
    <row r="35" spans="1:22" s="3" customFormat="1" ht="12.75">
      <c r="A35" s="87"/>
      <c r="B35" s="8"/>
      <c r="J35" s="10"/>
      <c r="K35" s="10"/>
      <c r="L35" s="10"/>
      <c r="M35" s="10"/>
      <c r="N35" s="10"/>
      <c r="O35" s="10"/>
      <c r="P35" s="10"/>
      <c r="Q35" s="10"/>
      <c r="R35" s="10"/>
      <c r="S35" s="10"/>
      <c r="T35" s="10"/>
    </row>
    <row r="36" spans="1:22" s="3" customFormat="1" ht="12.75">
      <c r="A36" s="87"/>
      <c r="B36" s="17" t="s">
        <v>38</v>
      </c>
      <c r="J36" s="10"/>
      <c r="K36" s="10"/>
      <c r="L36" s="10"/>
      <c r="M36" s="10"/>
      <c r="N36" s="10"/>
      <c r="O36" s="10"/>
      <c r="P36" s="10"/>
      <c r="Q36" s="10"/>
      <c r="R36" s="10"/>
      <c r="S36" s="10"/>
      <c r="T36" s="10"/>
    </row>
    <row r="37" spans="1:22" s="3" customFormat="1" ht="12.75">
      <c r="A37" s="87"/>
      <c r="J37" s="10"/>
      <c r="K37" s="10"/>
      <c r="L37" s="10"/>
      <c r="M37" s="10"/>
      <c r="N37" s="10"/>
      <c r="O37" s="10"/>
      <c r="P37" s="10"/>
      <c r="Q37" s="10"/>
      <c r="R37" s="10"/>
      <c r="S37" s="10"/>
      <c r="T37" s="10"/>
    </row>
    <row r="38" spans="1:22" s="3" customFormat="1" ht="12.75">
      <c r="A38" s="87"/>
      <c r="B38" s="8" t="s">
        <v>8</v>
      </c>
      <c r="J38" s="10"/>
      <c r="K38" s="10"/>
      <c r="L38" s="10"/>
      <c r="M38" s="10"/>
      <c r="N38" s="10"/>
      <c r="O38" s="10"/>
      <c r="P38" s="10"/>
      <c r="Q38" s="10"/>
      <c r="R38" s="10"/>
      <c r="S38" s="10"/>
      <c r="T38" s="10"/>
    </row>
    <row r="39" spans="1:22" s="3" customFormat="1" ht="12.75">
      <c r="A39" s="87"/>
      <c r="B39" s="3" t="s">
        <v>9</v>
      </c>
      <c r="H39" s="3" t="s">
        <v>25</v>
      </c>
      <c r="J39" s="9">
        <f>SUM(L39:S39)</f>
        <v>0</v>
      </c>
      <c r="K39" s="10"/>
      <c r="L39" s="11"/>
      <c r="M39" s="11"/>
      <c r="N39" s="11"/>
      <c r="O39" s="11"/>
      <c r="P39" s="11"/>
      <c r="Q39" s="11"/>
      <c r="R39" s="11"/>
      <c r="S39" s="11"/>
      <c r="T39" s="45"/>
      <c r="U39" s="45"/>
      <c r="V39" s="45"/>
    </row>
    <row r="40" spans="1:22" s="3" customFormat="1" ht="12.75">
      <c r="A40" s="87"/>
      <c r="B40" s="3" t="s">
        <v>10</v>
      </c>
      <c r="H40" s="3" t="s">
        <v>25</v>
      </c>
      <c r="J40" s="9">
        <f>SUM(L40:S40)</f>
        <v>0</v>
      </c>
      <c r="K40" s="10"/>
      <c r="L40" s="11"/>
      <c r="M40" s="11"/>
      <c r="N40" s="11"/>
      <c r="O40" s="11"/>
      <c r="P40" s="11"/>
      <c r="Q40" s="11"/>
      <c r="R40" s="11"/>
      <c r="S40" s="11"/>
      <c r="T40" s="45"/>
      <c r="U40" s="45"/>
      <c r="V40" s="45"/>
    </row>
    <row r="41" spans="1:22" s="3" customFormat="1" ht="12.75">
      <c r="A41" s="87"/>
      <c r="B41" s="3" t="s">
        <v>11</v>
      </c>
      <c r="H41" s="3" t="s">
        <v>25</v>
      </c>
      <c r="J41" s="9">
        <f>SUM(L41:S41)</f>
        <v>0</v>
      </c>
      <c r="K41" s="10"/>
      <c r="L41" s="11"/>
      <c r="M41" s="11"/>
      <c r="N41" s="11"/>
      <c r="O41" s="11"/>
      <c r="P41" s="11"/>
      <c r="Q41" s="11"/>
      <c r="R41" s="11"/>
      <c r="S41" s="11"/>
      <c r="T41" s="45"/>
      <c r="U41" s="45"/>
      <c r="V41" s="45"/>
    </row>
    <row r="42" spans="1:22" s="3" customFormat="1" ht="12.75">
      <c r="A42" s="87"/>
      <c r="B42" s="3" t="s">
        <v>12</v>
      </c>
      <c r="H42" s="3" t="s">
        <v>25</v>
      </c>
      <c r="J42" s="9">
        <f>SUM(L42:S42)</f>
        <v>0</v>
      </c>
      <c r="K42" s="10"/>
      <c r="L42" s="11"/>
      <c r="M42" s="11"/>
      <c r="N42" s="11"/>
      <c r="O42" s="11"/>
      <c r="P42" s="11"/>
      <c r="Q42" s="11"/>
      <c r="R42" s="11"/>
      <c r="S42" s="11"/>
      <c r="T42" s="45"/>
      <c r="U42" s="45"/>
      <c r="V42" s="45"/>
    </row>
    <row r="43" spans="1:22" s="3" customFormat="1" ht="12.75">
      <c r="A43" s="87"/>
      <c r="J43" s="10"/>
      <c r="K43" s="10"/>
      <c r="L43" s="10"/>
      <c r="M43" s="10"/>
      <c r="N43" s="10"/>
      <c r="O43" s="10"/>
      <c r="P43" s="10"/>
      <c r="Q43" s="10"/>
      <c r="R43" s="10"/>
      <c r="S43" s="10"/>
      <c r="T43" s="10"/>
      <c r="U43" s="10"/>
      <c r="V43" s="10"/>
    </row>
    <row r="44" spans="1:22" s="3" customFormat="1" ht="12.75">
      <c r="A44" s="87"/>
      <c r="B44" s="8" t="s">
        <v>13</v>
      </c>
      <c r="J44" s="10"/>
      <c r="K44" s="10"/>
      <c r="L44" s="10"/>
      <c r="M44" s="10"/>
      <c r="N44" s="10"/>
      <c r="O44" s="10"/>
      <c r="P44" s="10"/>
      <c r="Q44" s="10"/>
      <c r="R44" s="10"/>
      <c r="S44" s="10"/>
      <c r="T44" s="10"/>
      <c r="U44" s="10"/>
      <c r="V44" s="10"/>
    </row>
    <row r="45" spans="1:22" s="3" customFormat="1" ht="12.75">
      <c r="A45" s="87"/>
      <c r="B45" s="3" t="s">
        <v>14</v>
      </c>
      <c r="H45" s="3" t="s">
        <v>25</v>
      </c>
      <c r="J45" s="9">
        <f>SUM(L45:S45)</f>
        <v>0</v>
      </c>
      <c r="K45" s="10"/>
      <c r="L45" s="11"/>
      <c r="M45" s="11"/>
      <c r="N45" s="11"/>
      <c r="O45" s="11"/>
      <c r="P45" s="11"/>
      <c r="Q45" s="11"/>
      <c r="R45" s="11"/>
      <c r="S45" s="11"/>
      <c r="T45" s="45"/>
      <c r="U45" s="45"/>
      <c r="V45" s="45"/>
    </row>
    <row r="46" spans="1:22" s="3" customFormat="1" ht="12.75">
      <c r="A46" s="87"/>
      <c r="B46" s="3" t="s">
        <v>15</v>
      </c>
      <c r="H46" s="3" t="s">
        <v>25</v>
      </c>
      <c r="J46" s="9">
        <f>SUM(L46:S46)</f>
        <v>0</v>
      </c>
      <c r="K46" s="10"/>
      <c r="L46" s="11"/>
      <c r="M46" s="11"/>
      <c r="N46" s="11"/>
      <c r="O46" s="11"/>
      <c r="P46" s="11"/>
      <c r="Q46" s="11"/>
      <c r="R46" s="11"/>
      <c r="S46" s="11"/>
      <c r="T46" s="45"/>
      <c r="U46" s="45"/>
      <c r="V46" s="45"/>
    </row>
    <row r="47" spans="1:22" s="3" customFormat="1" ht="12.75">
      <c r="A47" s="87"/>
      <c r="J47" s="10"/>
      <c r="K47" s="10"/>
      <c r="L47" s="10"/>
      <c r="M47" s="10"/>
      <c r="N47" s="10"/>
      <c r="O47" s="10"/>
      <c r="P47" s="10"/>
      <c r="Q47" s="10"/>
      <c r="R47" s="10"/>
      <c r="S47" s="10"/>
      <c r="T47" s="10"/>
      <c r="U47" s="10"/>
      <c r="V47" s="10"/>
    </row>
    <row r="48" spans="1:22" s="3" customFormat="1" ht="12.75">
      <c r="A48" s="87"/>
      <c r="B48" s="8" t="s">
        <v>16</v>
      </c>
      <c r="J48" s="10"/>
      <c r="K48" s="10"/>
      <c r="L48" s="10"/>
      <c r="M48" s="10"/>
      <c r="N48" s="10"/>
      <c r="O48" s="10"/>
      <c r="P48" s="10"/>
      <c r="Q48" s="10"/>
      <c r="R48" s="10"/>
      <c r="S48" s="10"/>
      <c r="T48" s="10"/>
      <c r="U48" s="10"/>
      <c r="V48" s="10"/>
    </row>
    <row r="49" spans="1:22" s="3" customFormat="1" ht="12.75">
      <c r="A49" s="87"/>
      <c r="B49" s="3" t="s">
        <v>17</v>
      </c>
      <c r="H49" s="3" t="s">
        <v>25</v>
      </c>
      <c r="J49" s="9">
        <f>SUM(L49:S49)</f>
        <v>0</v>
      </c>
      <c r="K49" s="10"/>
      <c r="L49" s="11"/>
      <c r="M49" s="11"/>
      <c r="N49" s="11"/>
      <c r="O49" s="11"/>
      <c r="P49" s="11"/>
      <c r="Q49" s="11"/>
      <c r="R49" s="11"/>
      <c r="S49" s="11"/>
      <c r="T49" s="45"/>
      <c r="U49" s="45"/>
      <c r="V49" s="45"/>
    </row>
    <row r="50" spans="1:22" s="3" customFormat="1" ht="12.75">
      <c r="A50" s="87"/>
      <c r="B50" s="3" t="s">
        <v>18</v>
      </c>
      <c r="H50" s="3" t="s">
        <v>25</v>
      </c>
      <c r="J50" s="9">
        <f>SUM(L50:S50)</f>
        <v>0</v>
      </c>
      <c r="K50" s="10"/>
      <c r="L50" s="11"/>
      <c r="M50" s="11"/>
      <c r="N50" s="11"/>
      <c r="O50" s="11"/>
      <c r="P50" s="11"/>
      <c r="Q50" s="11"/>
      <c r="R50" s="11"/>
      <c r="S50" s="11"/>
      <c r="T50" s="45"/>
      <c r="U50" s="45"/>
      <c r="V50" s="45"/>
    </row>
    <row r="51" spans="1:22" s="3" customFormat="1" ht="12.75">
      <c r="A51" s="87"/>
      <c r="J51" s="10"/>
      <c r="K51" s="10"/>
      <c r="L51" s="10"/>
      <c r="M51" s="10"/>
      <c r="N51" s="10"/>
      <c r="O51" s="10"/>
      <c r="P51" s="10"/>
      <c r="Q51" s="10"/>
      <c r="R51" s="10"/>
      <c r="S51" s="10"/>
      <c r="T51" s="10"/>
      <c r="U51" s="10"/>
      <c r="V51" s="10"/>
    </row>
    <row r="52" spans="1:22" s="3" customFormat="1" ht="12.75">
      <c r="A52" s="87"/>
      <c r="B52" s="8" t="s">
        <v>19</v>
      </c>
      <c r="J52" s="10"/>
      <c r="K52" s="10"/>
      <c r="L52" s="10"/>
      <c r="M52" s="10"/>
      <c r="N52" s="10"/>
      <c r="O52" s="10"/>
      <c r="P52" s="10"/>
      <c r="Q52" s="10"/>
      <c r="R52" s="10"/>
      <c r="S52" s="10"/>
      <c r="T52" s="10"/>
      <c r="U52" s="10"/>
      <c r="V52" s="10"/>
    </row>
    <row r="53" spans="1:22" s="3" customFormat="1" ht="12.75">
      <c r="A53" s="87"/>
      <c r="B53" s="3" t="s">
        <v>20</v>
      </c>
      <c r="H53" s="3" t="s">
        <v>25</v>
      </c>
      <c r="J53" s="9">
        <f>SUM(L53:S53)</f>
        <v>15723</v>
      </c>
      <c r="K53" s="10"/>
      <c r="L53" s="11"/>
      <c r="M53" s="11"/>
      <c r="N53" s="11"/>
      <c r="O53" s="11"/>
      <c r="P53" s="11"/>
      <c r="Q53" s="11"/>
      <c r="R53" s="37">
        <v>15723</v>
      </c>
      <c r="S53" s="11"/>
      <c r="T53" s="45"/>
      <c r="U53" s="45"/>
      <c r="V53" s="45"/>
    </row>
    <row r="54" spans="1:22" s="3" customFormat="1" ht="12.75">
      <c r="A54" s="87"/>
      <c r="B54" s="3" t="s">
        <v>21</v>
      </c>
      <c r="H54" s="3" t="s">
        <v>25</v>
      </c>
      <c r="J54" s="9">
        <f>SUM(L54:S54)</f>
        <v>0</v>
      </c>
      <c r="K54" s="10"/>
      <c r="L54" s="11"/>
      <c r="M54" s="11"/>
      <c r="N54" s="11"/>
      <c r="O54" s="11"/>
      <c r="P54" s="11"/>
      <c r="Q54" s="11"/>
      <c r="R54" s="11"/>
      <c r="S54" s="11"/>
      <c r="T54" s="45"/>
      <c r="U54" s="45"/>
      <c r="V54" s="45"/>
    </row>
    <row r="55" spans="1:22" s="3" customFormat="1" ht="12.75">
      <c r="A55" s="87"/>
      <c r="B55" s="3" t="s">
        <v>22</v>
      </c>
      <c r="H55" s="3" t="s">
        <v>25</v>
      </c>
      <c r="J55" s="9">
        <f>SUM(L55:S55)</f>
        <v>0</v>
      </c>
      <c r="K55" s="10"/>
      <c r="L55" s="11"/>
      <c r="M55" s="11"/>
      <c r="N55" s="11"/>
      <c r="O55" s="11"/>
      <c r="P55" s="11"/>
      <c r="Q55" s="11"/>
      <c r="R55" s="11"/>
      <c r="S55" s="11"/>
      <c r="T55" s="45"/>
      <c r="U55" s="45"/>
      <c r="V55" s="45"/>
    </row>
    <row r="56" spans="1:22" s="3" customFormat="1" ht="12.75">
      <c r="A56" s="87"/>
      <c r="B56" s="3" t="s">
        <v>23</v>
      </c>
      <c r="H56" s="3" t="s">
        <v>25</v>
      </c>
      <c r="J56" s="9">
        <f>SUM(L56:S56)</f>
        <v>-151000</v>
      </c>
      <c r="K56" s="10"/>
      <c r="L56" s="11"/>
      <c r="M56" s="11"/>
      <c r="N56" s="11"/>
      <c r="O56" s="11"/>
      <c r="P56" s="11"/>
      <c r="Q56" s="11"/>
      <c r="R56" s="11"/>
      <c r="S56" s="37">
        <v>-151000</v>
      </c>
      <c r="T56" s="45"/>
      <c r="U56" s="45"/>
      <c r="V56" s="45"/>
    </row>
    <row r="57" spans="1:22" s="3" customFormat="1" ht="12.75">
      <c r="A57" s="87"/>
      <c r="J57" s="10"/>
      <c r="K57" s="10"/>
      <c r="L57" s="10"/>
      <c r="M57" s="10"/>
      <c r="N57" s="10"/>
      <c r="O57" s="10"/>
      <c r="P57" s="10"/>
      <c r="Q57" s="10"/>
      <c r="R57" s="10"/>
      <c r="S57" s="10"/>
      <c r="T57" s="10"/>
    </row>
    <row r="58" spans="1:22" s="3" customFormat="1" ht="12.75">
      <c r="A58" s="87"/>
      <c r="J58" s="10"/>
      <c r="K58" s="10"/>
      <c r="L58" s="10"/>
      <c r="M58" s="10"/>
      <c r="N58" s="10"/>
      <c r="O58" s="10"/>
      <c r="P58" s="10"/>
      <c r="Q58" s="10"/>
      <c r="R58" s="10"/>
      <c r="S58" s="10"/>
      <c r="T58" s="10"/>
    </row>
    <row r="59" spans="1:22" s="3" customFormat="1" ht="12.75">
      <c r="A59" s="87"/>
      <c r="B59" s="8" t="s">
        <v>39</v>
      </c>
      <c r="J59" s="10"/>
      <c r="K59" s="10"/>
      <c r="L59" s="10"/>
      <c r="M59" s="10"/>
      <c r="N59" s="10"/>
      <c r="O59" s="10"/>
      <c r="P59" s="10"/>
      <c r="Q59" s="10"/>
      <c r="R59" s="10"/>
      <c r="S59" s="10"/>
      <c r="T59" s="10"/>
    </row>
    <row r="60" spans="1:22" s="3" customFormat="1" ht="12.75">
      <c r="A60" s="87"/>
      <c r="J60" s="10"/>
      <c r="K60" s="10"/>
      <c r="L60" s="10"/>
      <c r="M60" s="10"/>
      <c r="N60" s="10"/>
      <c r="O60" s="10"/>
      <c r="P60" s="10"/>
      <c r="Q60" s="10"/>
      <c r="R60" s="10"/>
      <c r="S60" s="10"/>
      <c r="T60" s="10"/>
    </row>
    <row r="61" spans="1:22" s="3" customFormat="1" ht="12.75">
      <c r="A61" s="87"/>
      <c r="B61" s="8" t="s">
        <v>40</v>
      </c>
      <c r="J61" s="10"/>
      <c r="K61" s="10"/>
      <c r="L61" s="10"/>
      <c r="M61" s="10"/>
      <c r="N61" s="10"/>
      <c r="O61" s="10"/>
      <c r="P61" s="10"/>
      <c r="Q61" s="10"/>
      <c r="R61" s="10"/>
      <c r="S61" s="10"/>
      <c r="T61" s="10"/>
    </row>
    <row r="62" spans="1:22" s="3" customFormat="1" ht="12.75">
      <c r="A62" s="87"/>
      <c r="B62" s="3" t="s">
        <v>41</v>
      </c>
      <c r="H62" s="3" t="s">
        <v>25</v>
      </c>
      <c r="J62" s="9">
        <f t="shared" ref="J62:J71" si="3">SUM(L62:S62)</f>
        <v>13137909.678434636</v>
      </c>
      <c r="K62" s="10"/>
      <c r="L62" s="21">
        <f>'Overige opbrengsten'!L43</f>
        <v>103245.25000000003</v>
      </c>
      <c r="M62" s="21">
        <f>'Overige opbrengsten'!M43</f>
        <v>275246.9865</v>
      </c>
      <c r="N62" s="21">
        <f>'Overige opbrengsten'!N43</f>
        <v>5398788.3100000005</v>
      </c>
      <c r="O62" s="21">
        <f>'Overige opbrengsten'!O43</f>
        <v>2205448.9699999997</v>
      </c>
      <c r="P62" s="21">
        <f>'Overige opbrengsten'!P43</f>
        <v>29666.37</v>
      </c>
      <c r="Q62" s="21">
        <f>'Overige opbrengsten'!Q43</f>
        <v>4857005.8400000008</v>
      </c>
      <c r="R62" s="21">
        <f>'Overige opbrengsten'!R43</f>
        <v>15400.680664635616</v>
      </c>
      <c r="S62" s="21">
        <f>'Overige opbrengsten'!S43</f>
        <v>253107.27127</v>
      </c>
      <c r="T62" s="45">
        <f>'Overige opbrengsten'!U43</f>
        <v>0</v>
      </c>
      <c r="U62" s="45">
        <f>'Overige opbrengsten'!V43</f>
        <v>0</v>
      </c>
      <c r="V62" s="45">
        <f>'Overige opbrengsten'!W43</f>
        <v>0</v>
      </c>
    </row>
    <row r="63" spans="1:22" s="3" customFormat="1" ht="12.75">
      <c r="A63" s="87"/>
      <c r="B63" s="3" t="s">
        <v>42</v>
      </c>
      <c r="D63" s="13"/>
      <c r="H63" s="3" t="s">
        <v>25</v>
      </c>
      <c r="J63" s="9">
        <f t="shared" si="3"/>
        <v>278934.6234999994</v>
      </c>
      <c r="K63" s="10"/>
      <c r="L63" s="21">
        <f>'Overige opbrengsten'!L44</f>
        <v>7564.8799999999992</v>
      </c>
      <c r="M63" s="21">
        <f>'Overige opbrengsten'!M44</f>
        <v>14486.683499999999</v>
      </c>
      <c r="N63" s="21">
        <f>'Overige opbrengsten'!N44</f>
        <v>256883.05999999939</v>
      </c>
      <c r="O63" s="21">
        <f>'Overige opbrengsten'!O44</f>
        <v>0</v>
      </c>
      <c r="P63" s="21">
        <f>'Overige opbrengsten'!P44</f>
        <v>0</v>
      </c>
      <c r="Q63" s="21">
        <f>'Overige opbrengsten'!Q44</f>
        <v>0</v>
      </c>
      <c r="R63" s="21">
        <f>'Overige opbrengsten'!R44</f>
        <v>0</v>
      </c>
      <c r="S63" s="21">
        <f>'Overige opbrengsten'!S44</f>
        <v>0</v>
      </c>
      <c r="T63" s="45">
        <f>'Overige opbrengsten'!U44</f>
        <v>0</v>
      </c>
      <c r="U63" s="45">
        <f>'Overige opbrengsten'!V44</f>
        <v>0</v>
      </c>
      <c r="V63" s="45">
        <f>'Overige opbrengsten'!W44</f>
        <v>0</v>
      </c>
    </row>
    <row r="64" spans="1:22" s="3" customFormat="1" ht="12.75">
      <c r="A64" s="87"/>
      <c r="B64" s="3" t="s">
        <v>43</v>
      </c>
      <c r="H64" s="3" t="s">
        <v>25</v>
      </c>
      <c r="J64" s="9">
        <f t="shared" si="3"/>
        <v>3770547.2696688818</v>
      </c>
      <c r="K64" s="10"/>
      <c r="L64" s="21">
        <f>'Overige opbrengsten'!L45</f>
        <v>34363.619999999981</v>
      </c>
      <c r="M64" s="21">
        <f>'Overige opbrengsten'!M45</f>
        <v>0</v>
      </c>
      <c r="N64" s="21">
        <f>'Overige opbrengsten'!N45</f>
        <v>1684090.6500000001</v>
      </c>
      <c r="O64" s="21">
        <f>'Overige opbrengsten'!O45</f>
        <v>318156.73966888333</v>
      </c>
      <c r="P64" s="21">
        <f>'Overige opbrengsten'!P45</f>
        <v>0</v>
      </c>
      <c r="Q64" s="21">
        <f>'Overige opbrengsten'!Q45</f>
        <v>1584457.1499999985</v>
      </c>
      <c r="R64" s="21">
        <f>'Overige opbrengsten'!R45</f>
        <v>11642</v>
      </c>
      <c r="S64" s="21">
        <f>'Overige opbrengsten'!S45</f>
        <v>137837.11000000002</v>
      </c>
      <c r="T64" s="45">
        <f>'Overige opbrengsten'!U45</f>
        <v>0</v>
      </c>
      <c r="U64" s="45">
        <f>'Overige opbrengsten'!V45</f>
        <v>0</v>
      </c>
      <c r="V64" s="45">
        <f>'Overige opbrengsten'!W45</f>
        <v>0</v>
      </c>
    </row>
    <row r="65" spans="1:22" s="3" customFormat="1" ht="12.75">
      <c r="A65" s="87"/>
      <c r="B65" s="3" t="s">
        <v>48</v>
      </c>
      <c r="H65" s="3" t="s">
        <v>25</v>
      </c>
      <c r="J65" s="9">
        <f t="shared" si="3"/>
        <v>11683003.735156793</v>
      </c>
      <c r="K65" s="10"/>
      <c r="L65" s="21">
        <f>'Overige opbrengsten'!L46</f>
        <v>29257.589999999993</v>
      </c>
      <c r="M65" s="21">
        <f>'Overige opbrengsten'!M46</f>
        <v>197357.73515679245</v>
      </c>
      <c r="N65" s="21">
        <f>'Overige opbrengsten'!N46</f>
        <v>5525991</v>
      </c>
      <c r="O65" s="21">
        <f>'Overige opbrengsten'!O46</f>
        <v>3837597.5700000003</v>
      </c>
      <c r="P65" s="21">
        <f>'Overige opbrengsten'!P46</f>
        <v>55698.07</v>
      </c>
      <c r="Q65" s="21">
        <f>'Overige opbrengsten'!Q46</f>
        <v>1905336.75</v>
      </c>
      <c r="R65" s="21">
        <f>'Overige opbrengsten'!R46</f>
        <v>42441.82</v>
      </c>
      <c r="S65" s="21">
        <f>'Overige opbrengsten'!S46</f>
        <v>89323.200000000012</v>
      </c>
      <c r="T65" s="45">
        <f>'Overige opbrengsten'!U46</f>
        <v>0</v>
      </c>
      <c r="U65" s="45">
        <f>'Overige opbrengsten'!V46</f>
        <v>0</v>
      </c>
      <c r="V65" s="45">
        <f>'Overige opbrengsten'!W46</f>
        <v>0</v>
      </c>
    </row>
    <row r="66" spans="1:22" s="3" customFormat="1" ht="12.75">
      <c r="A66" s="87"/>
      <c r="B66" s="3" t="s">
        <v>49</v>
      </c>
      <c r="H66" s="3" t="s">
        <v>25</v>
      </c>
      <c r="J66" s="9">
        <f t="shared" si="3"/>
        <v>10295658.670845434</v>
      </c>
      <c r="K66" s="10"/>
      <c r="L66" s="21">
        <f>'Overige opbrengsten'!L47</f>
        <v>0</v>
      </c>
      <c r="M66" s="21">
        <f>'Overige opbrengsten'!M47</f>
        <v>27190.513999999999</v>
      </c>
      <c r="N66" s="21">
        <f>'Overige opbrengsten'!N47</f>
        <v>1773888</v>
      </c>
      <c r="O66" s="21">
        <f>'Overige opbrengsten'!O47</f>
        <v>6424812.4699999997</v>
      </c>
      <c r="P66" s="21">
        <f>'Overige opbrengsten'!P47</f>
        <v>22816.335000000003</v>
      </c>
      <c r="Q66" s="21">
        <f>'Overige opbrengsten'!Q47</f>
        <v>2017693.7528987038</v>
      </c>
      <c r="R66" s="21">
        <f>'Overige opbrengsten'!R47</f>
        <v>0</v>
      </c>
      <c r="S66" s="21">
        <f>'Overige opbrengsten'!S47</f>
        <v>29257.598946730981</v>
      </c>
      <c r="T66" s="45">
        <f>'Overige opbrengsten'!U47</f>
        <v>0</v>
      </c>
      <c r="U66" s="45">
        <f>'Overige opbrengsten'!V47</f>
        <v>0</v>
      </c>
      <c r="V66" s="45">
        <f>'Overige opbrengsten'!W47</f>
        <v>0</v>
      </c>
    </row>
    <row r="67" spans="1:22" s="3" customFormat="1" ht="12.75">
      <c r="A67" s="87"/>
      <c r="B67" s="3" t="s">
        <v>50</v>
      </c>
      <c r="H67" s="3" t="s">
        <v>25</v>
      </c>
      <c r="J67" s="9">
        <f t="shared" si="3"/>
        <v>165999.03135625771</v>
      </c>
      <c r="K67" s="10"/>
      <c r="L67" s="21">
        <f>'Overige opbrengsten'!L48</f>
        <v>0</v>
      </c>
      <c r="M67" s="21">
        <f>'Overige opbrengsten'!M48</f>
        <v>0</v>
      </c>
      <c r="N67" s="21">
        <f>'Overige opbrengsten'!N48</f>
        <v>0</v>
      </c>
      <c r="O67" s="21">
        <f>'Overige opbrengsten'!O48</f>
        <v>153745.77135625773</v>
      </c>
      <c r="P67" s="21">
        <f>'Overige opbrengsten'!P48</f>
        <v>422.3</v>
      </c>
      <c r="Q67" s="21">
        <f>'Overige opbrengsten'!Q48</f>
        <v>0</v>
      </c>
      <c r="R67" s="21">
        <f>'Overige opbrengsten'!R48</f>
        <v>11830.96</v>
      </c>
      <c r="S67" s="21">
        <f>'Overige opbrengsten'!S48</f>
        <v>0</v>
      </c>
      <c r="T67" s="45">
        <f>'Overige opbrengsten'!U48</f>
        <v>0</v>
      </c>
      <c r="U67" s="45">
        <f>'Overige opbrengsten'!V48</f>
        <v>0</v>
      </c>
      <c r="V67" s="45">
        <f>'Overige opbrengsten'!W48</f>
        <v>0</v>
      </c>
    </row>
    <row r="68" spans="1:22" s="3" customFormat="1" ht="12.75">
      <c r="A68" s="87"/>
      <c r="B68" s="3" t="s">
        <v>51</v>
      </c>
      <c r="H68" s="3" t="s">
        <v>25</v>
      </c>
      <c r="J68" s="9">
        <f t="shared" si="3"/>
        <v>1425010.318974968</v>
      </c>
      <c r="K68" s="10"/>
      <c r="L68" s="21">
        <f>'Overige opbrengsten'!L49</f>
        <v>0</v>
      </c>
      <c r="M68" s="21">
        <f>'Overige opbrengsten'!M49</f>
        <v>0</v>
      </c>
      <c r="N68" s="21">
        <f>'Overige opbrengsten'!N49</f>
        <v>0</v>
      </c>
      <c r="O68" s="21">
        <f>'Overige opbrengsten'!O49</f>
        <v>1463222.068974968</v>
      </c>
      <c r="P68" s="21">
        <f>'Overige opbrengsten'!P49</f>
        <v>0</v>
      </c>
      <c r="Q68" s="21">
        <f>'Overige opbrengsten'!Q49</f>
        <v>0</v>
      </c>
      <c r="R68" s="21">
        <f>'Overige opbrengsten'!R49</f>
        <v>-38211.75</v>
      </c>
      <c r="S68" s="21">
        <f>'Overige opbrengsten'!S49</f>
        <v>0</v>
      </c>
      <c r="T68" s="45">
        <f>'Overige opbrengsten'!U49</f>
        <v>0</v>
      </c>
      <c r="U68" s="45">
        <f>'Overige opbrengsten'!V49</f>
        <v>0</v>
      </c>
      <c r="V68" s="45">
        <f>'Overige opbrengsten'!W49</f>
        <v>0</v>
      </c>
    </row>
    <row r="69" spans="1:22" s="3" customFormat="1" ht="12.75">
      <c r="A69" s="87"/>
      <c r="B69" s="3" t="s">
        <v>52</v>
      </c>
      <c r="H69" s="3" t="s">
        <v>25</v>
      </c>
      <c r="J69" s="9">
        <f t="shared" si="3"/>
        <v>0</v>
      </c>
      <c r="K69" s="10"/>
      <c r="L69" s="21">
        <f>'Overige opbrengsten'!L50</f>
        <v>0</v>
      </c>
      <c r="M69" s="21">
        <f>'Overige opbrengsten'!M50</f>
        <v>0</v>
      </c>
      <c r="N69" s="21">
        <f>'Overige opbrengsten'!N50</f>
        <v>0</v>
      </c>
      <c r="O69" s="21">
        <f>'Overige opbrengsten'!O50</f>
        <v>0</v>
      </c>
      <c r="P69" s="21">
        <f>'Overige opbrengsten'!P50</f>
        <v>0</v>
      </c>
      <c r="Q69" s="21">
        <f>'Overige opbrengsten'!Q50</f>
        <v>0</v>
      </c>
      <c r="R69" s="21">
        <f>'Overige opbrengsten'!R50</f>
        <v>0</v>
      </c>
      <c r="S69" s="21">
        <f>'Overige opbrengsten'!S50</f>
        <v>0</v>
      </c>
      <c r="T69" s="45">
        <f>'Overige opbrengsten'!U50</f>
        <v>0</v>
      </c>
      <c r="U69" s="45">
        <f>'Overige opbrengsten'!V50</f>
        <v>0</v>
      </c>
      <c r="V69" s="45">
        <f>'Overige opbrengsten'!W50</f>
        <v>0</v>
      </c>
    </row>
    <row r="70" spans="1:22" s="3" customFormat="1" ht="12.75">
      <c r="A70" s="87"/>
      <c r="B70" s="3" t="s">
        <v>53</v>
      </c>
      <c r="H70" s="3" t="s">
        <v>25</v>
      </c>
      <c r="J70" s="9">
        <f t="shared" si="3"/>
        <v>0</v>
      </c>
      <c r="K70" s="10"/>
      <c r="L70" s="21">
        <f>'Overige opbrengsten'!L51</f>
        <v>0</v>
      </c>
      <c r="M70" s="21">
        <f>'Overige opbrengsten'!M51</f>
        <v>0</v>
      </c>
      <c r="N70" s="21">
        <f>'Overige opbrengsten'!N51</f>
        <v>0</v>
      </c>
      <c r="O70" s="21">
        <f>'Overige opbrengsten'!O51</f>
        <v>0</v>
      </c>
      <c r="P70" s="21">
        <f>'Overige opbrengsten'!P51</f>
        <v>0</v>
      </c>
      <c r="Q70" s="21">
        <f>'Overige opbrengsten'!Q51</f>
        <v>0</v>
      </c>
      <c r="R70" s="21">
        <f>'Overige opbrengsten'!R51</f>
        <v>0</v>
      </c>
      <c r="S70" s="21">
        <f>'Overige opbrengsten'!S51</f>
        <v>0</v>
      </c>
      <c r="T70" s="45">
        <f>'Overige opbrengsten'!U51</f>
        <v>0</v>
      </c>
      <c r="U70" s="45">
        <f>'Overige opbrengsten'!V51</f>
        <v>0</v>
      </c>
      <c r="V70" s="45">
        <f>'Overige opbrengsten'!W51</f>
        <v>0</v>
      </c>
    </row>
    <row r="71" spans="1:22" s="3" customFormat="1" ht="12.75">
      <c r="A71" s="87"/>
      <c r="B71" s="3" t="s">
        <v>54</v>
      </c>
      <c r="H71" s="3" t="s">
        <v>25</v>
      </c>
      <c r="J71" s="9">
        <f t="shared" si="3"/>
        <v>0</v>
      </c>
      <c r="K71" s="10"/>
      <c r="L71" s="21">
        <f>'Overige opbrengsten'!L52</f>
        <v>0</v>
      </c>
      <c r="M71" s="21">
        <f>'Overige opbrengsten'!M52</f>
        <v>0</v>
      </c>
      <c r="N71" s="21">
        <f>'Overige opbrengsten'!N52</f>
        <v>0</v>
      </c>
      <c r="O71" s="21">
        <f>'Overige opbrengsten'!O52</f>
        <v>0</v>
      </c>
      <c r="P71" s="21">
        <f>'Overige opbrengsten'!P52</f>
        <v>0</v>
      </c>
      <c r="Q71" s="21">
        <f>'Overige opbrengsten'!Q52</f>
        <v>0</v>
      </c>
      <c r="R71" s="21">
        <f>'Overige opbrengsten'!R52</f>
        <v>0</v>
      </c>
      <c r="S71" s="21">
        <f>'Overige opbrengsten'!S52</f>
        <v>0</v>
      </c>
      <c r="T71" s="45">
        <f>'Overige opbrengsten'!U52</f>
        <v>0</v>
      </c>
      <c r="U71" s="45">
        <f>'Overige opbrengsten'!V52</f>
        <v>0</v>
      </c>
      <c r="V71" s="45">
        <f>'Overige opbrengsten'!W52</f>
        <v>0</v>
      </c>
    </row>
    <row r="72" spans="1:22" s="3" customFormat="1" ht="12.75">
      <c r="A72" s="87"/>
      <c r="J72" s="10"/>
      <c r="K72" s="10"/>
      <c r="L72" s="10"/>
      <c r="M72" s="10"/>
      <c r="N72" s="10"/>
      <c r="O72" s="10"/>
      <c r="P72" s="10"/>
      <c r="Q72" s="10"/>
      <c r="R72" s="10"/>
      <c r="S72" s="10"/>
      <c r="T72" s="10"/>
      <c r="U72" s="10"/>
      <c r="V72" s="10"/>
    </row>
    <row r="73" spans="1:22" s="3" customFormat="1" ht="12.75">
      <c r="A73" s="87"/>
      <c r="B73" s="27" t="s">
        <v>194</v>
      </c>
      <c r="J73" s="10"/>
      <c r="K73" s="10"/>
      <c r="L73" s="10"/>
      <c r="M73" s="10"/>
      <c r="N73" s="10"/>
      <c r="O73" s="10"/>
      <c r="P73" s="10"/>
      <c r="Q73" s="10"/>
      <c r="R73" s="10"/>
      <c r="S73" s="10"/>
      <c r="T73" s="10"/>
      <c r="U73" s="10"/>
      <c r="V73" s="10"/>
    </row>
    <row r="74" spans="1:22" s="3" customFormat="1" ht="12.75">
      <c r="A74" s="87"/>
      <c r="B74" s="28" t="s">
        <v>198</v>
      </c>
      <c r="H74" s="3" t="s">
        <v>25</v>
      </c>
      <c r="J74" s="9">
        <f>SUM(L74:S74)</f>
        <v>1099237.8130999999</v>
      </c>
      <c r="K74" s="10"/>
      <c r="L74" s="21">
        <f>'Overige opbrengsten'!L58</f>
        <v>0</v>
      </c>
      <c r="M74" s="21">
        <f>'Overige opbrengsten'!M58</f>
        <v>0</v>
      </c>
      <c r="N74" s="21">
        <f>'Overige opbrengsten'!N58</f>
        <v>0</v>
      </c>
      <c r="O74" s="21">
        <f>'Overige opbrengsten'!O58</f>
        <v>61743.379999999896</v>
      </c>
      <c r="P74" s="21">
        <f>'Overige opbrengsten'!P58</f>
        <v>1995.8</v>
      </c>
      <c r="Q74" s="21">
        <f>'Overige opbrengsten'!Q58</f>
        <v>1022847.15</v>
      </c>
      <c r="R74" s="21">
        <f>'Overige opbrengsten'!R58</f>
        <v>0</v>
      </c>
      <c r="S74" s="21">
        <f>'Overige opbrengsten'!S58</f>
        <v>12651.483099999999</v>
      </c>
      <c r="T74" s="45">
        <f>'Overige opbrengsten'!U58</f>
        <v>0</v>
      </c>
      <c r="U74" s="45">
        <f>'Overige opbrengsten'!V58</f>
        <v>0</v>
      </c>
      <c r="V74" s="45">
        <f>'Overige opbrengsten'!W58</f>
        <v>0</v>
      </c>
    </row>
    <row r="75" spans="1:22" s="3" customFormat="1" ht="12.75">
      <c r="A75" s="87"/>
      <c r="J75" s="10"/>
      <c r="K75" s="10"/>
      <c r="L75" s="10"/>
      <c r="M75" s="10"/>
      <c r="N75" s="10"/>
      <c r="O75" s="10"/>
      <c r="P75" s="10"/>
      <c r="Q75" s="10"/>
      <c r="R75" s="10"/>
      <c r="S75" s="10"/>
      <c r="T75" s="10"/>
      <c r="U75" s="10"/>
      <c r="V75" s="10"/>
    </row>
    <row r="76" spans="1:22" s="3" customFormat="1" ht="12.75">
      <c r="A76" s="87"/>
      <c r="B76" s="8" t="s">
        <v>44</v>
      </c>
      <c r="J76" s="10"/>
      <c r="K76" s="10"/>
      <c r="L76" s="10"/>
      <c r="M76" s="10"/>
      <c r="N76" s="10"/>
      <c r="O76" s="10"/>
      <c r="P76" s="10"/>
      <c r="Q76" s="10"/>
      <c r="R76" s="10"/>
      <c r="S76" s="10"/>
      <c r="T76" s="10"/>
      <c r="U76" s="10"/>
      <c r="V76" s="10"/>
    </row>
    <row r="77" spans="1:22" s="3" customFormat="1" ht="12.75">
      <c r="A77" s="87"/>
      <c r="B77" s="3" t="s">
        <v>45</v>
      </c>
      <c r="H77" s="3" t="s">
        <v>25</v>
      </c>
      <c r="J77" s="9">
        <f>SUM(L77:S77)</f>
        <v>1412575.3699999999</v>
      </c>
      <c r="K77" s="10"/>
      <c r="L77" s="21">
        <f>'Overige opbrengsten'!L31</f>
        <v>120073.75999999998</v>
      </c>
      <c r="M77" s="21">
        <f>'Overige opbrengsten'!M31</f>
        <v>0</v>
      </c>
      <c r="N77" s="21">
        <f>'Overige opbrengsten'!N31</f>
        <v>536000</v>
      </c>
      <c r="O77" s="21">
        <f>'Overige opbrengsten'!O31</f>
        <v>0</v>
      </c>
      <c r="P77" s="21">
        <f>'Overige opbrengsten'!P31</f>
        <v>18476.099999999999</v>
      </c>
      <c r="Q77" s="21">
        <f>'Overige opbrengsten'!Q31</f>
        <v>597977.98</v>
      </c>
      <c r="R77" s="21">
        <f>'Overige opbrengsten'!R31</f>
        <v>12646</v>
      </c>
      <c r="S77" s="21">
        <f>'Overige opbrengsten'!S31</f>
        <v>127401.53</v>
      </c>
      <c r="T77" s="45">
        <f>'Overige opbrengsten'!U31</f>
        <v>0</v>
      </c>
      <c r="U77" s="45">
        <f>'Overige opbrengsten'!V31</f>
        <v>0</v>
      </c>
      <c r="V77" s="45">
        <f>'Overige opbrengsten'!W31</f>
        <v>0</v>
      </c>
    </row>
    <row r="78" spans="1:22" s="3" customFormat="1" ht="12.75">
      <c r="A78" s="87"/>
      <c r="B78" s="3" t="s">
        <v>46</v>
      </c>
      <c r="H78" s="3" t="s">
        <v>25</v>
      </c>
      <c r="J78" s="9">
        <f>SUM(L78:S78)</f>
        <v>61905029.34865725</v>
      </c>
      <c r="K78" s="10"/>
      <c r="L78" s="21">
        <f>'Overige opbrengsten'!L39</f>
        <v>120073.75999999998</v>
      </c>
      <c r="M78" s="21">
        <f>'Overige opbrengsten'!M39</f>
        <v>200000</v>
      </c>
      <c r="N78" s="21">
        <f>'Overige opbrengsten'!N39</f>
        <v>38882320.264481686</v>
      </c>
      <c r="O78" s="21">
        <f>'Overige opbrengsten'!O39</f>
        <v>12552221.602068964</v>
      </c>
      <c r="P78" s="21">
        <f>'Overige opbrengsten'!P39</f>
        <v>53231.1</v>
      </c>
      <c r="Q78" s="21">
        <f>'Overige opbrengsten'!Q39</f>
        <v>9477567.245876519</v>
      </c>
      <c r="R78" s="21">
        <f>'Overige opbrengsten'!R39</f>
        <v>372768.16623007937</v>
      </c>
      <c r="S78" s="21">
        <f>'Overige opbrengsten'!S39</f>
        <v>246847.21</v>
      </c>
      <c r="T78" s="45">
        <f>'Overige opbrengsten'!U39</f>
        <v>0</v>
      </c>
      <c r="U78" s="45">
        <f>'Overige opbrengsten'!V39</f>
        <v>0</v>
      </c>
      <c r="V78" s="45">
        <f>'Overige opbrengsten'!W39</f>
        <v>0</v>
      </c>
    </row>
    <row r="79" spans="1:22" s="3" customFormat="1" ht="12.75">
      <c r="A79" s="87"/>
      <c r="J79" s="10"/>
      <c r="K79" s="10"/>
      <c r="L79" s="10"/>
      <c r="M79" s="10"/>
      <c r="N79" s="10"/>
      <c r="O79" s="10"/>
      <c r="P79" s="10"/>
      <c r="Q79" s="10"/>
      <c r="R79" s="10"/>
      <c r="S79" s="10"/>
      <c r="T79" s="10"/>
      <c r="U79" s="10"/>
      <c r="V79" s="10"/>
    </row>
    <row r="80" spans="1:22" s="3" customFormat="1" ht="12.75">
      <c r="A80" s="87"/>
      <c r="B80" s="8" t="s">
        <v>47</v>
      </c>
      <c r="J80" s="10"/>
      <c r="K80" s="10"/>
      <c r="L80" s="10"/>
      <c r="M80" s="10"/>
      <c r="N80" s="10"/>
      <c r="O80" s="10"/>
      <c r="P80" s="10"/>
      <c r="Q80" s="10"/>
      <c r="R80" s="10"/>
      <c r="S80" s="10"/>
      <c r="T80" s="10"/>
      <c r="U80" s="10"/>
      <c r="V80" s="10"/>
    </row>
    <row r="81" spans="1:25" s="3" customFormat="1" ht="12.75">
      <c r="A81" s="87"/>
      <c r="B81" s="3" t="s">
        <v>45</v>
      </c>
      <c r="H81" s="3" t="s">
        <v>25</v>
      </c>
      <c r="J81" s="9">
        <f>SUM(L81:S81)</f>
        <v>1342013.2184512443</v>
      </c>
      <c r="K81" s="10"/>
      <c r="L81" s="21">
        <f>'Overige opbrengsten'!L15</f>
        <v>49511.608451244327</v>
      </c>
      <c r="M81" s="21">
        <f>'Overige opbrengsten'!M15</f>
        <v>0</v>
      </c>
      <c r="N81" s="21">
        <f>'Overige opbrengsten'!N15</f>
        <v>536000</v>
      </c>
      <c r="O81" s="21">
        <f>'Overige opbrengsten'!O15</f>
        <v>0</v>
      </c>
      <c r="P81" s="21">
        <f>'Overige opbrengsten'!P15</f>
        <v>18476.099999999999</v>
      </c>
      <c r="Q81" s="21">
        <f>'Overige opbrengsten'!Q15</f>
        <v>597977.98</v>
      </c>
      <c r="R81" s="21">
        <f>'Overige opbrengsten'!R15</f>
        <v>12646</v>
      </c>
      <c r="S81" s="21">
        <f>'Overige opbrengsten'!S15</f>
        <v>127401.53</v>
      </c>
      <c r="T81" s="45">
        <f>'Overige opbrengsten'!U15</f>
        <v>0</v>
      </c>
      <c r="U81" s="45">
        <f>'Overige opbrengsten'!V15</f>
        <v>0</v>
      </c>
      <c r="V81" s="45">
        <f>'Overige opbrengsten'!W15</f>
        <v>0</v>
      </c>
    </row>
    <row r="82" spans="1:25" s="3" customFormat="1" ht="12.75">
      <c r="A82" s="87"/>
      <c r="J82" s="10"/>
      <c r="K82" s="10"/>
      <c r="L82" s="10"/>
      <c r="M82" s="10"/>
      <c r="N82" s="10"/>
      <c r="O82" s="10"/>
      <c r="P82" s="10"/>
      <c r="Q82" s="10"/>
      <c r="R82" s="10"/>
      <c r="S82" s="10"/>
      <c r="T82" s="10"/>
      <c r="U82" s="10"/>
      <c r="V82" s="10"/>
    </row>
    <row r="83" spans="1:25" s="3" customFormat="1" ht="12.75">
      <c r="A83" s="87"/>
      <c r="J83" s="10"/>
      <c r="K83" s="10"/>
      <c r="L83" s="10"/>
      <c r="M83" s="10"/>
      <c r="N83" s="10"/>
      <c r="O83" s="10"/>
      <c r="P83" s="10"/>
      <c r="Q83" s="10"/>
      <c r="R83" s="10"/>
      <c r="S83" s="10"/>
      <c r="T83" s="10"/>
      <c r="U83" s="10"/>
      <c r="V83" s="10"/>
    </row>
    <row r="84" spans="1:25" s="3" customFormat="1" ht="12.75">
      <c r="A84" s="87"/>
      <c r="B84" s="8" t="s">
        <v>55</v>
      </c>
      <c r="J84" s="10"/>
      <c r="K84" s="10"/>
      <c r="L84" s="10"/>
      <c r="M84" s="10"/>
      <c r="N84" s="10"/>
      <c r="O84" s="10"/>
      <c r="P84" s="10"/>
      <c r="Q84" s="10"/>
      <c r="R84" s="10"/>
      <c r="S84" s="10"/>
      <c r="T84" s="10"/>
      <c r="U84" s="10"/>
      <c r="V84" s="10"/>
    </row>
    <row r="85" spans="1:25" s="3" customFormat="1" ht="12.75">
      <c r="A85" s="87"/>
      <c r="J85" s="10"/>
      <c r="K85" s="10"/>
      <c r="L85" s="10"/>
      <c r="M85" s="10"/>
      <c r="N85" s="10"/>
      <c r="O85" s="10"/>
      <c r="P85" s="10"/>
      <c r="Q85" s="10"/>
      <c r="R85" s="10"/>
      <c r="S85" s="10"/>
      <c r="T85" s="10"/>
      <c r="U85" s="10"/>
      <c r="V85" s="10"/>
    </row>
    <row r="86" spans="1:25" s="3" customFormat="1" ht="12.75">
      <c r="A86" s="87"/>
      <c r="B86" s="8" t="s">
        <v>8</v>
      </c>
      <c r="J86" s="10"/>
      <c r="K86" s="10"/>
      <c r="L86" s="10"/>
      <c r="M86" s="10"/>
      <c r="N86" s="10"/>
      <c r="O86" s="10"/>
      <c r="P86" s="10"/>
      <c r="Q86" s="10"/>
      <c r="R86" s="10"/>
      <c r="S86" s="10"/>
      <c r="T86" s="10"/>
      <c r="U86" s="10"/>
      <c r="V86" s="10"/>
    </row>
    <row r="87" spans="1:25" s="3" customFormat="1" ht="12.75">
      <c r="A87" s="87"/>
      <c r="B87" s="3" t="s">
        <v>9</v>
      </c>
      <c r="H87" s="3" t="s">
        <v>25</v>
      </c>
      <c r="J87" s="9">
        <f>SUM(L87:S87)</f>
        <v>355594186.6006127</v>
      </c>
      <c r="K87" s="10"/>
      <c r="L87" s="9">
        <f t="shared" ref="L87:V87" si="4">L14+L39</f>
        <v>0</v>
      </c>
      <c r="M87" s="9">
        <f t="shared" si="4"/>
        <v>8880192.4545788374</v>
      </c>
      <c r="N87" s="9">
        <f t="shared" si="4"/>
        <v>141855339.68000001</v>
      </c>
      <c r="O87" s="9">
        <f t="shared" si="4"/>
        <v>114575797.41666667</v>
      </c>
      <c r="P87" s="9">
        <f t="shared" si="4"/>
        <v>0</v>
      </c>
      <c r="Q87" s="9">
        <f t="shared" si="4"/>
        <v>82955235.159999996</v>
      </c>
      <c r="R87" s="9">
        <f t="shared" si="4"/>
        <v>7327621.8893671352</v>
      </c>
      <c r="S87" s="9">
        <f t="shared" si="4"/>
        <v>0</v>
      </c>
      <c r="T87" s="45">
        <f t="shared" si="4"/>
        <v>0</v>
      </c>
      <c r="U87" s="45">
        <f t="shared" si="4"/>
        <v>0</v>
      </c>
      <c r="V87" s="45">
        <f t="shared" si="4"/>
        <v>0</v>
      </c>
      <c r="Y87" s="79" t="s">
        <v>268</v>
      </c>
    </row>
    <row r="88" spans="1:25" s="3" customFormat="1" ht="12.75">
      <c r="A88" s="87"/>
      <c r="B88" s="3" t="s">
        <v>10</v>
      </c>
      <c r="H88" s="3" t="s">
        <v>25</v>
      </c>
      <c r="J88" s="9">
        <f>SUM(L88:S88)</f>
        <v>19900655.606179394</v>
      </c>
      <c r="K88" s="10"/>
      <c r="L88" s="9">
        <f t="shared" ref="L88:V88" si="5">L15+L40</f>
        <v>3258198</v>
      </c>
      <c r="M88" s="9">
        <f t="shared" si="5"/>
        <v>0</v>
      </c>
      <c r="N88" s="9">
        <f t="shared" si="5"/>
        <v>701040.53364000004</v>
      </c>
      <c r="O88" s="9">
        <f t="shared" si="5"/>
        <v>757117.24166666681</v>
      </c>
      <c r="P88" s="9">
        <f t="shared" si="5"/>
        <v>2116603.44</v>
      </c>
      <c r="Q88" s="9">
        <f t="shared" si="5"/>
        <v>6004607.2448727274</v>
      </c>
      <c r="R88" s="9">
        <f t="shared" si="5"/>
        <v>172155.22599999933</v>
      </c>
      <c r="S88" s="9">
        <f t="shared" si="5"/>
        <v>6890933.9199999999</v>
      </c>
      <c r="T88" s="45">
        <f t="shared" si="5"/>
        <v>0</v>
      </c>
      <c r="U88" s="45">
        <f t="shared" si="5"/>
        <v>0</v>
      </c>
      <c r="V88" s="45">
        <f t="shared" si="5"/>
        <v>0</v>
      </c>
    </row>
    <row r="89" spans="1:25" s="3" customFormat="1" ht="12.75">
      <c r="A89" s="87"/>
      <c r="B89" s="3" t="s">
        <v>11</v>
      </c>
      <c r="H89" s="3" t="s">
        <v>25</v>
      </c>
      <c r="J89" s="9">
        <f>SUM(L89:S89)</f>
        <v>250158602.22298646</v>
      </c>
      <c r="K89" s="10"/>
      <c r="L89" s="9">
        <f t="shared" ref="L89:V89" si="6">L16+L41-(SUM(L62:L64)+L74)</f>
        <v>898620.25</v>
      </c>
      <c r="M89" s="9">
        <f t="shared" si="6"/>
        <v>5450109.0800000001</v>
      </c>
      <c r="N89" s="9">
        <f t="shared" si="6"/>
        <v>87932834.287689969</v>
      </c>
      <c r="O89" s="9">
        <f t="shared" si="6"/>
        <v>107820677.8303311</v>
      </c>
      <c r="P89" s="9">
        <f t="shared" si="6"/>
        <v>499413.81</v>
      </c>
      <c r="Q89" s="9">
        <f t="shared" si="6"/>
        <v>41275281.859999999</v>
      </c>
      <c r="R89" s="9">
        <f t="shared" si="6"/>
        <v>4081609.2493353644</v>
      </c>
      <c r="S89" s="9">
        <f t="shared" si="6"/>
        <v>2200055.8556299997</v>
      </c>
      <c r="T89" s="45">
        <f t="shared" si="6"/>
        <v>0</v>
      </c>
      <c r="U89" s="45">
        <f t="shared" si="6"/>
        <v>0</v>
      </c>
      <c r="V89" s="45">
        <f t="shared" si="6"/>
        <v>0</v>
      </c>
    </row>
    <row r="90" spans="1:25" s="3" customFormat="1" ht="12.75">
      <c r="A90" s="87"/>
      <c r="B90" s="3" t="s">
        <v>12</v>
      </c>
      <c r="H90" s="3" t="s">
        <v>25</v>
      </c>
      <c r="J90" s="9">
        <f>SUM(L90:S90)</f>
        <v>6288</v>
      </c>
      <c r="K90" s="10"/>
      <c r="L90" s="9">
        <f t="shared" ref="L90:V90" si="7">L17+L42</f>
        <v>6288</v>
      </c>
      <c r="M90" s="9">
        <f t="shared" si="7"/>
        <v>0</v>
      </c>
      <c r="N90" s="9">
        <f t="shared" si="7"/>
        <v>0</v>
      </c>
      <c r="O90" s="9">
        <f t="shared" si="7"/>
        <v>0</v>
      </c>
      <c r="P90" s="9">
        <f t="shared" si="7"/>
        <v>0</v>
      </c>
      <c r="Q90" s="9">
        <f t="shared" si="7"/>
        <v>0</v>
      </c>
      <c r="R90" s="9">
        <f t="shared" si="7"/>
        <v>0</v>
      </c>
      <c r="S90" s="9">
        <f t="shared" si="7"/>
        <v>0</v>
      </c>
      <c r="T90" s="45">
        <f t="shared" si="7"/>
        <v>0</v>
      </c>
      <c r="U90" s="45">
        <f t="shared" si="7"/>
        <v>0</v>
      </c>
      <c r="V90" s="45">
        <f t="shared" si="7"/>
        <v>0</v>
      </c>
    </row>
    <row r="91" spans="1:25" s="3" customFormat="1" ht="12.75">
      <c r="A91" s="87"/>
      <c r="J91" s="10"/>
      <c r="K91" s="10"/>
      <c r="L91" s="10"/>
      <c r="M91" s="10"/>
      <c r="N91" s="10"/>
      <c r="O91" s="10"/>
      <c r="P91" s="10"/>
      <c r="Q91" s="10"/>
      <c r="R91" s="10"/>
      <c r="S91" s="10"/>
      <c r="T91" s="10"/>
      <c r="U91" s="10"/>
      <c r="V91" s="10"/>
    </row>
    <row r="92" spans="1:25" s="3" customFormat="1" ht="12.75">
      <c r="A92" s="87"/>
      <c r="B92" s="8" t="s">
        <v>13</v>
      </c>
      <c r="J92" s="10"/>
      <c r="K92" s="10"/>
      <c r="L92" s="10"/>
      <c r="M92" s="10"/>
      <c r="N92" s="10"/>
      <c r="O92" s="10"/>
      <c r="P92" s="10"/>
      <c r="Q92" s="10"/>
      <c r="R92" s="10"/>
      <c r="S92" s="10"/>
      <c r="T92" s="10"/>
      <c r="U92" s="10"/>
      <c r="V92" s="10"/>
    </row>
    <row r="93" spans="1:25" s="3" customFormat="1" ht="12.75">
      <c r="A93" s="87"/>
      <c r="B93" s="3" t="s">
        <v>14</v>
      </c>
      <c r="H93" s="3" t="s">
        <v>25</v>
      </c>
      <c r="J93" s="9">
        <f>SUM(L93:S93)</f>
        <v>754957440.79746938</v>
      </c>
      <c r="K93" s="10"/>
      <c r="L93" s="9">
        <f t="shared" ref="L93:V93" si="8">L20+L45-(L78-L77+L81+SUM(L65:L71))</f>
        <v>4438915.8015487557</v>
      </c>
      <c r="M93" s="9">
        <f t="shared" si="8"/>
        <v>24918945.124253057</v>
      </c>
      <c r="N93" s="9">
        <f t="shared" si="8"/>
        <v>192165265.17194158</v>
      </c>
      <c r="O93" s="9">
        <f t="shared" si="8"/>
        <v>336954354.40700179</v>
      </c>
      <c r="P93" s="9">
        <f t="shared" si="8"/>
        <v>2013448.8049999999</v>
      </c>
      <c r="Q93" s="9">
        <f t="shared" si="8"/>
        <v>176249304.42602128</v>
      </c>
      <c r="R93" s="9">
        <f t="shared" si="8"/>
        <v>9869951.4894199204</v>
      </c>
      <c r="S93" s="9">
        <f t="shared" si="8"/>
        <v>8347255.5722830622</v>
      </c>
      <c r="T93" s="45">
        <f t="shared" si="8"/>
        <v>0</v>
      </c>
      <c r="U93" s="45">
        <f t="shared" si="8"/>
        <v>0</v>
      </c>
      <c r="V93" s="45">
        <f t="shared" si="8"/>
        <v>0</v>
      </c>
    </row>
    <row r="94" spans="1:25" s="3" customFormat="1" ht="12.75">
      <c r="A94" s="87"/>
      <c r="B94" s="3" t="s">
        <v>15</v>
      </c>
      <c r="H94" s="3" t="s">
        <v>25</v>
      </c>
      <c r="J94" s="9">
        <f>SUM(L94:S94)</f>
        <v>21599075.919442751</v>
      </c>
      <c r="K94" s="10"/>
      <c r="L94" s="9">
        <f t="shared" ref="L94:V94" si="9">L21+L46</f>
        <v>0</v>
      </c>
      <c r="M94" s="9">
        <f t="shared" si="9"/>
        <v>0</v>
      </c>
      <c r="N94" s="9">
        <f t="shared" si="9"/>
        <v>0</v>
      </c>
      <c r="O94" s="9">
        <f t="shared" si="9"/>
        <v>0</v>
      </c>
      <c r="P94" s="9">
        <f t="shared" si="9"/>
        <v>271762.44</v>
      </c>
      <c r="Q94" s="9">
        <f t="shared" si="9"/>
        <v>21327313.479442749</v>
      </c>
      <c r="R94" s="9">
        <f t="shared" si="9"/>
        <v>0</v>
      </c>
      <c r="S94" s="9">
        <f t="shared" si="9"/>
        <v>0</v>
      </c>
      <c r="T94" s="45">
        <f t="shared" si="9"/>
        <v>0</v>
      </c>
      <c r="U94" s="45">
        <f t="shared" si="9"/>
        <v>0</v>
      </c>
      <c r="V94" s="45">
        <f t="shared" si="9"/>
        <v>0</v>
      </c>
    </row>
    <row r="95" spans="1:25" s="3" customFormat="1" ht="12.75">
      <c r="A95" s="87"/>
      <c r="J95" s="10"/>
      <c r="K95" s="10"/>
      <c r="L95" s="10"/>
      <c r="M95" s="10"/>
      <c r="N95" s="10"/>
      <c r="O95" s="10"/>
      <c r="P95" s="10"/>
      <c r="Q95" s="10"/>
      <c r="R95" s="10"/>
      <c r="S95" s="10"/>
      <c r="T95" s="10"/>
      <c r="U95" s="10"/>
      <c r="V95" s="10"/>
    </row>
    <row r="96" spans="1:25" s="3" customFormat="1" ht="12.75">
      <c r="A96" s="87"/>
      <c r="B96" s="8" t="s">
        <v>16</v>
      </c>
      <c r="J96" s="10"/>
      <c r="K96" s="10"/>
      <c r="L96" s="10"/>
      <c r="M96" s="10"/>
      <c r="N96" s="10"/>
      <c r="O96" s="10"/>
      <c r="P96" s="10"/>
      <c r="Q96" s="10"/>
      <c r="R96" s="10"/>
      <c r="S96" s="10"/>
      <c r="T96" s="10"/>
      <c r="U96" s="10"/>
      <c r="V96" s="10"/>
    </row>
    <row r="97" spans="1:25" s="3" customFormat="1" ht="12.75">
      <c r="A97" s="87"/>
      <c r="B97" s="3" t="s">
        <v>17</v>
      </c>
      <c r="H97" s="3" t="s">
        <v>25</v>
      </c>
      <c r="J97" s="9">
        <f>SUM(L97:S97)</f>
        <v>48807818.626913533</v>
      </c>
      <c r="K97" s="10"/>
      <c r="L97" s="9">
        <f t="shared" ref="L97:V97" si="10">L24+L49</f>
        <v>0</v>
      </c>
      <c r="M97" s="9">
        <f t="shared" si="10"/>
        <v>851761.6</v>
      </c>
      <c r="N97" s="9">
        <f t="shared" si="10"/>
        <v>1612169.4569135276</v>
      </c>
      <c r="O97" s="9">
        <f t="shared" si="10"/>
        <v>29496804.710000001</v>
      </c>
      <c r="P97" s="9">
        <f t="shared" si="10"/>
        <v>0</v>
      </c>
      <c r="Q97" s="9">
        <f t="shared" si="10"/>
        <v>16832392</v>
      </c>
      <c r="R97" s="9">
        <f t="shared" si="10"/>
        <v>14690.86</v>
      </c>
      <c r="S97" s="9">
        <f t="shared" si="10"/>
        <v>0</v>
      </c>
      <c r="T97" s="45">
        <f t="shared" si="10"/>
        <v>0</v>
      </c>
      <c r="U97" s="45">
        <f t="shared" si="10"/>
        <v>0</v>
      </c>
      <c r="V97" s="45">
        <f t="shared" si="10"/>
        <v>0</v>
      </c>
    </row>
    <row r="98" spans="1:25" s="3" customFormat="1" ht="12.75">
      <c r="A98" s="87"/>
      <c r="B98" s="3" t="s">
        <v>18</v>
      </c>
      <c r="H98" s="3" t="s">
        <v>25</v>
      </c>
      <c r="J98" s="9">
        <f>SUM(L98:S98)</f>
        <v>1484</v>
      </c>
      <c r="K98" s="10"/>
      <c r="L98" s="9">
        <f t="shared" ref="L98:V98" si="11">L25+L50</f>
        <v>1484</v>
      </c>
      <c r="M98" s="9">
        <f t="shared" si="11"/>
        <v>0</v>
      </c>
      <c r="N98" s="9">
        <f t="shared" si="11"/>
        <v>0</v>
      </c>
      <c r="O98" s="9">
        <f t="shared" si="11"/>
        <v>0</v>
      </c>
      <c r="P98" s="9">
        <f t="shared" si="11"/>
        <v>0</v>
      </c>
      <c r="Q98" s="9">
        <f t="shared" si="11"/>
        <v>0</v>
      </c>
      <c r="R98" s="9">
        <f t="shared" si="11"/>
        <v>0</v>
      </c>
      <c r="S98" s="9">
        <f t="shared" si="11"/>
        <v>0</v>
      </c>
      <c r="T98" s="45">
        <f t="shared" si="11"/>
        <v>0</v>
      </c>
      <c r="U98" s="45">
        <f t="shared" si="11"/>
        <v>0</v>
      </c>
      <c r="V98" s="45">
        <f t="shared" si="11"/>
        <v>0</v>
      </c>
    </row>
    <row r="99" spans="1:25" s="3" customFormat="1" ht="12.75">
      <c r="A99" s="87"/>
      <c r="J99" s="10"/>
      <c r="K99" s="10"/>
      <c r="L99" s="10"/>
      <c r="M99" s="10"/>
      <c r="N99" s="10"/>
      <c r="O99" s="10"/>
      <c r="P99" s="10"/>
      <c r="Q99" s="10"/>
      <c r="R99" s="10"/>
      <c r="S99" s="10"/>
      <c r="T99" s="10"/>
      <c r="U99" s="10"/>
      <c r="V99" s="10"/>
    </row>
    <row r="100" spans="1:25" s="3" customFormat="1" ht="12.75">
      <c r="A100" s="87"/>
      <c r="B100" s="8" t="s">
        <v>19</v>
      </c>
      <c r="J100" s="10"/>
      <c r="K100" s="10"/>
      <c r="L100" s="10"/>
      <c r="M100" s="10"/>
      <c r="N100" s="10"/>
      <c r="O100" s="10"/>
      <c r="P100" s="10"/>
      <c r="Q100" s="10"/>
      <c r="R100" s="10"/>
      <c r="S100" s="10"/>
      <c r="T100" s="10"/>
      <c r="U100" s="10"/>
      <c r="V100" s="10"/>
    </row>
    <row r="101" spans="1:25" s="3" customFormat="1" ht="12.75">
      <c r="A101" s="87"/>
      <c r="B101" s="3" t="s">
        <v>20</v>
      </c>
      <c r="H101" s="3" t="s">
        <v>25</v>
      </c>
      <c r="J101" s="9">
        <f>SUM(L101:S101)</f>
        <v>5801467.5088608395</v>
      </c>
      <c r="K101" s="10"/>
      <c r="L101" s="9">
        <f t="shared" ref="L101:V101" si="12">L28+L53</f>
        <v>28737.208160840109</v>
      </c>
      <c r="M101" s="9">
        <f t="shared" si="12"/>
        <v>0</v>
      </c>
      <c r="N101" s="9">
        <f t="shared" si="12"/>
        <v>897000</v>
      </c>
      <c r="O101" s="9">
        <f t="shared" si="12"/>
        <v>705744</v>
      </c>
      <c r="P101" s="9">
        <f t="shared" si="12"/>
        <v>3263.3006999999998</v>
      </c>
      <c r="Q101" s="9">
        <f t="shared" si="12"/>
        <v>4000000</v>
      </c>
      <c r="R101" s="9">
        <f t="shared" si="12"/>
        <v>15723</v>
      </c>
      <c r="S101" s="9">
        <f t="shared" si="12"/>
        <v>151000</v>
      </c>
      <c r="T101" s="45">
        <f t="shared" si="12"/>
        <v>0</v>
      </c>
      <c r="U101" s="45">
        <f t="shared" si="12"/>
        <v>0</v>
      </c>
      <c r="V101" s="45">
        <f t="shared" si="12"/>
        <v>0</v>
      </c>
    </row>
    <row r="102" spans="1:25" s="3" customFormat="1" ht="12.75">
      <c r="A102" s="87"/>
      <c r="B102" s="3" t="s">
        <v>21</v>
      </c>
      <c r="H102" s="3" t="s">
        <v>25</v>
      </c>
      <c r="J102" s="9">
        <f>SUM(L102:S102)</f>
        <v>947542.48477746267</v>
      </c>
      <c r="K102" s="10"/>
      <c r="L102" s="9">
        <f t="shared" ref="L102:V102" si="13">L29+L54</f>
        <v>-54.294998973977982</v>
      </c>
      <c r="M102" s="9">
        <f t="shared" si="13"/>
        <v>0</v>
      </c>
      <c r="N102" s="9">
        <f t="shared" si="13"/>
        <v>455909.32626629254</v>
      </c>
      <c r="O102" s="9">
        <f t="shared" si="13"/>
        <v>0</v>
      </c>
      <c r="P102" s="9">
        <f t="shared" si="13"/>
        <v>-289.38653862875952</v>
      </c>
      <c r="Q102" s="9">
        <f t="shared" si="13"/>
        <v>481054.56764304871</v>
      </c>
      <c r="R102" s="9">
        <f t="shared" si="13"/>
        <v>0</v>
      </c>
      <c r="S102" s="9">
        <f t="shared" si="13"/>
        <v>10922.272405724121</v>
      </c>
      <c r="T102" s="45">
        <f t="shared" si="13"/>
        <v>0</v>
      </c>
      <c r="U102" s="45">
        <f t="shared" si="13"/>
        <v>0</v>
      </c>
      <c r="V102" s="45">
        <f t="shared" si="13"/>
        <v>0</v>
      </c>
    </row>
    <row r="103" spans="1:25" s="3" customFormat="1" ht="12.75">
      <c r="A103" s="87"/>
      <c r="B103" s="3" t="s">
        <v>22</v>
      </c>
      <c r="H103" s="3" t="s">
        <v>25</v>
      </c>
      <c r="J103" s="9">
        <f>SUM(L103:S103)</f>
        <v>5263289.2005261993</v>
      </c>
      <c r="K103" s="10"/>
      <c r="L103" s="9">
        <f t="shared" ref="L103:V103" si="14">L30+L55</f>
        <v>30894</v>
      </c>
      <c r="M103" s="9">
        <f t="shared" si="14"/>
        <v>113082.90043756668</v>
      </c>
      <c r="N103" s="9">
        <f t="shared" si="14"/>
        <v>1592417.5369157223</v>
      </c>
      <c r="O103" s="9">
        <f t="shared" si="14"/>
        <v>1747367.0458747949</v>
      </c>
      <c r="P103" s="9">
        <f t="shared" si="14"/>
        <v>37126.31</v>
      </c>
      <c r="Q103" s="9">
        <f t="shared" si="14"/>
        <v>1467903.3519429786</v>
      </c>
      <c r="R103" s="9">
        <f t="shared" si="14"/>
        <v>205281.53144187349</v>
      </c>
      <c r="S103" s="9">
        <f t="shared" si="14"/>
        <v>69216.523913263387</v>
      </c>
      <c r="T103" s="45">
        <f t="shared" si="14"/>
        <v>0</v>
      </c>
      <c r="U103" s="45">
        <f t="shared" si="14"/>
        <v>0</v>
      </c>
      <c r="V103" s="45">
        <f t="shared" si="14"/>
        <v>0</v>
      </c>
    </row>
    <row r="104" spans="1:25" s="3" customFormat="1" ht="12.75">
      <c r="A104" s="87"/>
      <c r="B104" s="3" t="s">
        <v>23</v>
      </c>
      <c r="H104" s="3" t="s">
        <v>25</v>
      </c>
      <c r="J104" s="9">
        <f>SUM(L104:S104)</f>
        <v>18647386.207195289</v>
      </c>
      <c r="K104" s="10"/>
      <c r="L104" s="9">
        <f t="shared" ref="L104:V104" si="15">L31+L56</f>
        <v>0</v>
      </c>
      <c r="M104" s="9">
        <f t="shared" si="15"/>
        <v>95907.53</v>
      </c>
      <c r="N104" s="9">
        <f t="shared" si="15"/>
        <v>6084709.2708396483</v>
      </c>
      <c r="O104" s="9">
        <f t="shared" si="15"/>
        <v>11890028.667398341</v>
      </c>
      <c r="P104" s="9">
        <f t="shared" si="15"/>
        <v>38704.22</v>
      </c>
      <c r="Q104" s="9">
        <f t="shared" si="15"/>
        <v>285737.56154795532</v>
      </c>
      <c r="R104" s="9">
        <f t="shared" si="15"/>
        <v>105500</v>
      </c>
      <c r="S104" s="9">
        <f t="shared" si="15"/>
        <v>146798.95740934968</v>
      </c>
      <c r="T104" s="45">
        <f t="shared" si="15"/>
        <v>0</v>
      </c>
      <c r="U104" s="45">
        <f t="shared" si="15"/>
        <v>0</v>
      </c>
      <c r="V104" s="45">
        <f t="shared" si="15"/>
        <v>0</v>
      </c>
    </row>
    <row r="105" spans="1:25" s="3" customFormat="1" ht="12.75">
      <c r="A105" s="87"/>
      <c r="J105" s="23"/>
      <c r="K105" s="23"/>
      <c r="L105" s="23"/>
      <c r="M105" s="23"/>
      <c r="N105" s="23"/>
      <c r="O105" s="23"/>
      <c r="P105" s="23"/>
      <c r="Q105" s="23"/>
      <c r="R105" s="23"/>
      <c r="S105" s="23"/>
      <c r="T105" s="10"/>
      <c r="U105" s="23"/>
    </row>
    <row r="106" spans="1:25" s="3" customFormat="1" ht="12.75">
      <c r="A106" s="87"/>
      <c r="J106" s="23"/>
      <c r="K106" s="23"/>
      <c r="L106" s="23"/>
      <c r="M106" s="23"/>
      <c r="N106" s="23"/>
      <c r="O106" s="23"/>
      <c r="P106" s="23"/>
      <c r="Q106" s="23"/>
      <c r="R106" s="23"/>
      <c r="S106" s="23"/>
      <c r="T106" s="10"/>
      <c r="U106" s="23"/>
    </row>
    <row r="107" spans="1:25" s="3" customFormat="1" ht="12.75">
      <c r="A107" s="87"/>
      <c r="B107" s="17" t="s">
        <v>240</v>
      </c>
      <c r="J107" s="23"/>
      <c r="K107" s="23"/>
      <c r="L107" s="38" t="s">
        <v>357</v>
      </c>
      <c r="M107" s="38" t="s">
        <v>59</v>
      </c>
      <c r="N107" s="38" t="s">
        <v>2</v>
      </c>
      <c r="O107" s="38" t="s">
        <v>3</v>
      </c>
      <c r="P107" s="38" t="s">
        <v>4</v>
      </c>
      <c r="Q107" s="38" t="s">
        <v>5</v>
      </c>
      <c r="R107" s="38" t="s">
        <v>6</v>
      </c>
      <c r="S107" s="23"/>
      <c r="T107" s="10"/>
      <c r="U107" s="23"/>
      <c r="Y107" s="79" t="s">
        <v>306</v>
      </c>
    </row>
    <row r="108" spans="1:25" s="3" customFormat="1" ht="12.75">
      <c r="A108" s="87"/>
      <c r="B108" s="17"/>
      <c r="J108" s="23"/>
      <c r="K108" s="23"/>
      <c r="L108" s="38"/>
      <c r="M108" s="38"/>
      <c r="N108" s="38"/>
      <c r="O108" s="38"/>
      <c r="P108" s="38"/>
      <c r="Q108" s="38"/>
      <c r="R108" s="38"/>
      <c r="S108" s="23"/>
      <c r="T108" s="10"/>
      <c r="U108" s="23"/>
    </row>
    <row r="109" spans="1:25" s="3" customFormat="1" ht="12.75">
      <c r="A109" s="87"/>
      <c r="B109" s="8" t="s">
        <v>243</v>
      </c>
      <c r="J109" s="23"/>
      <c r="K109" s="23"/>
      <c r="L109" s="23"/>
      <c r="M109" s="23"/>
      <c r="N109" s="23"/>
      <c r="O109" s="23"/>
      <c r="P109" s="23"/>
      <c r="Q109" s="23"/>
      <c r="R109" s="23"/>
      <c r="S109" s="23"/>
      <c r="T109" s="10"/>
      <c r="U109" s="23"/>
    </row>
    <row r="110" spans="1:25" s="3" customFormat="1" ht="12.75">
      <c r="A110" s="87"/>
      <c r="B110" s="25" t="s">
        <v>129</v>
      </c>
      <c r="D110" s="25" t="s">
        <v>260</v>
      </c>
      <c r="H110" s="3" t="s">
        <v>25</v>
      </c>
      <c r="J110" s="9">
        <f>SUM(L110:R110)</f>
        <v>1057381092.3412584</v>
      </c>
      <c r="K110" s="12"/>
      <c r="L110" s="60">
        <f>SUM(L93:L94,L101:L104,L89:L90)</f>
        <v>5403400.9647106221</v>
      </c>
      <c r="M110" s="60">
        <f>SUM(M93:M94,M101:M104,M89:M90)</f>
        <v>30578044.634690627</v>
      </c>
      <c r="N110" s="60">
        <f>SUM(N93:N94,N101:N104,N89:N90)+SUM(S93:S94,S101:S104,S89:S90)-SUM(T93:T94,T101:T104,T89:T90)</f>
        <v>300053384.7752946</v>
      </c>
      <c r="O110" s="60">
        <f>SUM(O93:O94,O101:O104,O89:O90)+SUM(T93:T94,T101:T104,T89:T90)</f>
        <v>459118171.95060599</v>
      </c>
      <c r="P110" s="60">
        <f>SUM(P93:P94,P101:P104,P89:P90)</f>
        <v>2863429.4991613715</v>
      </c>
      <c r="Q110" s="60">
        <f>SUM(Q93:Q94,Q101:Q104,Q89:Q90)</f>
        <v>245086595.24659801</v>
      </c>
      <c r="R110" s="60">
        <f>SUM(R93:R94,R101:R104,R89:R90)</f>
        <v>14278065.270197157</v>
      </c>
      <c r="S110" s="23"/>
      <c r="T110" s="10"/>
      <c r="U110" s="23"/>
    </row>
    <row r="111" spans="1:25" s="3" customFormat="1" ht="12.75">
      <c r="B111" s="8"/>
      <c r="K111" s="12"/>
      <c r="Q111" s="77"/>
    </row>
    <row r="112" spans="1:25" s="3" customFormat="1" ht="12.75"/>
    <row r="113" spans="1:22" s="4" customFormat="1" ht="12.75">
      <c r="B113" s="4" t="s">
        <v>56</v>
      </c>
      <c r="J113" s="5"/>
      <c r="K113" s="5"/>
      <c r="L113" s="5"/>
      <c r="M113" s="5"/>
      <c r="N113" s="5"/>
      <c r="O113" s="5"/>
      <c r="P113" s="5"/>
      <c r="Q113" s="5"/>
      <c r="R113" s="5"/>
      <c r="S113" s="5"/>
      <c r="T113" s="5"/>
    </row>
    <row r="114" spans="1:22" s="3" customFormat="1" ht="12.75">
      <c r="J114" s="10"/>
      <c r="K114" s="10"/>
      <c r="L114" s="10"/>
      <c r="M114" s="10"/>
      <c r="N114" s="10"/>
      <c r="O114" s="10"/>
      <c r="P114" s="10"/>
      <c r="Q114" s="10"/>
      <c r="R114" s="10"/>
      <c r="S114" s="10"/>
      <c r="T114" s="10"/>
    </row>
    <row r="115" spans="1:22" s="3" customFormat="1" ht="12.75">
      <c r="B115" s="8" t="s">
        <v>37</v>
      </c>
      <c r="J115" s="10"/>
      <c r="K115" s="10"/>
      <c r="L115" s="10"/>
      <c r="M115" s="10"/>
      <c r="N115" s="10"/>
      <c r="O115" s="10"/>
      <c r="P115" s="10"/>
      <c r="Q115" s="10"/>
      <c r="R115" s="10"/>
      <c r="S115" s="10"/>
      <c r="T115" s="10"/>
    </row>
    <row r="116" spans="1:22" s="3" customFormat="1" ht="12.75">
      <c r="J116" s="10"/>
      <c r="K116" s="10"/>
      <c r="L116" s="10"/>
      <c r="M116" s="10"/>
      <c r="N116" s="10"/>
      <c r="O116" s="10"/>
      <c r="P116" s="10"/>
      <c r="Q116" s="10"/>
      <c r="R116" s="10"/>
      <c r="S116" s="10"/>
      <c r="T116" s="10"/>
    </row>
    <row r="117" spans="1:22" s="3" customFormat="1" ht="12.75">
      <c r="B117" s="8" t="s">
        <v>8</v>
      </c>
      <c r="J117" s="10"/>
      <c r="K117" s="10"/>
      <c r="L117" s="10"/>
      <c r="M117" s="10"/>
      <c r="N117" s="10"/>
      <c r="O117" s="10"/>
      <c r="P117" s="10"/>
      <c r="Q117" s="10"/>
      <c r="R117" s="10"/>
      <c r="S117" s="10"/>
      <c r="T117" s="10"/>
    </row>
    <row r="118" spans="1:22" s="3" customFormat="1" ht="12.75">
      <c r="A118" s="87"/>
      <c r="B118" s="3" t="s">
        <v>9</v>
      </c>
      <c r="H118" s="3" t="s">
        <v>28</v>
      </c>
      <c r="J118" s="9">
        <f>SUM(L118:S118)</f>
        <v>352832329.41871083</v>
      </c>
      <c r="K118" s="10"/>
      <c r="L118" s="21">
        <f>'Input operationele kosten'!L36</f>
        <v>0</v>
      </c>
      <c r="M118" s="21">
        <f>'Input operationele kosten'!M36</f>
        <v>8215832.6700000409</v>
      </c>
      <c r="N118" s="21">
        <f>'Input operationele kosten'!N36</f>
        <v>144632282.83000001</v>
      </c>
      <c r="O118" s="21">
        <f>'Input operationele kosten'!O36</f>
        <v>124350203.34999999</v>
      </c>
      <c r="P118" s="21">
        <f>'Input operationele kosten'!P36</f>
        <v>0</v>
      </c>
      <c r="Q118" s="21">
        <f>'Input operationele kosten'!Q36</f>
        <v>67749079.479999989</v>
      </c>
      <c r="R118" s="21">
        <f>'Input operationele kosten'!R36</f>
        <v>7884931.0887107914</v>
      </c>
      <c r="S118" s="21">
        <f>'Input operationele kosten'!S36</f>
        <v>0</v>
      </c>
      <c r="T118" s="21">
        <f>'Input operationele kosten'!U36</f>
        <v>4354753.2083242899</v>
      </c>
      <c r="U118" s="21">
        <f>'Input operationele kosten'!V36</f>
        <v>67749079.479999989</v>
      </c>
      <c r="V118" s="21">
        <f>'Input operationele kosten'!W36</f>
        <v>0</v>
      </c>
    </row>
    <row r="119" spans="1:22" s="3" customFormat="1" ht="12.75">
      <c r="A119" s="87"/>
      <c r="B119" s="3" t="s">
        <v>10</v>
      </c>
      <c r="H119" s="3" t="s">
        <v>28</v>
      </c>
      <c r="J119" s="9">
        <f>SUM(L119:S119)</f>
        <v>18339044.891416967</v>
      </c>
      <c r="K119" s="10"/>
      <c r="L119" s="21">
        <f>'Input operationele kosten'!L37</f>
        <v>3296524.649999999</v>
      </c>
      <c r="M119" s="21">
        <f>'Input operationele kosten'!M37</f>
        <v>0</v>
      </c>
      <c r="N119" s="21">
        <f>'Input operationele kosten'!N37</f>
        <v>1011085.9479199999</v>
      </c>
      <c r="O119" s="21">
        <f>'Input operationele kosten'!O37</f>
        <v>775274.64833333343</v>
      </c>
      <c r="P119" s="21">
        <f>'Input operationele kosten'!P37</f>
        <v>2088919.51</v>
      </c>
      <c r="Q119" s="21">
        <f>'Input operationele kosten'!Q37</f>
        <v>4013382.7863636371</v>
      </c>
      <c r="R119" s="21">
        <f>'Input operationele kosten'!R37</f>
        <v>203863.00879999885</v>
      </c>
      <c r="S119" s="21">
        <f>'Input operationele kosten'!S37</f>
        <v>6949994.3399999999</v>
      </c>
      <c r="T119" s="21">
        <f>'Input operationele kosten'!U37</f>
        <v>677273.73999999987</v>
      </c>
      <c r="U119" s="21">
        <f>'Input operationele kosten'!V37</f>
        <v>0</v>
      </c>
      <c r="V119" s="21">
        <f>'Input operationele kosten'!W37</f>
        <v>0</v>
      </c>
    </row>
    <row r="120" spans="1:22" s="3" customFormat="1" ht="12.75">
      <c r="A120" s="87"/>
      <c r="B120" s="3" t="s">
        <v>11</v>
      </c>
      <c r="H120" s="3" t="s">
        <v>28</v>
      </c>
      <c r="J120" s="9">
        <f>SUM(L120:S120)</f>
        <v>217123614.08568338</v>
      </c>
      <c r="K120" s="10"/>
      <c r="L120" s="21">
        <f>'Input operationele kosten'!L38</f>
        <v>1065236.2</v>
      </c>
      <c r="M120" s="21">
        <f>'Input operationele kosten'!M38</f>
        <v>5352255.3500000015</v>
      </c>
      <c r="N120" s="21">
        <f>'Input operationele kosten'!N38</f>
        <v>84045729.455683336</v>
      </c>
      <c r="O120" s="21">
        <f>'Input operationele kosten'!O38</f>
        <v>70209363.38000001</v>
      </c>
      <c r="P120" s="21">
        <f>'Input operationele kosten'!P38</f>
        <v>510484.43</v>
      </c>
      <c r="Q120" s="21">
        <f>'Input operationele kosten'!Q38</f>
        <v>50740372.970000006</v>
      </c>
      <c r="R120" s="21">
        <f>'Input operationele kosten'!R38</f>
        <v>3516492.3399999994</v>
      </c>
      <c r="S120" s="21">
        <f>'Input operationele kosten'!S38</f>
        <v>1683679.9599999997</v>
      </c>
      <c r="T120" s="21">
        <f>'Input operationele kosten'!U38</f>
        <v>2037016</v>
      </c>
      <c r="U120" s="21">
        <f>'Input operationele kosten'!V38</f>
        <v>2045693.04</v>
      </c>
      <c r="V120" s="21">
        <f>'Input operationele kosten'!W38</f>
        <v>0</v>
      </c>
    </row>
    <row r="121" spans="1:22" s="3" customFormat="1" ht="12.75">
      <c r="A121" s="87"/>
      <c r="B121" s="3" t="s">
        <v>12</v>
      </c>
      <c r="H121" s="3" t="s">
        <v>28</v>
      </c>
      <c r="J121" s="9">
        <f>SUM(L121:S121)</f>
        <v>4966.5099999999993</v>
      </c>
      <c r="K121" s="10"/>
      <c r="L121" s="21">
        <f>'Input operationele kosten'!L39</f>
        <v>4966.5099999999993</v>
      </c>
      <c r="M121" s="21">
        <f>'Input operationele kosten'!M39</f>
        <v>0</v>
      </c>
      <c r="N121" s="21">
        <f>'Input operationele kosten'!N39</f>
        <v>0</v>
      </c>
      <c r="O121" s="21">
        <f>'Input operationele kosten'!O39</f>
        <v>0</v>
      </c>
      <c r="P121" s="21">
        <f>'Input operationele kosten'!P39</f>
        <v>0</v>
      </c>
      <c r="Q121" s="21">
        <f>'Input operationele kosten'!Q39</f>
        <v>0</v>
      </c>
      <c r="R121" s="21">
        <f>'Input operationele kosten'!R39</f>
        <v>0</v>
      </c>
      <c r="S121" s="21">
        <f>'Input operationele kosten'!S39</f>
        <v>0</v>
      </c>
      <c r="T121" s="21">
        <f>'Input operationele kosten'!U39</f>
        <v>0</v>
      </c>
      <c r="U121" s="21">
        <f>'Input operationele kosten'!V39</f>
        <v>0</v>
      </c>
      <c r="V121" s="21">
        <f>'Input operationele kosten'!W39</f>
        <v>0</v>
      </c>
    </row>
    <row r="122" spans="1:22" s="3" customFormat="1" ht="12.75">
      <c r="A122" s="87"/>
      <c r="J122" s="10"/>
      <c r="K122" s="10"/>
      <c r="L122" s="10"/>
      <c r="M122" s="10"/>
      <c r="N122" s="10"/>
      <c r="O122" s="10"/>
      <c r="P122" s="10"/>
      <c r="Q122" s="10"/>
      <c r="R122" s="10"/>
      <c r="S122" s="10"/>
      <c r="T122" s="10"/>
      <c r="U122" s="10"/>
      <c r="V122" s="10"/>
    </row>
    <row r="123" spans="1:22" s="3" customFormat="1" ht="12.75">
      <c r="A123" s="87"/>
      <c r="B123" s="8" t="s">
        <v>13</v>
      </c>
      <c r="J123" s="10"/>
      <c r="K123" s="10"/>
      <c r="L123" s="10"/>
      <c r="M123" s="10"/>
      <c r="N123" s="10"/>
      <c r="O123" s="10"/>
      <c r="P123" s="10"/>
      <c r="Q123" s="10"/>
      <c r="R123" s="10"/>
      <c r="S123" s="10"/>
      <c r="T123" s="10"/>
      <c r="U123" s="10"/>
      <c r="V123" s="10"/>
    </row>
    <row r="124" spans="1:22" s="3" customFormat="1" ht="12.75">
      <c r="A124" s="87"/>
      <c r="B124" s="3" t="s">
        <v>14</v>
      </c>
      <c r="H124" s="3" t="s">
        <v>28</v>
      </c>
      <c r="J124" s="9">
        <f>SUM(L124:S124)</f>
        <v>869206334.23602557</v>
      </c>
      <c r="K124" s="10"/>
      <c r="L124" s="21">
        <f>'Input operationele kosten'!L42</f>
        <v>4803133.1930687549</v>
      </c>
      <c r="M124" s="21">
        <f>'Input operationele kosten'!M42</f>
        <v>24696646.011580497</v>
      </c>
      <c r="N124" s="21">
        <f>'Input operationele kosten'!N42</f>
        <v>244507078.8154262</v>
      </c>
      <c r="O124" s="21">
        <f>'Input operationele kosten'!O42</f>
        <v>368996107.99925345</v>
      </c>
      <c r="P124" s="21">
        <f>'Input operationele kosten'!P42</f>
        <v>1951528.21</v>
      </c>
      <c r="Q124" s="21">
        <f>'Input operationele kosten'!Q42</f>
        <v>203930687.87268955</v>
      </c>
      <c r="R124" s="21">
        <f>'Input operationele kosten'!R42</f>
        <v>10425271.524883626</v>
      </c>
      <c r="S124" s="21">
        <f>'Input operationele kosten'!S42</f>
        <v>9895880.6091236062</v>
      </c>
      <c r="T124" s="21">
        <f>'Input operationele kosten'!U42</f>
        <v>7027961</v>
      </c>
      <c r="U124" s="21">
        <f>'Input operationele kosten'!V42</f>
        <v>0</v>
      </c>
      <c r="V124" s="21">
        <f>'Input operationele kosten'!W42</f>
        <v>0</v>
      </c>
    </row>
    <row r="125" spans="1:22" s="3" customFormat="1" ht="12.75">
      <c r="A125" s="87"/>
      <c r="B125" s="3" t="s">
        <v>15</v>
      </c>
      <c r="H125" s="3" t="s">
        <v>28</v>
      </c>
      <c r="J125" s="9">
        <f>SUM(L125:S125)</f>
        <v>18293998.096575361</v>
      </c>
      <c r="K125" s="10"/>
      <c r="L125" s="21">
        <f>'Input operationele kosten'!L43</f>
        <v>0</v>
      </c>
      <c r="M125" s="21">
        <f>'Input operationele kosten'!M43</f>
        <v>0</v>
      </c>
      <c r="N125" s="21">
        <f>'Input operationele kosten'!N43</f>
        <v>0</v>
      </c>
      <c r="O125" s="21">
        <f>'Input operationele kosten'!O43</f>
        <v>0</v>
      </c>
      <c r="P125" s="21">
        <f>'Input operationele kosten'!P43</f>
        <v>489713.73</v>
      </c>
      <c r="Q125" s="21">
        <f>'Input operationele kosten'!Q43</f>
        <v>17804284.36657536</v>
      </c>
      <c r="R125" s="21">
        <f>'Input operationele kosten'!R43</f>
        <v>0</v>
      </c>
      <c r="S125" s="21">
        <f>'Input operationele kosten'!S43</f>
        <v>0</v>
      </c>
      <c r="T125" s="21">
        <f>'Input operationele kosten'!U43</f>
        <v>0</v>
      </c>
      <c r="U125" s="21">
        <f>'Input operationele kosten'!V43</f>
        <v>5818154.0616568001</v>
      </c>
      <c r="V125" s="21">
        <f>'Input operationele kosten'!W43</f>
        <v>2160</v>
      </c>
    </row>
    <row r="126" spans="1:22" s="3" customFormat="1" ht="12.75">
      <c r="A126" s="87"/>
      <c r="J126" s="10"/>
      <c r="K126" s="10"/>
      <c r="L126" s="10"/>
      <c r="M126" s="10"/>
      <c r="N126" s="10"/>
      <c r="O126" s="10"/>
      <c r="P126" s="10"/>
      <c r="Q126" s="10"/>
      <c r="R126" s="10"/>
      <c r="S126" s="10"/>
      <c r="T126" s="10"/>
      <c r="U126" s="10"/>
      <c r="V126" s="10"/>
    </row>
    <row r="127" spans="1:22" s="3" customFormat="1" ht="12.75">
      <c r="A127" s="87"/>
      <c r="B127" s="8" t="s">
        <v>16</v>
      </c>
      <c r="J127" s="10"/>
      <c r="K127" s="10"/>
      <c r="L127" s="10"/>
      <c r="M127" s="10"/>
      <c r="N127" s="10"/>
      <c r="O127" s="10"/>
      <c r="P127" s="10"/>
      <c r="Q127" s="10"/>
      <c r="R127" s="10"/>
      <c r="S127" s="10"/>
      <c r="T127" s="10"/>
      <c r="U127" s="10"/>
      <c r="V127" s="10"/>
    </row>
    <row r="128" spans="1:22" s="3" customFormat="1" ht="12.75">
      <c r="A128" s="87"/>
      <c r="B128" s="3" t="s">
        <v>17</v>
      </c>
      <c r="H128" s="3" t="s">
        <v>28</v>
      </c>
      <c r="J128" s="9">
        <f>SUM(L128:S128)</f>
        <v>58078948.739999995</v>
      </c>
      <c r="K128" s="10"/>
      <c r="L128" s="21">
        <f>'Input operationele kosten'!L46</f>
        <v>0</v>
      </c>
      <c r="M128" s="21">
        <f>'Input operationele kosten'!M46</f>
        <v>991640</v>
      </c>
      <c r="N128" s="21">
        <f>'Input operationele kosten'!N46</f>
        <v>0</v>
      </c>
      <c r="O128" s="21">
        <f>'Input operationele kosten'!O46</f>
        <v>41444801.299999997</v>
      </c>
      <c r="P128" s="21">
        <f>'Input operationele kosten'!P46</f>
        <v>0</v>
      </c>
      <c r="Q128" s="21">
        <f>'Input operationele kosten'!Q46</f>
        <v>15610776</v>
      </c>
      <c r="R128" s="21">
        <f>'Input operationele kosten'!R46</f>
        <v>31731.439999999999</v>
      </c>
      <c r="S128" s="21">
        <f>'Input operationele kosten'!S46</f>
        <v>0</v>
      </c>
      <c r="T128" s="21">
        <f>'Input operationele kosten'!U46</f>
        <v>0</v>
      </c>
      <c r="U128" s="21">
        <f>'Input operationele kosten'!V46</f>
        <v>265957.19999999995</v>
      </c>
      <c r="V128" s="21">
        <f>'Input operationele kosten'!W46</f>
        <v>0</v>
      </c>
    </row>
    <row r="129" spans="1:22" s="3" customFormat="1" ht="12.75">
      <c r="A129" s="87"/>
      <c r="B129" s="3" t="s">
        <v>18</v>
      </c>
      <c r="H129" s="3" t="s">
        <v>28</v>
      </c>
      <c r="J129" s="9">
        <f>SUM(L129:S129)</f>
        <v>1481418.5229985795</v>
      </c>
      <c r="K129" s="10"/>
      <c r="L129" s="21">
        <f>'Input operationele kosten'!L47</f>
        <v>551.77859999999998</v>
      </c>
      <c r="M129" s="21">
        <f>'Input operationele kosten'!M47</f>
        <v>0</v>
      </c>
      <c r="N129" s="21">
        <f>'Input operationele kosten'!N47</f>
        <v>1480866.7443985795</v>
      </c>
      <c r="O129" s="21">
        <f>'Input operationele kosten'!O47</f>
        <v>0</v>
      </c>
      <c r="P129" s="21">
        <f>'Input operationele kosten'!P47</f>
        <v>0</v>
      </c>
      <c r="Q129" s="21">
        <f>'Input operationele kosten'!Q47</f>
        <v>0</v>
      </c>
      <c r="R129" s="21">
        <f>'Input operationele kosten'!R47</f>
        <v>0</v>
      </c>
      <c r="S129" s="21">
        <f>'Input operationele kosten'!S47</f>
        <v>0</v>
      </c>
      <c r="T129" s="21">
        <f>'Input operationele kosten'!U47</f>
        <v>0</v>
      </c>
      <c r="U129" s="21">
        <f>'Input operationele kosten'!V47</f>
        <v>0</v>
      </c>
      <c r="V129" s="21">
        <f>'Input operationele kosten'!W47</f>
        <v>0</v>
      </c>
    </row>
    <row r="130" spans="1:22" s="3" customFormat="1" ht="12.75">
      <c r="A130" s="87"/>
      <c r="J130" s="10"/>
      <c r="K130" s="10"/>
      <c r="L130" s="10"/>
      <c r="M130" s="10"/>
      <c r="N130" s="10"/>
      <c r="O130" s="10"/>
      <c r="P130" s="10"/>
      <c r="Q130" s="10"/>
      <c r="R130" s="10"/>
      <c r="S130" s="10"/>
      <c r="T130" s="10"/>
      <c r="U130" s="10"/>
      <c r="V130" s="10"/>
    </row>
    <row r="131" spans="1:22" s="3" customFormat="1" ht="12.75">
      <c r="A131" s="87"/>
      <c r="B131" s="8" t="s">
        <v>19</v>
      </c>
      <c r="J131" s="10"/>
      <c r="K131" s="10"/>
      <c r="L131" s="10"/>
      <c r="M131" s="10"/>
      <c r="N131" s="10"/>
      <c r="O131" s="10"/>
      <c r="P131" s="10"/>
      <c r="Q131" s="10"/>
      <c r="R131" s="10"/>
      <c r="S131" s="10"/>
      <c r="T131" s="10"/>
      <c r="U131" s="10"/>
      <c r="V131" s="10"/>
    </row>
    <row r="132" spans="1:22" s="3" customFormat="1" ht="12.75">
      <c r="A132" s="87"/>
      <c r="B132" s="3" t="s">
        <v>20</v>
      </c>
      <c r="H132" s="3" t="s">
        <v>28</v>
      </c>
      <c r="J132" s="9">
        <f>SUM(L132:S132)</f>
        <v>6311394.7387499996</v>
      </c>
      <c r="K132" s="10"/>
      <c r="L132" s="21">
        <f>'Input operationele kosten'!L50</f>
        <v>0</v>
      </c>
      <c r="M132" s="21">
        <f>'Input operationele kosten'!M50</f>
        <v>0</v>
      </c>
      <c r="N132" s="21">
        <f>'Input operationele kosten'!N50</f>
        <v>1559000</v>
      </c>
      <c r="O132" s="21">
        <f>'Input operationele kosten'!O50</f>
        <v>377716</v>
      </c>
      <c r="P132" s="21">
        <f>'Input operationele kosten'!P50</f>
        <v>5963.29</v>
      </c>
      <c r="Q132" s="21">
        <f>'Input operationele kosten'!Q50</f>
        <v>4000433</v>
      </c>
      <c r="R132" s="21">
        <f>'Input operationele kosten'!R50</f>
        <v>0</v>
      </c>
      <c r="S132" s="21">
        <f>'Input operationele kosten'!S50</f>
        <v>368282.44874999998</v>
      </c>
      <c r="T132" s="21">
        <f>'Input operationele kosten'!U50</f>
        <v>0</v>
      </c>
      <c r="U132" s="21">
        <f>'Input operationele kosten'!V50</f>
        <v>0</v>
      </c>
      <c r="V132" s="21">
        <f>'Input operationele kosten'!W50</f>
        <v>0</v>
      </c>
    </row>
    <row r="133" spans="1:22" s="3" customFormat="1" ht="12.75">
      <c r="A133" s="87"/>
      <c r="B133" s="3" t="s">
        <v>21</v>
      </c>
      <c r="H133" s="3" t="s">
        <v>28</v>
      </c>
      <c r="J133" s="9">
        <f>SUM(L133:S133)</f>
        <v>289953.94998586364</v>
      </c>
      <c r="K133" s="10"/>
      <c r="L133" s="21">
        <f>'Input operationele kosten'!L51</f>
        <v>0</v>
      </c>
      <c r="M133" s="21">
        <f>'Input operationele kosten'!M51</f>
        <v>0</v>
      </c>
      <c r="N133" s="21">
        <f>'Input operationele kosten'!N51</f>
        <v>209173.208753076</v>
      </c>
      <c r="O133" s="21">
        <f>'Input operationele kosten'!O51</f>
        <v>0</v>
      </c>
      <c r="P133" s="21">
        <f>'Input operationele kosten'!P51</f>
        <v>-6631.57</v>
      </c>
      <c r="Q133" s="21">
        <f>'Input operationele kosten'!Q51</f>
        <v>77271.368429398106</v>
      </c>
      <c r="R133" s="21">
        <f>'Input operationele kosten'!R51</f>
        <v>0</v>
      </c>
      <c r="S133" s="21">
        <f>'Input operationele kosten'!S51</f>
        <v>10140.9428033895</v>
      </c>
      <c r="T133" s="21">
        <f>'Input operationele kosten'!U51</f>
        <v>0</v>
      </c>
      <c r="U133" s="21">
        <f>'Input operationele kosten'!V51</f>
        <v>0</v>
      </c>
      <c r="V133" s="21">
        <f>'Input operationele kosten'!W51</f>
        <v>0</v>
      </c>
    </row>
    <row r="134" spans="1:22" s="3" customFormat="1" ht="12.75">
      <c r="A134" s="87"/>
      <c r="B134" s="3" t="s">
        <v>22</v>
      </c>
      <c r="H134" s="3" t="s">
        <v>28</v>
      </c>
      <c r="J134" s="9">
        <f>SUM(L134:S134)</f>
        <v>1838395.9156653315</v>
      </c>
      <c r="K134" s="10"/>
      <c r="L134" s="21">
        <f>'Input operationele kosten'!L52</f>
        <v>0</v>
      </c>
      <c r="M134" s="21">
        <f>'Input operationele kosten'!M52</f>
        <v>0</v>
      </c>
      <c r="N134" s="21">
        <f>'Input operationele kosten'!N52</f>
        <v>291978.37168967264</v>
      </c>
      <c r="O134" s="21">
        <f>'Input operationele kosten'!O52</f>
        <v>938649.75574271812</v>
      </c>
      <c r="P134" s="21">
        <f>'Input operationele kosten'!P52</f>
        <v>4597.8700000000008</v>
      </c>
      <c r="Q134" s="21">
        <f>'Input operationele kosten'!Q52</f>
        <v>343546.291588575</v>
      </c>
      <c r="R134" s="21">
        <f>'Input operationele kosten'!R52</f>
        <v>190042.84</v>
      </c>
      <c r="S134" s="21">
        <f>'Input operationele kosten'!S52</f>
        <v>69580.786644365638</v>
      </c>
      <c r="T134" s="21">
        <f>'Input operationele kosten'!U52</f>
        <v>0</v>
      </c>
      <c r="U134" s="21">
        <f>'Input operationele kosten'!V52</f>
        <v>0</v>
      </c>
      <c r="V134" s="21">
        <f>'Input operationele kosten'!W52</f>
        <v>0</v>
      </c>
    </row>
    <row r="135" spans="1:22" s="3" customFormat="1" ht="12.75">
      <c r="A135" s="87"/>
      <c r="B135" s="3" t="s">
        <v>23</v>
      </c>
      <c r="H135" s="3" t="s">
        <v>28</v>
      </c>
      <c r="J135" s="9">
        <f>SUM(L135:S135)</f>
        <v>17435206.660902489</v>
      </c>
      <c r="K135" s="10"/>
      <c r="L135" s="21">
        <f>'Input operationele kosten'!L53</f>
        <v>0</v>
      </c>
      <c r="M135" s="21">
        <f>'Input operationele kosten'!M53</f>
        <v>-16957.805764429053</v>
      </c>
      <c r="N135" s="21">
        <f>'Input operationele kosten'!N53</f>
        <v>3858468.3415098139</v>
      </c>
      <c r="O135" s="21">
        <f>'Input operationele kosten'!O53</f>
        <v>13160464.142513096</v>
      </c>
      <c r="P135" s="21">
        <f>'Input operationele kosten'!P53</f>
        <v>29747.040000000001</v>
      </c>
      <c r="Q135" s="21">
        <f>'Input operationele kosten'!Q53</f>
        <v>174642.41007264235</v>
      </c>
      <c r="R135" s="21">
        <f>'Input operationele kosten'!R53</f>
        <v>25970</v>
      </c>
      <c r="S135" s="21">
        <f>'Input operationele kosten'!S53</f>
        <v>202872.53257136588</v>
      </c>
      <c r="T135" s="21">
        <f>'Input operationele kosten'!U53</f>
        <v>0</v>
      </c>
      <c r="U135" s="21">
        <f>'Input operationele kosten'!V53</f>
        <v>0</v>
      </c>
      <c r="V135" s="21">
        <f>'Input operationele kosten'!W53</f>
        <v>0</v>
      </c>
    </row>
    <row r="136" spans="1:22" s="3" customFormat="1" ht="12.75">
      <c r="A136" s="87"/>
      <c r="J136" s="10"/>
      <c r="K136" s="10"/>
      <c r="L136" s="10"/>
      <c r="M136" s="10"/>
      <c r="N136" s="10"/>
      <c r="O136" s="10"/>
      <c r="P136" s="10"/>
      <c r="Q136" s="10"/>
      <c r="R136" s="10"/>
      <c r="S136" s="10"/>
      <c r="T136" s="10"/>
      <c r="U136" s="10"/>
      <c r="V136" s="10"/>
    </row>
    <row r="137" spans="1:22" s="3" customFormat="1" ht="12.75">
      <c r="A137" s="87"/>
      <c r="B137" s="8" t="s">
        <v>24</v>
      </c>
      <c r="H137" s="3" t="s">
        <v>28</v>
      </c>
      <c r="J137" s="9">
        <f>SUM(L137:S137)</f>
        <v>1561235605.7667146</v>
      </c>
      <c r="K137" s="12"/>
      <c r="L137" s="9">
        <f t="shared" ref="L137:S137" si="16">SUM(L118:L121,L124:L125,L128:L129,L132:L135)</f>
        <v>9170412.3316687532</v>
      </c>
      <c r="M137" s="9">
        <f t="shared" si="16"/>
        <v>39239416.225816108</v>
      </c>
      <c r="N137" s="9">
        <f>SUM(N118:N121,N124:N125,N128:N129,N132:N135)</f>
        <v>481595663.71538073</v>
      </c>
      <c r="O137" s="9">
        <f t="shared" si="16"/>
        <v>620252580.57584262</v>
      </c>
      <c r="P137" s="9">
        <f t="shared" si="16"/>
        <v>5074322.5100000007</v>
      </c>
      <c r="Q137" s="9">
        <f t="shared" si="16"/>
        <v>364444476.54571915</v>
      </c>
      <c r="R137" s="9">
        <f t="shared" si="16"/>
        <v>22278302.242394418</v>
      </c>
      <c r="S137" s="9">
        <f t="shared" si="16"/>
        <v>19180431.619892728</v>
      </c>
      <c r="T137" s="9">
        <f t="shared" ref="T137:U137" si="17">SUM(T118:T121,T124:T125,T128:T129,T132:T135)</f>
        <v>14097003.948324289</v>
      </c>
      <c r="U137" s="9">
        <f t="shared" si="17"/>
        <v>75878883.781656802</v>
      </c>
      <c r="V137" s="9">
        <f t="shared" ref="V137" si="18">SUM(V118:V121,V124:V125,V128:V129,V132:V135)</f>
        <v>2160</v>
      </c>
    </row>
    <row r="138" spans="1:22" s="3" customFormat="1" ht="12.75">
      <c r="A138" s="87"/>
      <c r="J138" s="10"/>
      <c r="K138" s="10"/>
      <c r="L138" s="10"/>
      <c r="M138" s="10"/>
      <c r="N138" s="10"/>
      <c r="O138" s="10"/>
      <c r="P138" s="10"/>
      <c r="Q138" s="10"/>
      <c r="R138" s="10"/>
      <c r="S138" s="10"/>
      <c r="T138" s="10"/>
      <c r="U138" s="10"/>
    </row>
    <row r="139" spans="1:22" s="3" customFormat="1" ht="12.75">
      <c r="A139" s="87"/>
      <c r="B139" s="8"/>
      <c r="J139" s="10"/>
      <c r="K139" s="10"/>
      <c r="L139" s="10"/>
      <c r="M139" s="10"/>
      <c r="N139" s="10"/>
      <c r="O139" s="10"/>
      <c r="P139" s="10"/>
      <c r="Q139" s="10"/>
      <c r="R139" s="10"/>
      <c r="S139" s="10"/>
      <c r="T139" s="10"/>
      <c r="U139" s="10"/>
    </row>
    <row r="140" spans="1:22" s="3" customFormat="1" ht="12.75">
      <c r="A140" s="87"/>
      <c r="B140" s="8" t="s">
        <v>38</v>
      </c>
      <c r="J140" s="10"/>
      <c r="K140" s="10"/>
      <c r="L140" s="10"/>
      <c r="M140" s="10"/>
      <c r="N140" s="10"/>
      <c r="O140" s="10"/>
      <c r="P140" s="10"/>
      <c r="Q140" s="10"/>
      <c r="R140" s="10"/>
      <c r="S140" s="10"/>
      <c r="T140" s="10"/>
      <c r="U140" s="10"/>
    </row>
    <row r="141" spans="1:22" s="3" customFormat="1" ht="12.75">
      <c r="A141" s="87"/>
      <c r="J141" s="10"/>
      <c r="K141" s="10"/>
      <c r="L141" s="10"/>
      <c r="M141" s="10"/>
      <c r="N141" s="10"/>
      <c r="O141" s="10"/>
      <c r="P141" s="10"/>
      <c r="Q141" s="10"/>
      <c r="R141" s="10"/>
      <c r="S141" s="10"/>
      <c r="T141" s="10"/>
      <c r="U141" s="10"/>
    </row>
    <row r="142" spans="1:22" s="3" customFormat="1" ht="12.75">
      <c r="A142" s="87"/>
      <c r="B142" s="8" t="s">
        <v>8</v>
      </c>
      <c r="J142" s="10"/>
      <c r="K142" s="10"/>
      <c r="L142" s="10"/>
      <c r="M142" s="10"/>
      <c r="N142" s="10"/>
      <c r="O142" s="10"/>
      <c r="P142" s="10"/>
      <c r="Q142" s="10"/>
      <c r="R142" s="10"/>
      <c r="S142" s="10"/>
      <c r="T142" s="10"/>
      <c r="U142" s="10"/>
    </row>
    <row r="143" spans="1:22" s="3" customFormat="1" ht="12.75">
      <c r="A143" s="87"/>
      <c r="B143" s="3" t="s">
        <v>9</v>
      </c>
      <c r="H143" s="3" t="s">
        <v>28</v>
      </c>
      <c r="J143" s="9">
        <f>SUM(L143:S143)</f>
        <v>0</v>
      </c>
      <c r="K143" s="10"/>
      <c r="L143" s="11"/>
      <c r="M143" s="11"/>
      <c r="N143" s="11"/>
      <c r="O143" s="11"/>
      <c r="P143" s="11"/>
      <c r="Q143" s="11"/>
      <c r="R143" s="11"/>
      <c r="S143" s="11"/>
      <c r="T143" s="11"/>
      <c r="U143" s="11"/>
      <c r="V143" s="11"/>
    </row>
    <row r="144" spans="1:22" s="3" customFormat="1" ht="12.75">
      <c r="A144" s="87"/>
      <c r="B144" s="3" t="s">
        <v>10</v>
      </c>
      <c r="H144" s="3" t="s">
        <v>28</v>
      </c>
      <c r="J144" s="9">
        <f>SUM(L144:S144)</f>
        <v>0</v>
      </c>
      <c r="K144" s="10"/>
      <c r="L144" s="11"/>
      <c r="M144" s="11"/>
      <c r="N144" s="11"/>
      <c r="O144" s="11"/>
      <c r="P144" s="11"/>
      <c r="Q144" s="11"/>
      <c r="R144" s="11"/>
      <c r="S144" s="11"/>
      <c r="T144" s="11"/>
      <c r="U144" s="11"/>
      <c r="V144" s="11"/>
    </row>
    <row r="145" spans="1:22" s="3" customFormat="1" ht="12.75">
      <c r="A145" s="87"/>
      <c r="B145" s="3" t="s">
        <v>11</v>
      </c>
      <c r="H145" s="3" t="s">
        <v>28</v>
      </c>
      <c r="J145" s="9">
        <f>SUM(L145:S145)</f>
        <v>0</v>
      </c>
      <c r="K145" s="10"/>
      <c r="L145" s="11"/>
      <c r="M145" s="11"/>
      <c r="N145" s="11"/>
      <c r="O145" s="11"/>
      <c r="P145" s="11"/>
      <c r="Q145" s="11"/>
      <c r="R145" s="11"/>
      <c r="S145" s="11"/>
      <c r="T145" s="11"/>
      <c r="U145" s="11"/>
      <c r="V145" s="11"/>
    </row>
    <row r="146" spans="1:22" s="3" customFormat="1" ht="12.75">
      <c r="A146" s="87"/>
      <c r="B146" s="3" t="s">
        <v>12</v>
      </c>
      <c r="H146" s="3" t="s">
        <v>28</v>
      </c>
      <c r="J146" s="9">
        <f>SUM(L146:S146)</f>
        <v>0</v>
      </c>
      <c r="K146" s="10"/>
      <c r="L146" s="11"/>
      <c r="M146" s="11"/>
      <c r="N146" s="11"/>
      <c r="O146" s="11"/>
      <c r="P146" s="11"/>
      <c r="Q146" s="11"/>
      <c r="R146" s="11"/>
      <c r="S146" s="11"/>
      <c r="T146" s="11"/>
      <c r="U146" s="11"/>
      <c r="V146" s="11"/>
    </row>
    <row r="147" spans="1:22" s="3" customFormat="1" ht="12.75">
      <c r="A147" s="87"/>
      <c r="J147" s="10"/>
      <c r="K147" s="10"/>
      <c r="L147" s="10"/>
      <c r="M147" s="10"/>
      <c r="N147" s="10"/>
      <c r="O147" s="10"/>
      <c r="P147" s="10"/>
      <c r="Q147" s="10"/>
      <c r="R147" s="10"/>
      <c r="S147" s="10"/>
      <c r="T147" s="10"/>
      <c r="U147" s="10"/>
      <c r="V147" s="10"/>
    </row>
    <row r="148" spans="1:22" s="3" customFormat="1" ht="12.75">
      <c r="A148" s="87"/>
      <c r="B148" s="8" t="s">
        <v>13</v>
      </c>
      <c r="J148" s="10"/>
      <c r="K148" s="10"/>
      <c r="L148" s="10"/>
      <c r="M148" s="10"/>
      <c r="N148" s="10"/>
      <c r="O148" s="10"/>
      <c r="P148" s="10"/>
      <c r="Q148" s="10"/>
      <c r="R148" s="10"/>
      <c r="S148" s="10"/>
      <c r="T148" s="10"/>
      <c r="U148" s="10"/>
      <c r="V148" s="10"/>
    </row>
    <row r="149" spans="1:22" s="3" customFormat="1" ht="12.75">
      <c r="A149" s="87"/>
      <c r="B149" s="3" t="s">
        <v>14</v>
      </c>
      <c r="H149" s="3" t="s">
        <v>28</v>
      </c>
      <c r="J149" s="9">
        <f>SUM(L149:S149)</f>
        <v>0</v>
      </c>
      <c r="K149" s="10"/>
      <c r="L149" s="11"/>
      <c r="M149" s="11"/>
      <c r="N149" s="11"/>
      <c r="O149" s="11"/>
      <c r="P149" s="11"/>
      <c r="Q149" s="11"/>
      <c r="R149" s="11"/>
      <c r="S149" s="11"/>
      <c r="T149" s="11"/>
      <c r="U149" s="11"/>
      <c r="V149" s="11"/>
    </row>
    <row r="150" spans="1:22" s="3" customFormat="1" ht="12.75">
      <c r="A150" s="87"/>
      <c r="B150" s="3" t="s">
        <v>15</v>
      </c>
      <c r="H150" s="3" t="s">
        <v>28</v>
      </c>
      <c r="J150" s="9">
        <f>SUM(L150:S150)</f>
        <v>0</v>
      </c>
      <c r="K150" s="10"/>
      <c r="L150" s="11"/>
      <c r="M150" s="11"/>
      <c r="N150" s="11"/>
      <c r="O150" s="11"/>
      <c r="P150" s="11"/>
      <c r="Q150" s="11"/>
      <c r="R150" s="11"/>
      <c r="S150" s="11"/>
      <c r="T150" s="11"/>
      <c r="U150" s="11"/>
      <c r="V150" s="11"/>
    </row>
    <row r="151" spans="1:22" s="3" customFormat="1" ht="12.75">
      <c r="A151" s="87"/>
      <c r="J151" s="10"/>
      <c r="K151" s="10"/>
      <c r="L151" s="10"/>
      <c r="M151" s="10"/>
      <c r="N151" s="10"/>
      <c r="O151" s="10"/>
      <c r="P151" s="10"/>
      <c r="Q151" s="10"/>
      <c r="R151" s="10"/>
      <c r="S151" s="10"/>
      <c r="T151" s="10"/>
      <c r="U151" s="10"/>
      <c r="V151" s="10"/>
    </row>
    <row r="152" spans="1:22" s="3" customFormat="1" ht="12.75">
      <c r="A152" s="87"/>
      <c r="B152" s="8" t="s">
        <v>16</v>
      </c>
      <c r="J152" s="10"/>
      <c r="K152" s="10"/>
      <c r="L152" s="10"/>
      <c r="M152" s="10"/>
      <c r="N152" s="10"/>
      <c r="O152" s="10"/>
      <c r="P152" s="10"/>
      <c r="Q152" s="10"/>
      <c r="R152" s="10"/>
      <c r="S152" s="10"/>
      <c r="T152" s="10"/>
      <c r="U152" s="10"/>
      <c r="V152" s="10"/>
    </row>
    <row r="153" spans="1:22" s="3" customFormat="1" ht="12.75">
      <c r="A153" s="87"/>
      <c r="B153" s="3" t="s">
        <v>17</v>
      </c>
      <c r="H153" s="3" t="s">
        <v>28</v>
      </c>
      <c r="J153" s="9">
        <f>SUM(L153:S153)</f>
        <v>0</v>
      </c>
      <c r="K153" s="10"/>
      <c r="L153" s="11"/>
      <c r="M153" s="11"/>
      <c r="N153" s="11"/>
      <c r="O153" s="11"/>
      <c r="P153" s="11"/>
      <c r="Q153" s="11"/>
      <c r="R153" s="11"/>
      <c r="S153" s="11"/>
      <c r="T153" s="11"/>
      <c r="U153" s="11"/>
      <c r="V153" s="11"/>
    </row>
    <row r="154" spans="1:22" s="3" customFormat="1" ht="12.75">
      <c r="A154" s="87"/>
      <c r="B154" s="3" t="s">
        <v>18</v>
      </c>
      <c r="H154" s="3" t="s">
        <v>28</v>
      </c>
      <c r="J154" s="9">
        <f>SUM(L154:S154)</f>
        <v>0</v>
      </c>
      <c r="K154" s="10"/>
      <c r="L154" s="11"/>
      <c r="M154" s="11"/>
      <c r="N154" s="11"/>
      <c r="O154" s="11"/>
      <c r="P154" s="11"/>
      <c r="Q154" s="11"/>
      <c r="R154" s="11"/>
      <c r="S154" s="11"/>
      <c r="T154" s="11"/>
      <c r="U154" s="11"/>
      <c r="V154" s="11"/>
    </row>
    <row r="155" spans="1:22" s="3" customFormat="1" ht="12.75">
      <c r="A155" s="87"/>
      <c r="J155" s="10"/>
      <c r="K155" s="10"/>
      <c r="L155" s="10"/>
      <c r="M155" s="10"/>
      <c r="N155" s="10"/>
      <c r="O155" s="10"/>
      <c r="P155" s="10"/>
      <c r="Q155" s="10"/>
      <c r="R155" s="10"/>
      <c r="S155" s="10"/>
      <c r="T155" s="10"/>
      <c r="U155" s="10"/>
      <c r="V155" s="10"/>
    </row>
    <row r="156" spans="1:22" s="3" customFormat="1" ht="12.75">
      <c r="A156" s="87"/>
      <c r="B156" s="8" t="s">
        <v>19</v>
      </c>
      <c r="J156" s="10"/>
      <c r="K156" s="10"/>
      <c r="L156" s="10"/>
      <c r="M156" s="10"/>
      <c r="N156" s="10"/>
      <c r="O156" s="10"/>
      <c r="P156" s="10"/>
      <c r="Q156" s="10"/>
      <c r="R156" s="10"/>
      <c r="S156" s="10"/>
      <c r="T156" s="10"/>
      <c r="U156" s="10"/>
      <c r="V156" s="10"/>
    </row>
    <row r="157" spans="1:22" s="3" customFormat="1" ht="12.75">
      <c r="A157" s="87"/>
      <c r="B157" s="3" t="s">
        <v>20</v>
      </c>
      <c r="H157" s="3" t="s">
        <v>28</v>
      </c>
      <c r="J157" s="9">
        <f>SUM(L157:S157)</f>
        <v>0</v>
      </c>
      <c r="K157" s="10"/>
      <c r="L157" s="11"/>
      <c r="M157" s="11"/>
      <c r="N157" s="11"/>
      <c r="O157" s="11"/>
      <c r="P157" s="11"/>
      <c r="Q157" s="11"/>
      <c r="R157" s="11"/>
      <c r="S157" s="11"/>
      <c r="T157" s="11"/>
      <c r="U157" s="11"/>
      <c r="V157" s="11"/>
    </row>
    <row r="158" spans="1:22" s="3" customFormat="1" ht="12.75">
      <c r="A158" s="87"/>
      <c r="B158" s="3" t="s">
        <v>21</v>
      </c>
      <c r="H158" s="3" t="s">
        <v>28</v>
      </c>
      <c r="J158" s="9">
        <f>SUM(L158:S158)</f>
        <v>0</v>
      </c>
      <c r="K158" s="10"/>
      <c r="L158" s="11"/>
      <c r="M158" s="11"/>
      <c r="N158" s="11"/>
      <c r="O158" s="11"/>
      <c r="P158" s="11"/>
      <c r="Q158" s="11"/>
      <c r="R158" s="11"/>
      <c r="S158" s="11"/>
      <c r="T158" s="11"/>
      <c r="U158" s="11"/>
      <c r="V158" s="11"/>
    </row>
    <row r="159" spans="1:22" s="3" customFormat="1" ht="12.75">
      <c r="A159" s="87"/>
      <c r="B159" s="3" t="s">
        <v>22</v>
      </c>
      <c r="H159" s="3" t="s">
        <v>28</v>
      </c>
      <c r="J159" s="9">
        <f>SUM(L159:S159)</f>
        <v>0</v>
      </c>
      <c r="K159" s="10"/>
      <c r="L159" s="11"/>
      <c r="M159" s="11"/>
      <c r="N159" s="11"/>
      <c r="O159" s="11"/>
      <c r="P159" s="11"/>
      <c r="Q159" s="11"/>
      <c r="R159" s="11"/>
      <c r="S159" s="11"/>
      <c r="T159" s="11"/>
      <c r="U159" s="11"/>
      <c r="V159" s="11"/>
    </row>
    <row r="160" spans="1:22" s="3" customFormat="1" ht="12.75">
      <c r="A160" s="87"/>
      <c r="B160" s="3" t="s">
        <v>23</v>
      </c>
      <c r="H160" s="3" t="s">
        <v>28</v>
      </c>
      <c r="J160" s="9">
        <f>SUM(L160:S160)</f>
        <v>0</v>
      </c>
      <c r="K160" s="10"/>
      <c r="L160" s="11"/>
      <c r="M160" s="11"/>
      <c r="N160" s="11"/>
      <c r="O160" s="11"/>
      <c r="P160" s="11"/>
      <c r="Q160" s="11"/>
      <c r="R160" s="11"/>
      <c r="S160" s="11"/>
      <c r="T160" s="11"/>
      <c r="U160" s="11"/>
      <c r="V160" s="11"/>
    </row>
    <row r="161" spans="1:25" s="3" customFormat="1" ht="12.75">
      <c r="A161" s="87"/>
      <c r="J161" s="10"/>
      <c r="K161" s="10"/>
      <c r="L161" s="10"/>
      <c r="M161" s="10"/>
      <c r="N161" s="10"/>
      <c r="O161" s="10"/>
      <c r="P161" s="10"/>
      <c r="Q161" s="10"/>
      <c r="R161" s="10"/>
      <c r="S161" s="10"/>
      <c r="T161" s="10"/>
      <c r="U161" s="10"/>
    </row>
    <row r="162" spans="1:25" s="3" customFormat="1" ht="12.75">
      <c r="A162" s="87"/>
      <c r="B162" s="3" t="s">
        <v>280</v>
      </c>
      <c r="H162" s="3" t="s">
        <v>28</v>
      </c>
      <c r="J162" s="9">
        <f>SUM(L162:S162)</f>
        <v>11174709.143968871</v>
      </c>
      <c r="K162" s="10"/>
      <c r="L162" s="10"/>
      <c r="M162" s="10"/>
      <c r="N162" s="10"/>
      <c r="O162" s="10"/>
      <c r="P162" s="10"/>
      <c r="Q162" s="21">
        <f>'Aanpassingen IT n.a.v. FNOP&amp;HS'!G16</f>
        <v>11174709.143968871</v>
      </c>
      <c r="R162" s="10"/>
      <c r="S162" s="10"/>
      <c r="T162" s="10"/>
      <c r="U162" s="10"/>
      <c r="V162" s="10"/>
      <c r="Y162" s="3" t="s">
        <v>285</v>
      </c>
    </row>
    <row r="163" spans="1:25" s="3" customFormat="1" ht="12.75">
      <c r="A163" s="87"/>
      <c r="B163" s="3" t="s">
        <v>294</v>
      </c>
      <c r="J163" s="10"/>
      <c r="K163" s="10"/>
      <c r="L163" s="10"/>
      <c r="M163" s="10"/>
      <c r="N163" s="21">
        <f>'Aanpassingen IT n.a.v. FNOP&amp;HS'!G22</f>
        <v>-6874102.1207199376</v>
      </c>
      <c r="O163" s="21">
        <f>'Aanpassingen IT n.a.v. FNOP&amp;HS'!H22</f>
        <v>-1262059.937387001</v>
      </c>
      <c r="P163" s="10"/>
      <c r="Q163" s="10"/>
      <c r="R163" s="10"/>
      <c r="S163" s="10"/>
      <c r="T163" s="10"/>
      <c r="U163" s="10"/>
      <c r="Y163" s="3" t="s">
        <v>285</v>
      </c>
    </row>
    <row r="164" spans="1:25" s="3" customFormat="1" ht="12.75">
      <c r="A164" s="87"/>
      <c r="J164" s="10"/>
      <c r="K164" s="10"/>
      <c r="L164" s="10"/>
      <c r="M164" s="10"/>
      <c r="N164" s="10"/>
      <c r="O164" s="10"/>
      <c r="P164" s="10"/>
      <c r="Q164" s="10"/>
      <c r="R164" s="10"/>
      <c r="S164" s="10"/>
      <c r="T164" s="10"/>
      <c r="U164" s="10"/>
    </row>
    <row r="165" spans="1:25" s="3" customFormat="1" ht="12.75">
      <c r="A165" s="87"/>
      <c r="B165" s="8" t="s">
        <v>39</v>
      </c>
      <c r="J165" s="10"/>
      <c r="K165" s="10"/>
      <c r="L165" s="10"/>
      <c r="M165" s="10"/>
      <c r="N165" s="10"/>
      <c r="O165" s="10"/>
      <c r="P165" s="10"/>
      <c r="Q165" s="10"/>
      <c r="R165" s="10"/>
      <c r="S165" s="10"/>
      <c r="T165" s="10"/>
      <c r="U165" s="10"/>
    </row>
    <row r="166" spans="1:25" s="3" customFormat="1" ht="12.75">
      <c r="A166" s="87"/>
      <c r="J166" s="10"/>
      <c r="K166" s="10"/>
      <c r="L166" s="10"/>
      <c r="M166" s="10"/>
      <c r="N166" s="10"/>
      <c r="O166" s="10"/>
      <c r="P166" s="10"/>
      <c r="Q166" s="10"/>
      <c r="R166" s="10"/>
      <c r="S166" s="10"/>
      <c r="T166" s="10"/>
      <c r="U166" s="10"/>
    </row>
    <row r="167" spans="1:25" s="3" customFormat="1" ht="12.75">
      <c r="A167" s="87"/>
      <c r="B167" s="8" t="s">
        <v>40</v>
      </c>
      <c r="J167" s="10"/>
      <c r="K167" s="10"/>
      <c r="L167" s="10"/>
      <c r="M167" s="10"/>
      <c r="N167" s="10"/>
      <c r="O167" s="10"/>
      <c r="P167" s="10"/>
      <c r="Q167" s="10"/>
      <c r="R167" s="10"/>
      <c r="S167" s="10"/>
      <c r="T167" s="10"/>
      <c r="U167" s="10"/>
    </row>
    <row r="168" spans="1:25" s="3" customFormat="1" ht="12.75">
      <c r="A168" s="87"/>
      <c r="B168" s="3" t="s">
        <v>41</v>
      </c>
      <c r="H168" s="3" t="s">
        <v>28</v>
      </c>
      <c r="J168" s="9">
        <f t="shared" ref="J168:J176" si="19">SUM(L168:S168)</f>
        <v>11694833.395548465</v>
      </c>
      <c r="K168" s="10"/>
      <c r="L168" s="21">
        <f>'Overige opbrengsten'!L100</f>
        <v>68377.38</v>
      </c>
      <c r="M168" s="21">
        <f>'Overige opbrengsten'!M100</f>
        <v>108379.57199999999</v>
      </c>
      <c r="N168" s="21">
        <f>'Overige opbrengsten'!N100</f>
        <v>5499503.5999999996</v>
      </c>
      <c r="O168" s="21">
        <f>'Overige opbrengsten'!O100</f>
        <v>1810730.92</v>
      </c>
      <c r="P168" s="21">
        <f>'Overige opbrengsten'!P100</f>
        <v>69068.27</v>
      </c>
      <c r="Q168" s="21">
        <f>'Overige opbrengsten'!Q100</f>
        <v>3916945.1600000006</v>
      </c>
      <c r="R168" s="21">
        <f>'Overige opbrengsten'!R100</f>
        <v>5289.7647984657533</v>
      </c>
      <c r="S168" s="21">
        <f>'Overige opbrengsten'!S100</f>
        <v>216538.72875000001</v>
      </c>
      <c r="T168" s="21">
        <f>'Overige opbrengsten'!U100</f>
        <v>194155.82033720001</v>
      </c>
      <c r="U168" s="21">
        <f>'Overige opbrengsten'!V100</f>
        <v>0</v>
      </c>
      <c r="V168" s="21">
        <f>'Overige opbrengsten'!W100</f>
        <v>0</v>
      </c>
    </row>
    <row r="169" spans="1:25" s="3" customFormat="1" ht="12.75">
      <c r="A169" s="87"/>
      <c r="B169" s="3" t="s">
        <v>43</v>
      </c>
      <c r="H169" s="3" t="s">
        <v>28</v>
      </c>
      <c r="J169" s="9">
        <f t="shared" si="19"/>
        <v>3748378.135194235</v>
      </c>
      <c r="K169" s="10"/>
      <c r="L169" s="21">
        <f>'Overige opbrengsten'!L101</f>
        <v>45381.21</v>
      </c>
      <c r="M169" s="21">
        <f>'Overige opbrengsten'!M101</f>
        <v>5704.1880000000001</v>
      </c>
      <c r="N169" s="21">
        <f>'Overige opbrengsten'!N101</f>
        <v>1342882.3077430325</v>
      </c>
      <c r="O169" s="21">
        <f>'Overige opbrengsten'!O101</f>
        <v>370145.35945120209</v>
      </c>
      <c r="P169" s="21">
        <f>'Overige opbrengsten'!P101</f>
        <v>0</v>
      </c>
      <c r="Q169" s="21">
        <f>'Overige opbrengsten'!Q101</f>
        <v>1871091.4700000002</v>
      </c>
      <c r="R169" s="21">
        <f>'Overige opbrengsten'!R101</f>
        <v>6867</v>
      </c>
      <c r="S169" s="21">
        <f>'Overige opbrengsten'!S101</f>
        <v>106306.6</v>
      </c>
      <c r="T169" s="21">
        <f>'Overige opbrengsten'!U101</f>
        <v>19477.903255363144</v>
      </c>
      <c r="U169" s="21">
        <f>'Overige opbrengsten'!V101</f>
        <v>0</v>
      </c>
      <c r="V169" s="21">
        <f>'Overige opbrengsten'!W101</f>
        <v>0</v>
      </c>
    </row>
    <row r="170" spans="1:25" s="3" customFormat="1" ht="12.75">
      <c r="A170" s="87"/>
      <c r="B170" s="3" t="s">
        <v>48</v>
      </c>
      <c r="H170" s="3" t="s">
        <v>28</v>
      </c>
      <c r="J170" s="9">
        <f t="shared" si="19"/>
        <v>10203567.252872825</v>
      </c>
      <c r="K170" s="10"/>
      <c r="L170" s="21">
        <f>'Overige opbrengsten'!L102</f>
        <v>82188.13</v>
      </c>
      <c r="M170" s="21">
        <f>'Overige opbrengsten'!M102</f>
        <v>191207.2028728271</v>
      </c>
      <c r="N170" s="21">
        <f>'Overige opbrengsten'!N102</f>
        <v>5490668.2600000016</v>
      </c>
      <c r="O170" s="21">
        <f>'Overige opbrengsten'!O102</f>
        <v>2617726.65</v>
      </c>
      <c r="P170" s="21">
        <f>'Overige opbrengsten'!P102</f>
        <v>34012.370000000003</v>
      </c>
      <c r="Q170" s="21">
        <f>'Overige opbrengsten'!Q102</f>
        <v>1664271.5099999988</v>
      </c>
      <c r="R170" s="21">
        <f>'Overige opbrengsten'!R102</f>
        <v>17951.62</v>
      </c>
      <c r="S170" s="21">
        <f>'Overige opbrengsten'!S102</f>
        <v>105541.51</v>
      </c>
      <c r="T170" s="21">
        <f>'Overige opbrengsten'!U102</f>
        <v>0</v>
      </c>
      <c r="U170" s="21">
        <f>'Overige opbrengsten'!V102</f>
        <v>0</v>
      </c>
      <c r="V170" s="21">
        <f>'Overige opbrengsten'!W102</f>
        <v>0</v>
      </c>
    </row>
    <row r="171" spans="1:25" s="3" customFormat="1" ht="12.75">
      <c r="A171" s="87"/>
      <c r="B171" s="3" t="s">
        <v>49</v>
      </c>
      <c r="H171" s="3" t="s">
        <v>28</v>
      </c>
      <c r="J171" s="9">
        <f t="shared" si="19"/>
        <v>3268008.2225508033</v>
      </c>
      <c r="K171" s="10"/>
      <c r="L171" s="21">
        <f>'Overige opbrengsten'!L103</f>
        <v>0</v>
      </c>
      <c r="M171" s="21">
        <f>'Overige opbrengsten'!M103</f>
        <v>19651.859500000002</v>
      </c>
      <c r="N171" s="21">
        <f>'Overige opbrengsten'!N103</f>
        <v>157649.18291811703</v>
      </c>
      <c r="O171" s="21">
        <f>'Overige opbrengsten'!O103</f>
        <v>3057515.4397028135</v>
      </c>
      <c r="P171" s="21">
        <f>'Overige opbrengsten'!P103</f>
        <v>25037.38</v>
      </c>
      <c r="Q171" s="21">
        <f>'Overige opbrengsten'!Q103</f>
        <v>0</v>
      </c>
      <c r="R171" s="21">
        <f>'Overige opbrengsten'!R103</f>
        <v>0</v>
      </c>
      <c r="S171" s="21">
        <f>'Overige opbrengsten'!S103</f>
        <v>8154.3604298729269</v>
      </c>
      <c r="T171" s="21">
        <f>'Overige opbrengsten'!U103</f>
        <v>0</v>
      </c>
      <c r="U171" s="21">
        <f>'Overige opbrengsten'!V103</f>
        <v>0</v>
      </c>
      <c r="V171" s="21">
        <f>'Overige opbrengsten'!W103</f>
        <v>0</v>
      </c>
    </row>
    <row r="172" spans="1:25" s="3" customFormat="1" ht="12.75">
      <c r="A172" s="87"/>
      <c r="B172" s="3" t="s">
        <v>50</v>
      </c>
      <c r="H172" s="3" t="s">
        <v>28</v>
      </c>
      <c r="J172" s="9">
        <f t="shared" si="19"/>
        <v>-1349929.6284326336</v>
      </c>
      <c r="K172" s="10"/>
      <c r="L172" s="21">
        <f>'Overige opbrengsten'!L104</f>
        <v>0</v>
      </c>
      <c r="M172" s="21">
        <f>'Overige opbrengsten'!M104</f>
        <v>0</v>
      </c>
      <c r="N172" s="21">
        <f>'Overige opbrengsten'!N104</f>
        <v>0</v>
      </c>
      <c r="O172" s="21">
        <f>'Overige opbrengsten'!O104</f>
        <v>-1354255.8884326336</v>
      </c>
      <c r="P172" s="21">
        <f>'Overige opbrengsten'!P104</f>
        <v>1675.92</v>
      </c>
      <c r="Q172" s="21">
        <f>'Overige opbrengsten'!Q104</f>
        <v>0</v>
      </c>
      <c r="R172" s="21">
        <f>'Overige opbrengsten'!R104</f>
        <v>2650.34</v>
      </c>
      <c r="S172" s="21">
        <f>'Overige opbrengsten'!S104</f>
        <v>0</v>
      </c>
      <c r="T172" s="21">
        <f>'Overige opbrengsten'!U104</f>
        <v>0</v>
      </c>
      <c r="U172" s="21">
        <f>'Overige opbrengsten'!V104</f>
        <v>0</v>
      </c>
      <c r="V172" s="21">
        <f>'Overige opbrengsten'!W104</f>
        <v>0</v>
      </c>
    </row>
    <row r="173" spans="1:25" s="3" customFormat="1" ht="12.75">
      <c r="A173" s="87"/>
      <c r="B173" s="3" t="s">
        <v>51</v>
      </c>
      <c r="H173" s="3" t="s">
        <v>28</v>
      </c>
      <c r="J173" s="9">
        <f t="shared" si="19"/>
        <v>0</v>
      </c>
      <c r="K173" s="10"/>
      <c r="L173" s="21">
        <f>'Overige opbrengsten'!L105</f>
        <v>0</v>
      </c>
      <c r="M173" s="21">
        <f>'Overige opbrengsten'!M105</f>
        <v>0</v>
      </c>
      <c r="N173" s="21">
        <f>'Overige opbrengsten'!N105</f>
        <v>0</v>
      </c>
      <c r="O173" s="21">
        <f>'Overige opbrengsten'!O105</f>
        <v>0</v>
      </c>
      <c r="P173" s="21">
        <f>'Overige opbrengsten'!P105</f>
        <v>0</v>
      </c>
      <c r="Q173" s="21">
        <f>'Overige opbrengsten'!Q105</f>
        <v>0</v>
      </c>
      <c r="R173" s="21">
        <f>'Overige opbrengsten'!R105</f>
        <v>0</v>
      </c>
      <c r="S173" s="21">
        <f>'Overige opbrengsten'!S105</f>
        <v>0</v>
      </c>
      <c r="T173" s="21">
        <f>'Overige opbrengsten'!U105</f>
        <v>0</v>
      </c>
      <c r="U173" s="21">
        <f>'Overige opbrengsten'!V105</f>
        <v>0</v>
      </c>
      <c r="V173" s="21">
        <f>'Overige opbrengsten'!W105</f>
        <v>0</v>
      </c>
    </row>
    <row r="174" spans="1:25" s="3" customFormat="1" ht="12.75">
      <c r="A174" s="87"/>
      <c r="B174" s="3" t="s">
        <v>52</v>
      </c>
      <c r="H174" s="3" t="s">
        <v>28</v>
      </c>
      <c r="J174" s="9">
        <f t="shared" si="19"/>
        <v>0</v>
      </c>
      <c r="K174" s="10"/>
      <c r="L174" s="21">
        <f>'Overige opbrengsten'!L106</f>
        <v>0</v>
      </c>
      <c r="M174" s="21">
        <f>'Overige opbrengsten'!M106</f>
        <v>0</v>
      </c>
      <c r="N174" s="21">
        <f>'Overige opbrengsten'!N106</f>
        <v>0</v>
      </c>
      <c r="O174" s="21">
        <f>'Overige opbrengsten'!O106</f>
        <v>0</v>
      </c>
      <c r="P174" s="21">
        <f>'Overige opbrengsten'!P106</f>
        <v>0</v>
      </c>
      <c r="Q174" s="21">
        <f>'Overige opbrengsten'!Q106</f>
        <v>0</v>
      </c>
      <c r="R174" s="21">
        <f>'Overige opbrengsten'!R106</f>
        <v>0</v>
      </c>
      <c r="S174" s="21">
        <f>'Overige opbrengsten'!S106</f>
        <v>0</v>
      </c>
      <c r="T174" s="21">
        <f>'Overige opbrengsten'!U106</f>
        <v>0</v>
      </c>
      <c r="U174" s="21">
        <f>'Overige opbrengsten'!V106</f>
        <v>0</v>
      </c>
      <c r="V174" s="21">
        <f>'Overige opbrengsten'!W106</f>
        <v>0</v>
      </c>
    </row>
    <row r="175" spans="1:25" s="3" customFormat="1" ht="12.75">
      <c r="A175" s="87"/>
      <c r="B175" s="3" t="s">
        <v>53</v>
      </c>
      <c r="H175" s="3" t="s">
        <v>28</v>
      </c>
      <c r="J175" s="9">
        <f t="shared" si="19"/>
        <v>0</v>
      </c>
      <c r="K175" s="10"/>
      <c r="L175" s="21">
        <f>'Overige opbrengsten'!L107</f>
        <v>0</v>
      </c>
      <c r="M175" s="21">
        <f>'Overige opbrengsten'!M107</f>
        <v>0</v>
      </c>
      <c r="N175" s="21">
        <f>'Overige opbrengsten'!N107</f>
        <v>0</v>
      </c>
      <c r="O175" s="21">
        <f>'Overige opbrengsten'!O107</f>
        <v>0</v>
      </c>
      <c r="P175" s="21">
        <f>'Overige opbrengsten'!P107</f>
        <v>0</v>
      </c>
      <c r="Q175" s="21">
        <f>'Overige opbrengsten'!Q107</f>
        <v>0</v>
      </c>
      <c r="R175" s="21">
        <f>'Overige opbrengsten'!R107</f>
        <v>0</v>
      </c>
      <c r="S175" s="21">
        <f>'Overige opbrengsten'!S107</f>
        <v>0</v>
      </c>
      <c r="T175" s="21">
        <f>'Overige opbrengsten'!U107</f>
        <v>0</v>
      </c>
      <c r="U175" s="21">
        <f>'Overige opbrengsten'!V107</f>
        <v>0</v>
      </c>
      <c r="V175" s="21">
        <f>'Overige opbrengsten'!W107</f>
        <v>0</v>
      </c>
    </row>
    <row r="176" spans="1:25" s="3" customFormat="1" ht="12.75">
      <c r="A176" s="87"/>
      <c r="B176" s="3" t="s">
        <v>54</v>
      </c>
      <c r="H176" s="3" t="s">
        <v>28</v>
      </c>
      <c r="J176" s="9">
        <f t="shared" si="19"/>
        <v>0</v>
      </c>
      <c r="K176" s="10"/>
      <c r="L176" s="21">
        <f>'Overige opbrengsten'!L108</f>
        <v>0</v>
      </c>
      <c r="M176" s="21">
        <f>'Overige opbrengsten'!M108</f>
        <v>0</v>
      </c>
      <c r="N176" s="21">
        <f>'Overige opbrengsten'!N108</f>
        <v>0</v>
      </c>
      <c r="O176" s="21">
        <f>'Overige opbrengsten'!O108</f>
        <v>0</v>
      </c>
      <c r="P176" s="21">
        <f>'Overige opbrengsten'!P108</f>
        <v>0</v>
      </c>
      <c r="Q176" s="21">
        <f>'Overige opbrengsten'!Q108</f>
        <v>0</v>
      </c>
      <c r="R176" s="21">
        <f>'Overige opbrengsten'!R108</f>
        <v>0</v>
      </c>
      <c r="S176" s="21">
        <f>'Overige opbrengsten'!S108</f>
        <v>0</v>
      </c>
      <c r="T176" s="21">
        <f>'Overige opbrengsten'!U108</f>
        <v>0</v>
      </c>
      <c r="U176" s="21">
        <f>'Overige opbrengsten'!V108</f>
        <v>0</v>
      </c>
      <c r="V176" s="21">
        <f>'Overige opbrengsten'!W108</f>
        <v>0</v>
      </c>
    </row>
    <row r="177" spans="1:25" s="3" customFormat="1" ht="12.75">
      <c r="A177" s="87"/>
      <c r="J177" s="10"/>
      <c r="K177" s="10"/>
      <c r="L177" s="10"/>
      <c r="M177" s="10"/>
      <c r="N177" s="10"/>
      <c r="O177" s="10"/>
      <c r="P177" s="10"/>
      <c r="Q177" s="10"/>
      <c r="R177" s="10"/>
      <c r="S177" s="10"/>
      <c r="T177" s="10"/>
      <c r="U177" s="10"/>
      <c r="V177" s="10"/>
    </row>
    <row r="178" spans="1:25" s="3" customFormat="1" ht="12.75">
      <c r="A178" s="87"/>
      <c r="B178" s="27" t="s">
        <v>194</v>
      </c>
      <c r="J178" s="10"/>
      <c r="K178" s="10"/>
      <c r="L178" s="10"/>
      <c r="M178" s="10"/>
      <c r="N178" s="10"/>
      <c r="O178" s="10"/>
      <c r="P178" s="10"/>
      <c r="Q178" s="10"/>
      <c r="R178" s="10"/>
      <c r="S178" s="10"/>
      <c r="T178" s="10"/>
      <c r="U178" s="10"/>
      <c r="V178" s="10"/>
    </row>
    <row r="179" spans="1:25" s="3" customFormat="1" ht="12.75">
      <c r="A179" s="87"/>
      <c r="B179" s="28" t="s">
        <v>198</v>
      </c>
      <c r="H179" s="3" t="s">
        <v>28</v>
      </c>
      <c r="J179" s="9">
        <f>SUM(L179:S179)</f>
        <v>981639.18999999983</v>
      </c>
      <c r="K179" s="10"/>
      <c r="L179" s="21">
        <f>'Overige opbrengsten'!L114</f>
        <v>16015.4</v>
      </c>
      <c r="M179" s="21">
        <f>'Overige opbrengsten'!M114</f>
        <v>0</v>
      </c>
      <c r="N179" s="21">
        <f>'Overige opbrengsten'!N114</f>
        <v>0</v>
      </c>
      <c r="O179" s="21">
        <f>'Overige opbrengsten'!O114</f>
        <v>15213.3</v>
      </c>
      <c r="P179" s="21">
        <f>'Overige opbrengsten'!P114</f>
        <v>1720.68</v>
      </c>
      <c r="Q179" s="21">
        <f>'Overige opbrengsten'!Q114</f>
        <v>934276.99999999977</v>
      </c>
      <c r="R179" s="21">
        <f>'Overige opbrengsten'!R114</f>
        <v>0</v>
      </c>
      <c r="S179" s="21">
        <f>'Overige opbrengsten'!S114</f>
        <v>14412.810000000001</v>
      </c>
      <c r="T179" s="21">
        <f>'Overige opbrengsten'!U114</f>
        <v>0</v>
      </c>
      <c r="U179" s="21">
        <f>'Overige opbrengsten'!V114</f>
        <v>0</v>
      </c>
      <c r="V179" s="21">
        <f>'Overige opbrengsten'!W114</f>
        <v>0</v>
      </c>
    </row>
    <row r="180" spans="1:25" s="3" customFormat="1" ht="12.75">
      <c r="A180" s="87"/>
      <c r="J180" s="10"/>
      <c r="K180" s="10"/>
      <c r="L180" s="10"/>
      <c r="M180" s="10"/>
      <c r="N180" s="10"/>
      <c r="O180" s="10"/>
      <c r="P180" s="10"/>
      <c r="Q180" s="10"/>
      <c r="R180" s="10"/>
      <c r="S180" s="10"/>
      <c r="T180" s="10"/>
      <c r="U180" s="10"/>
      <c r="V180" s="10"/>
    </row>
    <row r="181" spans="1:25" s="3" customFormat="1" ht="12.75">
      <c r="A181" s="87"/>
      <c r="B181" s="8" t="s">
        <v>44</v>
      </c>
      <c r="J181" s="10"/>
      <c r="K181" s="10"/>
      <c r="L181" s="10"/>
      <c r="M181" s="10"/>
      <c r="N181" s="10"/>
      <c r="O181" s="10"/>
      <c r="P181" s="10"/>
      <c r="Q181" s="10"/>
      <c r="R181" s="10"/>
      <c r="S181" s="10"/>
      <c r="T181" s="10"/>
      <c r="U181" s="10"/>
      <c r="V181" s="10"/>
    </row>
    <row r="182" spans="1:25" s="3" customFormat="1" ht="12.75">
      <c r="A182" s="87"/>
      <c r="B182" s="3" t="s">
        <v>45</v>
      </c>
      <c r="H182" s="3" t="s">
        <v>28</v>
      </c>
      <c r="J182" s="9">
        <f>SUM(L182:S182)</f>
        <v>1207622.6199999999</v>
      </c>
      <c r="K182" s="10"/>
      <c r="L182" s="21">
        <f>'Overige opbrengsten'!L88</f>
        <v>100204.23999999993</v>
      </c>
      <c r="M182" s="21">
        <f>'Overige opbrengsten'!M88</f>
        <v>0</v>
      </c>
      <c r="N182" s="21">
        <f>'Overige opbrengsten'!N88</f>
        <v>320736.13</v>
      </c>
      <c r="O182" s="21">
        <f>'Overige opbrengsten'!O88</f>
        <v>0</v>
      </c>
      <c r="P182" s="21">
        <f>'Overige opbrengsten'!P88</f>
        <v>12813.9</v>
      </c>
      <c r="Q182" s="21">
        <f>'Overige opbrengsten'!Q88</f>
        <v>608346.03999999992</v>
      </c>
      <c r="R182" s="21">
        <f>'Overige opbrengsten'!R88</f>
        <v>13424.330000000005</v>
      </c>
      <c r="S182" s="21">
        <f>'Overige opbrengsten'!S88</f>
        <v>152097.98000000001</v>
      </c>
      <c r="T182" s="21">
        <f>'Overige opbrengsten'!U88</f>
        <v>0</v>
      </c>
      <c r="U182" s="21">
        <f>'Overige opbrengsten'!V88</f>
        <v>0</v>
      </c>
      <c r="V182" s="21">
        <f>'Overige opbrengsten'!W88</f>
        <v>0</v>
      </c>
    </row>
    <row r="183" spans="1:25" s="3" customFormat="1" ht="12.75">
      <c r="A183" s="87"/>
      <c r="B183" s="3" t="s">
        <v>46</v>
      </c>
      <c r="H183" s="3" t="s">
        <v>28</v>
      </c>
      <c r="J183" s="9">
        <f>SUM(L183:S183)</f>
        <v>60148646.333105907</v>
      </c>
      <c r="K183" s="10"/>
      <c r="L183" s="21">
        <f>'Overige opbrengsten'!L96</f>
        <v>100204.23999999993</v>
      </c>
      <c r="M183" s="21">
        <f>'Overige opbrengsten'!M96</f>
        <v>210000</v>
      </c>
      <c r="N183" s="21">
        <f>'Overige opbrengsten'!N96</f>
        <v>39644549.525907293</v>
      </c>
      <c r="O183" s="21">
        <f>'Overige opbrengsten'!O96</f>
        <v>10924535.289999999</v>
      </c>
      <c r="P183" s="21">
        <f>'Overige opbrengsten'!P96</f>
        <v>46284.6</v>
      </c>
      <c r="Q183" s="21">
        <f>'Overige opbrengsten'!Q96</f>
        <v>6858465.5797066754</v>
      </c>
      <c r="R183" s="21">
        <f>'Overige opbrengsten'!R96</f>
        <v>697796.10749193083</v>
      </c>
      <c r="S183" s="21">
        <f>'Overige opbrengsten'!S96</f>
        <v>1666810.99</v>
      </c>
      <c r="T183" s="21">
        <f>'Overige opbrengsten'!U96</f>
        <v>1006823.2</v>
      </c>
      <c r="U183" s="21">
        <f>'Overige opbrengsten'!V96</f>
        <v>323148.88024961151</v>
      </c>
      <c r="V183" s="21">
        <f>'Overige opbrengsten'!W96</f>
        <v>0</v>
      </c>
    </row>
    <row r="184" spans="1:25" s="3" customFormat="1" ht="12.75">
      <c r="A184" s="87"/>
      <c r="J184" s="10"/>
      <c r="K184" s="10"/>
      <c r="L184" s="10"/>
      <c r="M184" s="10"/>
      <c r="N184" s="10"/>
      <c r="O184" s="10"/>
      <c r="P184" s="10"/>
      <c r="Q184" s="10"/>
      <c r="R184" s="10"/>
      <c r="S184" s="10"/>
      <c r="T184" s="10"/>
      <c r="U184" s="10"/>
      <c r="V184" s="10"/>
    </row>
    <row r="185" spans="1:25" s="3" customFormat="1" ht="12.75">
      <c r="A185" s="87"/>
      <c r="B185" s="8" t="s">
        <v>47</v>
      </c>
      <c r="J185" s="10"/>
      <c r="K185" s="10"/>
      <c r="L185" s="10"/>
      <c r="M185" s="10"/>
      <c r="N185" s="10"/>
      <c r="O185" s="10"/>
      <c r="P185" s="10"/>
      <c r="Q185" s="10"/>
      <c r="R185" s="10"/>
      <c r="S185" s="10"/>
      <c r="T185" s="10"/>
      <c r="U185" s="10"/>
      <c r="V185" s="10"/>
    </row>
    <row r="186" spans="1:25" s="3" customFormat="1" ht="12.75">
      <c r="A186" s="87"/>
      <c r="B186" s="3" t="s">
        <v>45</v>
      </c>
      <c r="H186" s="3" t="s">
        <v>28</v>
      </c>
      <c r="J186" s="9">
        <f>SUM(L186:S186)</f>
        <v>1140155.888237386</v>
      </c>
      <c r="K186" s="10"/>
      <c r="L186" s="21">
        <f>'Overige opbrengsten'!L72</f>
        <v>32737.508237386057</v>
      </c>
      <c r="M186" s="21">
        <f>'Overige opbrengsten'!M72</f>
        <v>0</v>
      </c>
      <c r="N186" s="21">
        <f>'Overige opbrengsten'!N72</f>
        <v>320736.13</v>
      </c>
      <c r="O186" s="21">
        <f>'Overige opbrengsten'!O72</f>
        <v>0</v>
      </c>
      <c r="P186" s="21">
        <f>'Overige opbrengsten'!P72</f>
        <v>12813.9</v>
      </c>
      <c r="Q186" s="21">
        <f>'Overige opbrengsten'!Q72</f>
        <v>608346.03999999992</v>
      </c>
      <c r="R186" s="21">
        <f>'Overige opbrengsten'!R72</f>
        <v>13424.330000000005</v>
      </c>
      <c r="S186" s="21">
        <f>'Overige opbrengsten'!S72</f>
        <v>152097.98000000001</v>
      </c>
      <c r="T186" s="21">
        <f>'Overige opbrengsten'!U72</f>
        <v>0</v>
      </c>
      <c r="U186" s="21">
        <f>'Overige opbrengsten'!V72</f>
        <v>0</v>
      </c>
      <c r="V186" s="21">
        <f>'Overige opbrengsten'!W72</f>
        <v>0</v>
      </c>
    </row>
    <row r="187" spans="1:25" s="3" customFormat="1" ht="12.75">
      <c r="A187" s="87"/>
      <c r="J187" s="10"/>
      <c r="K187" s="10"/>
      <c r="L187" s="10"/>
      <c r="M187" s="10"/>
      <c r="N187" s="10"/>
      <c r="O187" s="10"/>
      <c r="P187" s="10"/>
      <c r="Q187" s="10"/>
      <c r="R187" s="10"/>
      <c r="S187" s="10"/>
      <c r="T187" s="10"/>
      <c r="U187" s="10"/>
      <c r="V187" s="10"/>
    </row>
    <row r="188" spans="1:25" s="3" customFormat="1" ht="12.75">
      <c r="A188" s="87"/>
      <c r="J188" s="10"/>
      <c r="K188" s="10"/>
      <c r="L188" s="10"/>
      <c r="M188" s="10"/>
      <c r="N188" s="10"/>
      <c r="O188" s="10"/>
      <c r="P188" s="10"/>
      <c r="Q188" s="10"/>
      <c r="R188" s="10"/>
      <c r="S188" s="10"/>
      <c r="T188" s="10"/>
      <c r="U188" s="10"/>
      <c r="V188" s="10"/>
    </row>
    <row r="189" spans="1:25" s="3" customFormat="1" ht="12.75">
      <c r="A189" s="87"/>
      <c r="B189" s="8" t="s">
        <v>55</v>
      </c>
      <c r="J189" s="10"/>
      <c r="K189" s="10"/>
      <c r="L189" s="10"/>
      <c r="M189" s="10"/>
      <c r="N189" s="10"/>
      <c r="O189" s="10"/>
      <c r="P189" s="10"/>
      <c r="Q189" s="10"/>
      <c r="R189" s="10"/>
      <c r="S189" s="10"/>
      <c r="T189" s="10"/>
      <c r="U189" s="10"/>
      <c r="V189" s="10"/>
    </row>
    <row r="190" spans="1:25" s="3" customFormat="1" ht="12.75">
      <c r="A190" s="87"/>
      <c r="J190" s="10"/>
      <c r="K190" s="10"/>
      <c r="L190" s="10"/>
      <c r="M190" s="10"/>
      <c r="N190" s="10"/>
      <c r="O190" s="10"/>
      <c r="P190" s="10"/>
      <c r="Q190" s="10"/>
      <c r="R190" s="10"/>
      <c r="S190" s="10"/>
      <c r="T190" s="10"/>
      <c r="U190" s="10"/>
      <c r="V190" s="10"/>
    </row>
    <row r="191" spans="1:25" s="3" customFormat="1" ht="12.75">
      <c r="A191" s="87"/>
      <c r="B191" s="8" t="s">
        <v>8</v>
      </c>
      <c r="J191" s="10"/>
      <c r="K191" s="10"/>
      <c r="L191" s="10"/>
      <c r="M191" s="10"/>
      <c r="N191" s="10"/>
      <c r="O191" s="10"/>
      <c r="P191" s="10"/>
      <c r="Q191" s="10"/>
      <c r="R191" s="10"/>
      <c r="S191" s="10"/>
      <c r="T191" s="10"/>
      <c r="U191" s="10"/>
      <c r="V191" s="10"/>
    </row>
    <row r="192" spans="1:25" s="3" customFormat="1" ht="12.75">
      <c r="A192" s="87"/>
      <c r="B192" s="3" t="s">
        <v>9</v>
      </c>
      <c r="H192" s="3" t="s">
        <v>28</v>
      </c>
      <c r="J192" s="9">
        <f>SUM(L192:S192)</f>
        <v>352832329.41871083</v>
      </c>
      <c r="K192" s="10"/>
      <c r="L192" s="9">
        <f t="shared" ref="L192:V192" si="20">L118+L143</f>
        <v>0</v>
      </c>
      <c r="M192" s="9">
        <f t="shared" si="20"/>
        <v>8215832.6700000409</v>
      </c>
      <c r="N192" s="9">
        <f t="shared" si="20"/>
        <v>144632282.83000001</v>
      </c>
      <c r="O192" s="9">
        <f t="shared" si="20"/>
        <v>124350203.34999999</v>
      </c>
      <c r="P192" s="9">
        <f t="shared" si="20"/>
        <v>0</v>
      </c>
      <c r="Q192" s="9">
        <f t="shared" si="20"/>
        <v>67749079.479999989</v>
      </c>
      <c r="R192" s="9">
        <f t="shared" si="20"/>
        <v>7884931.0887107914</v>
      </c>
      <c r="S192" s="9">
        <f t="shared" si="20"/>
        <v>0</v>
      </c>
      <c r="T192" s="9">
        <f t="shared" si="20"/>
        <v>4354753.2083242899</v>
      </c>
      <c r="U192" s="9">
        <f t="shared" si="20"/>
        <v>67749079.479999989</v>
      </c>
      <c r="V192" s="9">
        <f t="shared" si="20"/>
        <v>0</v>
      </c>
      <c r="Y192" s="79" t="s">
        <v>268</v>
      </c>
    </row>
    <row r="193" spans="1:22" s="3" customFormat="1" ht="12.75">
      <c r="A193" s="87"/>
      <c r="B193" s="3" t="s">
        <v>10</v>
      </c>
      <c r="H193" s="3" t="s">
        <v>28</v>
      </c>
      <c r="J193" s="9">
        <f>SUM(L193:S193)</f>
        <v>18339044.891416967</v>
      </c>
      <c r="K193" s="10"/>
      <c r="L193" s="9">
        <f t="shared" ref="L193:V193" si="21">L119+L144</f>
        <v>3296524.649999999</v>
      </c>
      <c r="M193" s="9">
        <f t="shared" si="21"/>
        <v>0</v>
      </c>
      <c r="N193" s="9">
        <f t="shared" si="21"/>
        <v>1011085.9479199999</v>
      </c>
      <c r="O193" s="9">
        <f t="shared" si="21"/>
        <v>775274.64833333343</v>
      </c>
      <c r="P193" s="9">
        <f t="shared" si="21"/>
        <v>2088919.51</v>
      </c>
      <c r="Q193" s="9">
        <f t="shared" si="21"/>
        <v>4013382.7863636371</v>
      </c>
      <c r="R193" s="9">
        <f t="shared" si="21"/>
        <v>203863.00879999885</v>
      </c>
      <c r="S193" s="9">
        <f t="shared" si="21"/>
        <v>6949994.3399999999</v>
      </c>
      <c r="T193" s="9">
        <f t="shared" si="21"/>
        <v>677273.73999999987</v>
      </c>
      <c r="U193" s="9">
        <f t="shared" si="21"/>
        <v>0</v>
      </c>
      <c r="V193" s="9">
        <f t="shared" si="21"/>
        <v>0</v>
      </c>
    </row>
    <row r="194" spans="1:22" s="3" customFormat="1" ht="12.75">
      <c r="A194" s="87"/>
      <c r="B194" s="3" t="s">
        <v>11</v>
      </c>
      <c r="H194" s="3" t="s">
        <v>28</v>
      </c>
      <c r="J194" s="9">
        <f>SUM(L194:S194)</f>
        <v>200698763.36494064</v>
      </c>
      <c r="K194" s="10"/>
      <c r="L194" s="9">
        <f>L120+L145-(SUM(L168:L169)+L179)</f>
        <v>935462.21</v>
      </c>
      <c r="M194" s="9">
        <f t="shared" ref="M194:V194" si="22">M120+M145-(SUM(M168:M169)+M179)</f>
        <v>5238171.5900000017</v>
      </c>
      <c r="N194" s="9">
        <f t="shared" si="22"/>
        <v>77203343.547940299</v>
      </c>
      <c r="O194" s="9">
        <f t="shared" si="22"/>
        <v>68013273.800548807</v>
      </c>
      <c r="P194" s="9">
        <f t="shared" si="22"/>
        <v>439695.48</v>
      </c>
      <c r="Q194" s="9">
        <f t="shared" si="22"/>
        <v>44018059.340000004</v>
      </c>
      <c r="R194" s="9">
        <f t="shared" si="22"/>
        <v>3504335.5752015337</v>
      </c>
      <c r="S194" s="9">
        <f t="shared" si="22"/>
        <v>1346421.8212499998</v>
      </c>
      <c r="T194" s="9">
        <f t="shared" si="22"/>
        <v>1823382.2764074369</v>
      </c>
      <c r="U194" s="9">
        <f t="shared" si="22"/>
        <v>2045693.04</v>
      </c>
      <c r="V194" s="9">
        <f t="shared" si="22"/>
        <v>0</v>
      </c>
    </row>
    <row r="195" spans="1:22" s="3" customFormat="1" ht="12.75">
      <c r="A195" s="87"/>
      <c r="B195" s="3" t="s">
        <v>12</v>
      </c>
      <c r="H195" s="3" t="s">
        <v>28</v>
      </c>
      <c r="J195" s="9">
        <f>SUM(L195:S195)</f>
        <v>4966.5099999999993</v>
      </c>
      <c r="K195" s="10"/>
      <c r="L195" s="9">
        <f t="shared" ref="L195:V195" si="23">L121+L146</f>
        <v>4966.5099999999993</v>
      </c>
      <c r="M195" s="9">
        <f t="shared" si="23"/>
        <v>0</v>
      </c>
      <c r="N195" s="9">
        <f t="shared" si="23"/>
        <v>0</v>
      </c>
      <c r="O195" s="9">
        <f t="shared" si="23"/>
        <v>0</v>
      </c>
      <c r="P195" s="9">
        <f t="shared" si="23"/>
        <v>0</v>
      </c>
      <c r="Q195" s="9">
        <f t="shared" si="23"/>
        <v>0</v>
      </c>
      <c r="R195" s="9">
        <f t="shared" si="23"/>
        <v>0</v>
      </c>
      <c r="S195" s="9">
        <f t="shared" si="23"/>
        <v>0</v>
      </c>
      <c r="T195" s="9">
        <f t="shared" si="23"/>
        <v>0</v>
      </c>
      <c r="U195" s="9">
        <f t="shared" si="23"/>
        <v>0</v>
      </c>
      <c r="V195" s="9">
        <f t="shared" si="23"/>
        <v>0</v>
      </c>
    </row>
    <row r="196" spans="1:22" s="3" customFormat="1" ht="12.75">
      <c r="A196" s="87"/>
      <c r="J196" s="10"/>
      <c r="K196" s="10"/>
      <c r="L196" s="10"/>
      <c r="M196" s="10"/>
      <c r="N196" s="10"/>
      <c r="O196" s="10"/>
      <c r="P196" s="10"/>
      <c r="Q196" s="10"/>
      <c r="R196" s="10"/>
      <c r="S196" s="10"/>
      <c r="T196" s="10"/>
      <c r="U196" s="10"/>
      <c r="V196" s="10"/>
    </row>
    <row r="197" spans="1:22" s="3" customFormat="1" ht="12.75">
      <c r="A197" s="87"/>
      <c r="B197" s="8" t="s">
        <v>13</v>
      </c>
      <c r="J197" s="10"/>
      <c r="K197" s="10"/>
      <c r="L197" s="10"/>
      <c r="M197" s="10"/>
      <c r="N197" s="10"/>
      <c r="O197" s="10"/>
      <c r="P197" s="10"/>
      <c r="Q197" s="10"/>
      <c r="R197" s="10"/>
      <c r="S197" s="10"/>
      <c r="T197" s="10"/>
      <c r="U197" s="10"/>
      <c r="V197" s="10"/>
    </row>
    <row r="198" spans="1:22" s="3" customFormat="1" ht="12.75">
      <c r="A198" s="87"/>
      <c r="B198" s="3" t="s">
        <v>14</v>
      </c>
      <c r="H198" s="3" t="s">
        <v>28</v>
      </c>
      <c r="J198" s="9">
        <f>SUM(L198:S198)</f>
        <v>797003508.78769135</v>
      </c>
      <c r="K198" s="10"/>
      <c r="L198" s="9">
        <f t="shared" ref="L198:V198" si="24">L124+L149-(L183-L182+L186+SUM(L170:L176))</f>
        <v>4688207.5548313688</v>
      </c>
      <c r="M198" s="9">
        <f t="shared" si="24"/>
        <v>24275786.949207671</v>
      </c>
      <c r="N198" s="9">
        <f t="shared" si="24"/>
        <v>199214211.84660077</v>
      </c>
      <c r="O198" s="9">
        <f t="shared" si="24"/>
        <v>353750586.50798327</v>
      </c>
      <c r="P198" s="9">
        <f t="shared" si="24"/>
        <v>1844517.94</v>
      </c>
      <c r="Q198" s="9">
        <f t="shared" si="24"/>
        <v>195407950.78298289</v>
      </c>
      <c r="R198" s="9">
        <f t="shared" si="24"/>
        <v>9706873.4573916961</v>
      </c>
      <c r="S198" s="9">
        <f t="shared" si="24"/>
        <v>8115373.7486937335</v>
      </c>
      <c r="T198" s="9">
        <f t="shared" si="24"/>
        <v>6021137.7999999998</v>
      </c>
      <c r="U198" s="9">
        <f t="shared" si="24"/>
        <v>-323148.88024961151</v>
      </c>
      <c r="V198" s="9">
        <f t="shared" si="24"/>
        <v>0</v>
      </c>
    </row>
    <row r="199" spans="1:22" s="3" customFormat="1" ht="12.75">
      <c r="A199" s="87"/>
      <c r="B199" s="3" t="s">
        <v>15</v>
      </c>
      <c r="H199" s="3" t="s">
        <v>28</v>
      </c>
      <c r="J199" s="9">
        <f>SUM(L199:S199)</f>
        <v>18293998.096575361</v>
      </c>
      <c r="K199" s="10"/>
      <c r="L199" s="9">
        <f t="shared" ref="L199:V199" si="25">L125+L150</f>
        <v>0</v>
      </c>
      <c r="M199" s="9">
        <f t="shared" si="25"/>
        <v>0</v>
      </c>
      <c r="N199" s="9">
        <f t="shared" si="25"/>
        <v>0</v>
      </c>
      <c r="O199" s="9">
        <f t="shared" si="25"/>
        <v>0</v>
      </c>
      <c r="P199" s="9">
        <f t="shared" si="25"/>
        <v>489713.73</v>
      </c>
      <c r="Q199" s="9">
        <f t="shared" si="25"/>
        <v>17804284.36657536</v>
      </c>
      <c r="R199" s="9">
        <f t="shared" si="25"/>
        <v>0</v>
      </c>
      <c r="S199" s="9">
        <f t="shared" si="25"/>
        <v>0</v>
      </c>
      <c r="T199" s="9">
        <f t="shared" si="25"/>
        <v>0</v>
      </c>
      <c r="U199" s="9">
        <f t="shared" si="25"/>
        <v>5818154.0616568001</v>
      </c>
      <c r="V199" s="9">
        <f t="shared" si="25"/>
        <v>2160</v>
      </c>
    </row>
    <row r="200" spans="1:22" s="3" customFormat="1" ht="12.75">
      <c r="A200" s="87"/>
      <c r="J200" s="10"/>
      <c r="K200" s="10"/>
      <c r="L200" s="10"/>
      <c r="M200" s="10"/>
      <c r="N200" s="10"/>
      <c r="O200" s="10"/>
      <c r="P200" s="10"/>
      <c r="Q200" s="10"/>
      <c r="R200" s="10"/>
      <c r="S200" s="10"/>
      <c r="T200" s="10"/>
      <c r="U200" s="10"/>
      <c r="V200" s="10"/>
    </row>
    <row r="201" spans="1:22" s="3" customFormat="1" ht="12.75">
      <c r="A201" s="87"/>
      <c r="B201" s="8" t="s">
        <v>16</v>
      </c>
      <c r="J201" s="10"/>
      <c r="K201" s="10"/>
      <c r="L201" s="10"/>
      <c r="M201" s="10"/>
      <c r="N201" s="10"/>
      <c r="O201" s="10"/>
      <c r="P201" s="10"/>
      <c r="Q201" s="10"/>
      <c r="R201" s="10"/>
      <c r="S201" s="10"/>
      <c r="T201" s="10"/>
      <c r="U201" s="10"/>
      <c r="V201" s="10"/>
    </row>
    <row r="202" spans="1:22" s="3" customFormat="1" ht="12.75">
      <c r="A202" s="87"/>
      <c r="B202" s="3" t="s">
        <v>17</v>
      </c>
      <c r="H202" s="3" t="s">
        <v>28</v>
      </c>
      <c r="J202" s="9">
        <f>SUM(L202:S202)</f>
        <v>58078948.739999995</v>
      </c>
      <c r="K202" s="10"/>
      <c r="L202" s="9">
        <f t="shared" ref="L202:V202" si="26">L128+L153</f>
        <v>0</v>
      </c>
      <c r="M202" s="9">
        <f t="shared" si="26"/>
        <v>991640</v>
      </c>
      <c r="N202" s="9">
        <f t="shared" si="26"/>
        <v>0</v>
      </c>
      <c r="O202" s="9">
        <f t="shared" si="26"/>
        <v>41444801.299999997</v>
      </c>
      <c r="P202" s="9">
        <f t="shared" si="26"/>
        <v>0</v>
      </c>
      <c r="Q202" s="9">
        <f t="shared" si="26"/>
        <v>15610776</v>
      </c>
      <c r="R202" s="9">
        <f t="shared" si="26"/>
        <v>31731.439999999999</v>
      </c>
      <c r="S202" s="9">
        <f t="shared" si="26"/>
        <v>0</v>
      </c>
      <c r="T202" s="9">
        <f t="shared" si="26"/>
        <v>0</v>
      </c>
      <c r="U202" s="9">
        <f t="shared" si="26"/>
        <v>265957.19999999995</v>
      </c>
      <c r="V202" s="9">
        <f t="shared" si="26"/>
        <v>0</v>
      </c>
    </row>
    <row r="203" spans="1:22" s="3" customFormat="1" ht="12.75">
      <c r="A203" s="87"/>
      <c r="B203" s="3" t="s">
        <v>18</v>
      </c>
      <c r="H203" s="3" t="s">
        <v>28</v>
      </c>
      <c r="J203" s="9">
        <f>SUM(L203:S203)</f>
        <v>1481418.5229985795</v>
      </c>
      <c r="K203" s="10"/>
      <c r="L203" s="9">
        <f t="shared" ref="L203:V203" si="27">L129+L154</f>
        <v>551.77859999999998</v>
      </c>
      <c r="M203" s="9">
        <f t="shared" si="27"/>
        <v>0</v>
      </c>
      <c r="N203" s="9">
        <f t="shared" si="27"/>
        <v>1480866.7443985795</v>
      </c>
      <c r="O203" s="9">
        <f t="shared" si="27"/>
        <v>0</v>
      </c>
      <c r="P203" s="9">
        <f t="shared" si="27"/>
        <v>0</v>
      </c>
      <c r="Q203" s="9">
        <f t="shared" si="27"/>
        <v>0</v>
      </c>
      <c r="R203" s="9">
        <f t="shared" si="27"/>
        <v>0</v>
      </c>
      <c r="S203" s="9">
        <f t="shared" si="27"/>
        <v>0</v>
      </c>
      <c r="T203" s="9">
        <f t="shared" si="27"/>
        <v>0</v>
      </c>
      <c r="U203" s="9">
        <f t="shared" si="27"/>
        <v>0</v>
      </c>
      <c r="V203" s="9">
        <f t="shared" si="27"/>
        <v>0</v>
      </c>
    </row>
    <row r="204" spans="1:22" s="3" customFormat="1" ht="12.75">
      <c r="A204" s="87"/>
      <c r="J204" s="10"/>
      <c r="K204" s="10"/>
      <c r="L204" s="10"/>
      <c r="M204" s="10"/>
      <c r="N204" s="10"/>
      <c r="O204" s="10"/>
      <c r="P204" s="10"/>
      <c r="Q204" s="10"/>
      <c r="R204" s="10"/>
      <c r="S204" s="10"/>
      <c r="T204" s="10"/>
      <c r="U204" s="10"/>
      <c r="V204" s="10"/>
    </row>
    <row r="205" spans="1:22" s="3" customFormat="1" ht="12.75">
      <c r="A205" s="87"/>
      <c r="B205" s="8" t="s">
        <v>19</v>
      </c>
      <c r="J205" s="10"/>
      <c r="K205" s="10"/>
      <c r="L205" s="10"/>
      <c r="M205" s="10"/>
      <c r="N205" s="10"/>
      <c r="O205" s="10"/>
      <c r="P205" s="10"/>
      <c r="Q205" s="10"/>
      <c r="R205" s="10"/>
      <c r="S205" s="10"/>
      <c r="T205" s="10"/>
      <c r="U205" s="10"/>
      <c r="V205" s="10"/>
    </row>
    <row r="206" spans="1:22" s="3" customFormat="1" ht="12.75">
      <c r="A206" s="87"/>
      <c r="B206" s="3" t="s">
        <v>20</v>
      </c>
      <c r="H206" s="3" t="s">
        <v>28</v>
      </c>
      <c r="J206" s="9">
        <f>SUM(L206:S206)</f>
        <v>6311394.7387499996</v>
      </c>
      <c r="K206" s="10"/>
      <c r="L206" s="9">
        <f t="shared" ref="L206:V206" si="28">L132+L157</f>
        <v>0</v>
      </c>
      <c r="M206" s="9">
        <f t="shared" si="28"/>
        <v>0</v>
      </c>
      <c r="N206" s="9">
        <f t="shared" si="28"/>
        <v>1559000</v>
      </c>
      <c r="O206" s="9">
        <f t="shared" si="28"/>
        <v>377716</v>
      </c>
      <c r="P206" s="9">
        <f t="shared" si="28"/>
        <v>5963.29</v>
      </c>
      <c r="Q206" s="9">
        <f t="shared" si="28"/>
        <v>4000433</v>
      </c>
      <c r="R206" s="9">
        <f t="shared" si="28"/>
        <v>0</v>
      </c>
      <c r="S206" s="9">
        <f t="shared" si="28"/>
        <v>368282.44874999998</v>
      </c>
      <c r="T206" s="9">
        <f t="shared" si="28"/>
        <v>0</v>
      </c>
      <c r="U206" s="9">
        <f t="shared" si="28"/>
        <v>0</v>
      </c>
      <c r="V206" s="9">
        <f t="shared" si="28"/>
        <v>0</v>
      </c>
    </row>
    <row r="207" spans="1:22" s="3" customFormat="1" ht="12.75">
      <c r="A207" s="87"/>
      <c r="B207" s="3" t="s">
        <v>21</v>
      </c>
      <c r="H207" s="3" t="s">
        <v>28</v>
      </c>
      <c r="J207" s="9">
        <f>SUM(L207:S207)</f>
        <v>289953.94998586364</v>
      </c>
      <c r="K207" s="10"/>
      <c r="L207" s="9">
        <f t="shared" ref="L207:V207" si="29">L133+L158</f>
        <v>0</v>
      </c>
      <c r="M207" s="9">
        <f t="shared" si="29"/>
        <v>0</v>
      </c>
      <c r="N207" s="9">
        <f t="shared" si="29"/>
        <v>209173.208753076</v>
      </c>
      <c r="O207" s="9">
        <f t="shared" si="29"/>
        <v>0</v>
      </c>
      <c r="P207" s="9">
        <f t="shared" si="29"/>
        <v>-6631.57</v>
      </c>
      <c r="Q207" s="9">
        <f t="shared" si="29"/>
        <v>77271.368429398106</v>
      </c>
      <c r="R207" s="9">
        <f t="shared" si="29"/>
        <v>0</v>
      </c>
      <c r="S207" s="9">
        <f t="shared" si="29"/>
        <v>10140.9428033895</v>
      </c>
      <c r="T207" s="9">
        <f t="shared" si="29"/>
        <v>0</v>
      </c>
      <c r="U207" s="9">
        <f t="shared" si="29"/>
        <v>0</v>
      </c>
      <c r="V207" s="9">
        <f t="shared" si="29"/>
        <v>0</v>
      </c>
    </row>
    <row r="208" spans="1:22" s="3" customFormat="1" ht="12.75">
      <c r="A208" s="87"/>
      <c r="B208" s="3" t="s">
        <v>22</v>
      </c>
      <c r="H208" s="3" t="s">
        <v>28</v>
      </c>
      <c r="J208" s="9">
        <f>SUM(L208:S208)</f>
        <v>1838395.9156653315</v>
      </c>
      <c r="K208" s="10"/>
      <c r="L208" s="9">
        <f t="shared" ref="L208:V208" si="30">L134+L159</f>
        <v>0</v>
      </c>
      <c r="M208" s="9">
        <f t="shared" si="30"/>
        <v>0</v>
      </c>
      <c r="N208" s="9">
        <f t="shared" si="30"/>
        <v>291978.37168967264</v>
      </c>
      <c r="O208" s="9">
        <f t="shared" si="30"/>
        <v>938649.75574271812</v>
      </c>
      <c r="P208" s="9">
        <f t="shared" si="30"/>
        <v>4597.8700000000008</v>
      </c>
      <c r="Q208" s="9">
        <f t="shared" si="30"/>
        <v>343546.291588575</v>
      </c>
      <c r="R208" s="9">
        <f t="shared" si="30"/>
        <v>190042.84</v>
      </c>
      <c r="S208" s="9">
        <f t="shared" si="30"/>
        <v>69580.786644365638</v>
      </c>
      <c r="T208" s="9">
        <f t="shared" si="30"/>
        <v>0</v>
      </c>
      <c r="U208" s="9">
        <f t="shared" si="30"/>
        <v>0</v>
      </c>
      <c r="V208" s="9">
        <f t="shared" si="30"/>
        <v>0</v>
      </c>
    </row>
    <row r="209" spans="1:25" s="3" customFormat="1" ht="12.75">
      <c r="A209" s="87"/>
      <c r="B209" s="3" t="s">
        <v>23</v>
      </c>
      <c r="H209" s="3" t="s">
        <v>28</v>
      </c>
      <c r="J209" s="9">
        <f>SUM(L209:S209)</f>
        <v>17435206.660902489</v>
      </c>
      <c r="K209" s="10"/>
      <c r="L209" s="9">
        <f t="shared" ref="L209:V209" si="31">L135+L160</f>
        <v>0</v>
      </c>
      <c r="M209" s="9">
        <f t="shared" si="31"/>
        <v>-16957.805764429053</v>
      </c>
      <c r="N209" s="9">
        <f t="shared" si="31"/>
        <v>3858468.3415098139</v>
      </c>
      <c r="O209" s="9">
        <f t="shared" si="31"/>
        <v>13160464.142513096</v>
      </c>
      <c r="P209" s="9">
        <f t="shared" si="31"/>
        <v>29747.040000000001</v>
      </c>
      <c r="Q209" s="9">
        <f t="shared" si="31"/>
        <v>174642.41007264235</v>
      </c>
      <c r="R209" s="9">
        <f t="shared" si="31"/>
        <v>25970</v>
      </c>
      <c r="S209" s="9">
        <f t="shared" si="31"/>
        <v>202872.53257136588</v>
      </c>
      <c r="T209" s="9">
        <f t="shared" si="31"/>
        <v>0</v>
      </c>
      <c r="U209" s="9">
        <f t="shared" si="31"/>
        <v>0</v>
      </c>
      <c r="V209" s="9">
        <f t="shared" si="31"/>
        <v>0</v>
      </c>
    </row>
    <row r="210" spans="1:25" s="3" customFormat="1" ht="12.75">
      <c r="A210" s="87"/>
      <c r="J210" s="61"/>
      <c r="K210" s="61"/>
      <c r="L210" s="61"/>
      <c r="M210" s="61"/>
      <c r="N210" s="61"/>
      <c r="O210" s="61"/>
      <c r="P210" s="61"/>
      <c r="Q210" s="61"/>
      <c r="R210" s="61"/>
      <c r="S210" s="61"/>
      <c r="T210" s="61"/>
      <c r="U210" s="61"/>
    </row>
    <row r="211" spans="1:25" s="3" customFormat="1" ht="12.75">
      <c r="A211" s="87"/>
      <c r="J211" s="10"/>
      <c r="K211" s="10"/>
      <c r="L211" s="10"/>
      <c r="M211" s="10"/>
      <c r="N211" s="10"/>
      <c r="O211" s="10"/>
      <c r="P211" s="10"/>
      <c r="Q211" s="10"/>
      <c r="R211" s="10"/>
      <c r="S211" s="10"/>
      <c r="T211" s="10"/>
      <c r="U211" s="10"/>
    </row>
    <row r="212" spans="1:25" s="3" customFormat="1" ht="12.75">
      <c r="A212" s="87"/>
      <c r="B212" s="17" t="s">
        <v>240</v>
      </c>
      <c r="J212" s="23"/>
      <c r="K212" s="23"/>
      <c r="L212" s="38" t="s">
        <v>357</v>
      </c>
      <c r="M212" s="38" t="s">
        <v>59</v>
      </c>
      <c r="N212" s="38" t="s">
        <v>2</v>
      </c>
      <c r="O212" s="38" t="s">
        <v>3</v>
      </c>
      <c r="P212" s="38" t="s">
        <v>4</v>
      </c>
      <c r="Q212" s="38" t="s">
        <v>5</v>
      </c>
      <c r="R212" s="38" t="s">
        <v>6</v>
      </c>
      <c r="S212" s="23"/>
      <c r="T212" s="10"/>
      <c r="U212" s="23"/>
      <c r="Y212" s="3" t="s">
        <v>256</v>
      </c>
    </row>
    <row r="213" spans="1:25" s="3" customFormat="1" ht="12.75">
      <c r="A213" s="87"/>
      <c r="J213" s="23"/>
      <c r="K213" s="23"/>
      <c r="L213" s="23"/>
      <c r="M213" s="23"/>
      <c r="N213" s="23"/>
      <c r="O213" s="23"/>
      <c r="P213" s="23"/>
      <c r="Q213" s="23"/>
      <c r="R213" s="23"/>
      <c r="S213" s="23"/>
      <c r="T213" s="10"/>
      <c r="U213" s="23"/>
    </row>
    <row r="214" spans="1:25" s="3" customFormat="1" ht="12.75">
      <c r="A214" s="87"/>
      <c r="B214" s="8" t="s">
        <v>241</v>
      </c>
      <c r="J214" s="23"/>
      <c r="K214" s="23"/>
      <c r="L214" s="23"/>
      <c r="M214" s="23"/>
      <c r="N214" s="23"/>
      <c r="O214" s="23"/>
      <c r="P214" s="23"/>
      <c r="Q214" s="23"/>
      <c r="R214" s="23"/>
      <c r="S214" s="23"/>
      <c r="T214" s="10"/>
      <c r="U214" s="23"/>
    </row>
    <row r="215" spans="1:25" s="3" customFormat="1" ht="12.75">
      <c r="A215" s="87"/>
      <c r="B215" s="25" t="s">
        <v>196</v>
      </c>
      <c r="D215" s="25" t="s">
        <v>260</v>
      </c>
      <c r="H215" s="3" t="s">
        <v>28</v>
      </c>
      <c r="J215" s="9">
        <f>SUM(L215:R215)</f>
        <v>1034333329.8031039</v>
      </c>
      <c r="K215" s="23"/>
      <c r="L215" s="60">
        <f>SUM(L198:L199,L206:L209,L194:L195)</f>
        <v>5628636.2748313686</v>
      </c>
      <c r="M215" s="60">
        <f>SUM(M198:M199,M206:M209,M194:M195)</f>
        <v>29497000.733443245</v>
      </c>
      <c r="N215" s="60">
        <f>SUM(N198:N199,N206:N209,N194:N195)+SUM(S198:S199,S206:S209,S194:S195)-SUM(T198:T199,T206:T209,T194:T195)</f>
        <v>284604327.52079904</v>
      </c>
      <c r="O215" s="60">
        <f>SUM(O198:O199,O206:O209,O194:O195)+SUM(T198:T199,T206:T209,T194:T195)-SUM(V194:V195,V198:V199,V206:V209)</f>
        <v>444083050.28319532</v>
      </c>
      <c r="P215" s="60">
        <f>SUM(P198:P199,P206:P209,P194:P195)</f>
        <v>2807603.7800000003</v>
      </c>
      <c r="Q215" s="60">
        <f>SUM(Q198:Q199,Q206:Q209,Q194:Q195)-SUM(U194:U195,U198:U199,U206:U209)</f>
        <v>254285489.3382417</v>
      </c>
      <c r="R215" s="60">
        <f>SUM(R198:R199,R206:R209,R194:R195)</f>
        <v>13427221.87259323</v>
      </c>
      <c r="S215" s="23"/>
      <c r="T215" s="10"/>
      <c r="U215" s="23"/>
    </row>
    <row r="216" spans="1:25" s="3" customFormat="1" ht="12.75">
      <c r="A216" s="87"/>
      <c r="B216" s="25" t="s">
        <v>141</v>
      </c>
      <c r="H216" s="3" t="s">
        <v>28</v>
      </c>
      <c r="J216" s="9">
        <f t="shared" ref="J216:J217" si="32">SUM(L216:R216)</f>
        <v>374209921.39598978</v>
      </c>
      <c r="K216" s="12"/>
      <c r="L216" s="9">
        <f>SUM(L192:L193)</f>
        <v>3296524.649999999</v>
      </c>
      <c r="M216" s="9">
        <f>SUM(M192:M193)</f>
        <v>8215832.6700000409</v>
      </c>
      <c r="N216" s="9">
        <f>SUM(N192:N193)+SUM(S192:S193)-SUM(T192:T193)+N163</f>
        <v>140687234.04887578</v>
      </c>
      <c r="O216" s="9">
        <f>SUM(O192:O193)+SUM(T192:T193)+O163</f>
        <v>128895445.00927062</v>
      </c>
      <c r="P216" s="9">
        <f>SUM(P192:P193)</f>
        <v>2088919.51</v>
      </c>
      <c r="Q216" s="9">
        <f>SUM(Q192:Q193)+Q162</f>
        <v>82937171.410332486</v>
      </c>
      <c r="R216" s="9">
        <f>SUM(R192:R193)</f>
        <v>8088794.0975107905</v>
      </c>
      <c r="S216" s="23"/>
      <c r="T216" s="10"/>
      <c r="U216" s="23"/>
    </row>
    <row r="217" spans="1:25" s="3" customFormat="1" ht="12.75">
      <c r="A217" s="87"/>
      <c r="B217" s="25" t="s">
        <v>142</v>
      </c>
      <c r="D217" s="26"/>
      <c r="H217" s="3" t="s">
        <v>28</v>
      </c>
      <c r="J217" s="9">
        <f t="shared" si="32"/>
        <v>59294410.062998578</v>
      </c>
      <c r="K217" s="12"/>
      <c r="L217" s="9">
        <f>SUM(L202:L203)</f>
        <v>551.77859999999998</v>
      </c>
      <c r="M217" s="9">
        <f>SUM(M202:M203)</f>
        <v>991640</v>
      </c>
      <c r="N217" s="9">
        <f>SUM(N202:N203)+SUM(S202:S203)-SUM(T202:T203)</f>
        <v>1480866.7443985795</v>
      </c>
      <c r="O217" s="9">
        <f>SUM(O202:O203)+SUM(T202:T203)-SUM(V202:V203)</f>
        <v>41444801.299999997</v>
      </c>
      <c r="P217" s="9">
        <f>SUM(P202:P203)</f>
        <v>0</v>
      </c>
      <c r="Q217" s="9">
        <f>SUM(Q202:Q203)-SUM(U202:U203)</f>
        <v>15344818.800000001</v>
      </c>
      <c r="R217" s="9">
        <f>SUM(R202:R203)</f>
        <v>31731.439999999999</v>
      </c>
    </row>
    <row r="218" spans="1:25" s="3" customFormat="1" ht="12.75">
      <c r="A218" s="87"/>
      <c r="B218" s="25"/>
      <c r="D218" s="26"/>
      <c r="K218" s="12"/>
    </row>
    <row r="219" spans="1:25" s="3" customFormat="1" ht="12.75">
      <c r="A219" s="87"/>
      <c r="B219" s="8" t="s">
        <v>242</v>
      </c>
      <c r="J219" s="23"/>
      <c r="K219" s="23"/>
      <c r="L219" s="23"/>
      <c r="M219" s="23"/>
      <c r="N219" s="23"/>
      <c r="O219" s="23"/>
      <c r="P219" s="23"/>
      <c r="Q219" s="23"/>
      <c r="R219" s="23"/>
      <c r="S219" s="23"/>
      <c r="T219" s="10"/>
      <c r="U219" s="23"/>
    </row>
    <row r="220" spans="1:25" s="3" customFormat="1" ht="12.75">
      <c r="A220" s="87"/>
      <c r="B220" s="25" t="s">
        <v>196</v>
      </c>
      <c r="D220" s="25" t="s">
        <v>260</v>
      </c>
      <c r="H220" s="3" t="s">
        <v>28</v>
      </c>
      <c r="J220" s="9">
        <f>SUM(L220:R220)</f>
        <v>1041876188.0245111</v>
      </c>
      <c r="K220" s="23"/>
      <c r="L220" s="60">
        <f>SUM(L194:L195,L198:L199,L206:L209)</f>
        <v>5628636.2748313686</v>
      </c>
      <c r="M220" s="60">
        <f>SUM(M194:M195,M198:M199,M206:M209)</f>
        <v>29497000.733443245</v>
      </c>
      <c r="N220" s="60">
        <f>SUM(N194:N195,N198:N199,N206:N209)+SUM(S194:S195,S198:S199,S206:S209)-SUM(T194:T195,T198:T199,T206:T209,)</f>
        <v>284604327.52079904</v>
      </c>
      <c r="O220" s="60">
        <f>SUM(O194:O195,O206:O209,O198:O199)+SUM(T194:T195,T206:T209,T198:T199)</f>
        <v>444085210.28319532</v>
      </c>
      <c r="P220" s="60">
        <f>SUM(P194:P195,P206:P209,P198:P199)</f>
        <v>2807603.78</v>
      </c>
      <c r="Q220" s="60">
        <f>SUM(Q194:Q195,Q206:Q209,Q198:Q199)</f>
        <v>261826187.55964887</v>
      </c>
      <c r="R220" s="60">
        <f>SUM(R194:R195,R206:R209,R198:R199)</f>
        <v>13427221.87259323</v>
      </c>
      <c r="S220" s="23"/>
      <c r="T220" s="10"/>
      <c r="U220" s="23"/>
    </row>
    <row r="221" spans="1:25" s="3" customFormat="1" ht="12.75">
      <c r="B221" s="25"/>
      <c r="D221" s="26"/>
      <c r="K221" s="12"/>
    </row>
    <row r="222" spans="1:25" s="3" customFormat="1" ht="12.75">
      <c r="B222" s="8"/>
      <c r="J222" s="10"/>
      <c r="K222" s="10"/>
      <c r="L222" s="10"/>
      <c r="M222" s="10"/>
      <c r="N222" s="10"/>
      <c r="O222" s="10"/>
      <c r="P222" s="10"/>
      <c r="Q222" s="10"/>
      <c r="R222" s="10"/>
      <c r="S222" s="10"/>
      <c r="T222" s="10"/>
      <c r="U222" s="10"/>
    </row>
    <row r="223" spans="1:25" s="4" customFormat="1" ht="12.75">
      <c r="B223" s="4" t="s">
        <v>57</v>
      </c>
      <c r="J223" s="5"/>
      <c r="K223" s="5"/>
      <c r="L223" s="5"/>
      <c r="M223" s="5"/>
      <c r="N223" s="5"/>
      <c r="O223" s="5"/>
      <c r="P223" s="5"/>
      <c r="Q223" s="5"/>
      <c r="R223" s="5"/>
      <c r="S223" s="5"/>
      <c r="T223" s="5"/>
      <c r="U223" s="5"/>
    </row>
    <row r="224" spans="1:25" s="3" customFormat="1" ht="12.75">
      <c r="J224" s="10"/>
      <c r="K224" s="10"/>
      <c r="L224" s="10"/>
      <c r="M224" s="10"/>
      <c r="N224" s="10"/>
      <c r="O224" s="10"/>
      <c r="P224" s="10"/>
      <c r="Q224" s="10"/>
      <c r="R224" s="10"/>
      <c r="S224" s="10"/>
      <c r="T224" s="10"/>
      <c r="U224" s="10"/>
    </row>
    <row r="225" spans="1:22" s="3" customFormat="1" ht="12.75">
      <c r="B225" s="8" t="s">
        <v>37</v>
      </c>
      <c r="J225" s="10"/>
      <c r="K225" s="10"/>
      <c r="L225" s="10"/>
      <c r="M225" s="10"/>
      <c r="N225" s="10"/>
      <c r="O225" s="10"/>
      <c r="P225" s="10"/>
      <c r="Q225" s="10"/>
      <c r="R225" s="10"/>
      <c r="S225" s="10"/>
      <c r="T225" s="10"/>
      <c r="U225" s="10"/>
    </row>
    <row r="226" spans="1:22" s="3" customFormat="1" ht="12.75">
      <c r="J226" s="10"/>
      <c r="K226" s="10"/>
      <c r="L226" s="10"/>
      <c r="M226" s="10"/>
      <c r="N226" s="10"/>
      <c r="O226" s="10"/>
      <c r="P226" s="10"/>
      <c r="Q226" s="10"/>
      <c r="R226" s="10"/>
      <c r="S226" s="10"/>
      <c r="T226" s="10"/>
      <c r="U226" s="10"/>
    </row>
    <row r="227" spans="1:22" s="3" customFormat="1" ht="12.75">
      <c r="A227" s="87"/>
      <c r="B227" s="8" t="s">
        <v>8</v>
      </c>
      <c r="J227" s="10"/>
      <c r="K227" s="10"/>
      <c r="L227" s="10"/>
      <c r="M227" s="10"/>
      <c r="N227" s="10"/>
      <c r="O227" s="10"/>
      <c r="P227" s="10"/>
      <c r="Q227" s="10"/>
      <c r="R227" s="10"/>
      <c r="S227" s="10"/>
      <c r="T227" s="10"/>
      <c r="U227" s="10"/>
    </row>
    <row r="228" spans="1:22" s="3" customFormat="1" ht="12.75">
      <c r="A228" s="87"/>
      <c r="B228" s="3" t="s">
        <v>9</v>
      </c>
      <c r="H228" s="3" t="s">
        <v>30</v>
      </c>
      <c r="J228" s="9">
        <f>SUM(L228:S228)</f>
        <v>388485395.21986371</v>
      </c>
      <c r="K228" s="10"/>
      <c r="L228" s="21">
        <f>'Input operationele kosten'!L61</f>
        <v>0</v>
      </c>
      <c r="M228" s="21">
        <f>'Input operationele kosten'!M61</f>
        <v>8687193.3200000022</v>
      </c>
      <c r="N228" s="21">
        <f>'Input operationele kosten'!N61</f>
        <v>153751852.24999997</v>
      </c>
      <c r="O228" s="21">
        <f>'Input operationele kosten'!O61</f>
        <v>133511956.96000001</v>
      </c>
      <c r="P228" s="21">
        <f>'Input operationele kosten'!P61</f>
        <v>0</v>
      </c>
      <c r="Q228" s="21">
        <f>'Input operationele kosten'!Q61</f>
        <v>83860478.120000005</v>
      </c>
      <c r="R228" s="21">
        <f>'Input operationele kosten'!R61</f>
        <v>8673914.5698637087</v>
      </c>
      <c r="S228" s="21">
        <f>'Input operationele kosten'!S61</f>
        <v>0</v>
      </c>
      <c r="T228" s="21">
        <f>'Input operationele kosten'!U61</f>
        <v>4584473.5586680938</v>
      </c>
      <c r="U228" s="21">
        <f>'Input operationele kosten'!V61</f>
        <v>83860478.120000005</v>
      </c>
      <c r="V228" s="21">
        <f>'Input operationele kosten'!W61</f>
        <v>0</v>
      </c>
    </row>
    <row r="229" spans="1:22" s="3" customFormat="1" ht="12.75">
      <c r="A229" s="87"/>
      <c r="B229" s="3" t="s">
        <v>10</v>
      </c>
      <c r="H229" s="3" t="s">
        <v>30</v>
      </c>
      <c r="J229" s="9">
        <f>SUM(L229:S229)</f>
        <v>19109686.717</v>
      </c>
      <c r="K229" s="10"/>
      <c r="L229" s="21">
        <f>'Input operationele kosten'!L62</f>
        <v>3337227</v>
      </c>
      <c r="M229" s="21">
        <f>'Input operationele kosten'!M62</f>
        <v>0</v>
      </c>
      <c r="N229" s="21">
        <f>'Input operationele kosten'!N62</f>
        <v>577395.04720000003</v>
      </c>
      <c r="O229" s="21">
        <f>'Input operationele kosten'!O62</f>
        <v>792392.82000000007</v>
      </c>
      <c r="P229" s="21">
        <f>'Input operationele kosten'!P62</f>
        <v>2286987.17</v>
      </c>
      <c r="Q229" s="21">
        <f>'Input operationele kosten'!Q62</f>
        <v>4928024.4050000003</v>
      </c>
      <c r="R229" s="21">
        <f>'Input operationele kosten'!R62</f>
        <v>181199.03480000034</v>
      </c>
      <c r="S229" s="21">
        <f>'Input operationele kosten'!S62</f>
        <v>7006461.2400000002</v>
      </c>
      <c r="T229" s="21">
        <f>'Input operationele kosten'!U62</f>
        <v>315433.19999999995</v>
      </c>
      <c r="U229" s="21">
        <f>'Input operationele kosten'!V62</f>
        <v>0</v>
      </c>
      <c r="V229" s="21">
        <f>'Input operationele kosten'!W62</f>
        <v>0</v>
      </c>
    </row>
    <row r="230" spans="1:22" s="3" customFormat="1" ht="12.75">
      <c r="A230" s="87"/>
      <c r="B230" s="3" t="s">
        <v>11</v>
      </c>
      <c r="H230" s="3" t="s">
        <v>30</v>
      </c>
      <c r="J230" s="9">
        <f>SUM(L230:S230)</f>
        <v>218483408.52166292</v>
      </c>
      <c r="K230" s="10"/>
      <c r="L230" s="21">
        <f>'Input operationele kosten'!L63</f>
        <v>754058.13</v>
      </c>
      <c r="M230" s="21">
        <f>'Input operationele kosten'!M63</f>
        <v>4394583.4499999993</v>
      </c>
      <c r="N230" s="21">
        <f>'Input operationele kosten'!N63</f>
        <v>88641927.667999998</v>
      </c>
      <c r="O230" s="21">
        <f>'Input operationele kosten'!O63</f>
        <v>81068868</v>
      </c>
      <c r="P230" s="21">
        <f>'Input operationele kosten'!P63</f>
        <v>509618.77</v>
      </c>
      <c r="Q230" s="21">
        <f>'Input operationele kosten'!Q63</f>
        <v>38014261.883662902</v>
      </c>
      <c r="R230" s="21">
        <f>'Input operationele kosten'!R63</f>
        <v>2552334.4299999997</v>
      </c>
      <c r="S230" s="21">
        <f>'Input operationele kosten'!S63</f>
        <v>2547756.19</v>
      </c>
      <c r="T230" s="21">
        <f>'Input operationele kosten'!U63</f>
        <v>2049112.9</v>
      </c>
      <c r="U230" s="21">
        <f>'Input operationele kosten'!V63</f>
        <v>1667871.98</v>
      </c>
      <c r="V230" s="21">
        <f>'Input operationele kosten'!W63</f>
        <v>0</v>
      </c>
    </row>
    <row r="231" spans="1:22" s="3" customFormat="1" ht="12.75">
      <c r="A231" s="87"/>
      <c r="B231" s="3" t="s">
        <v>12</v>
      </c>
      <c r="H231" s="3" t="s">
        <v>30</v>
      </c>
      <c r="J231" s="9">
        <f>SUM(L231:S231)</f>
        <v>0</v>
      </c>
      <c r="K231" s="10"/>
      <c r="L231" s="21">
        <f>'Input operationele kosten'!L64</f>
        <v>0</v>
      </c>
      <c r="M231" s="21">
        <f>'Input operationele kosten'!M64</f>
        <v>0</v>
      </c>
      <c r="N231" s="21">
        <f>'Input operationele kosten'!N64</f>
        <v>0</v>
      </c>
      <c r="O231" s="21">
        <f>'Input operationele kosten'!O64</f>
        <v>0</v>
      </c>
      <c r="P231" s="21">
        <f>'Input operationele kosten'!P64</f>
        <v>0</v>
      </c>
      <c r="Q231" s="21">
        <f>'Input operationele kosten'!Q64</f>
        <v>0</v>
      </c>
      <c r="R231" s="21">
        <f>'Input operationele kosten'!R64</f>
        <v>0</v>
      </c>
      <c r="S231" s="21">
        <f>'Input operationele kosten'!S64</f>
        <v>0</v>
      </c>
      <c r="T231" s="21">
        <f>'Input operationele kosten'!U64</f>
        <v>0</v>
      </c>
      <c r="U231" s="21">
        <f>'Input operationele kosten'!V64</f>
        <v>0</v>
      </c>
      <c r="V231" s="21">
        <f>'Input operationele kosten'!W64</f>
        <v>0</v>
      </c>
    </row>
    <row r="232" spans="1:22" s="3" customFormat="1" ht="12.75">
      <c r="A232" s="87"/>
      <c r="J232" s="10"/>
      <c r="K232" s="10"/>
      <c r="L232" s="10"/>
      <c r="M232" s="10"/>
      <c r="N232" s="10"/>
      <c r="O232" s="10"/>
      <c r="P232" s="10"/>
      <c r="Q232" s="10"/>
      <c r="R232" s="10"/>
      <c r="S232" s="10"/>
      <c r="T232" s="10"/>
      <c r="U232" s="10"/>
      <c r="V232" s="10"/>
    </row>
    <row r="233" spans="1:22" s="3" customFormat="1" ht="12.75">
      <c r="A233" s="87"/>
      <c r="B233" s="8" t="s">
        <v>13</v>
      </c>
      <c r="J233" s="10"/>
      <c r="K233" s="10"/>
      <c r="L233" s="10"/>
      <c r="M233" s="10"/>
      <c r="N233" s="10"/>
      <c r="O233" s="10"/>
      <c r="P233" s="10"/>
      <c r="Q233" s="10"/>
      <c r="R233" s="10"/>
      <c r="S233" s="10"/>
      <c r="T233" s="10"/>
      <c r="U233" s="10"/>
      <c r="V233" s="10"/>
    </row>
    <row r="234" spans="1:22" s="3" customFormat="1" ht="12.75">
      <c r="A234" s="87"/>
      <c r="B234" s="3" t="s">
        <v>14</v>
      </c>
      <c r="H234" s="3" t="s">
        <v>30</v>
      </c>
      <c r="J234" s="9">
        <f>SUM(L234:S234)</f>
        <v>819236838.40818977</v>
      </c>
      <c r="K234" s="10"/>
      <c r="L234" s="21">
        <f>'Input operationele kosten'!L67</f>
        <v>4611195</v>
      </c>
      <c r="M234" s="21">
        <f>'Input operationele kosten'!M67</f>
        <v>22229513.247884039</v>
      </c>
      <c r="N234" s="21">
        <f>'Input operationele kosten'!N67</f>
        <v>234040965.97842473</v>
      </c>
      <c r="O234" s="21">
        <f>'Input operationele kosten'!O67</f>
        <v>353796433.60382622</v>
      </c>
      <c r="P234" s="21">
        <f>'Input operationele kosten'!P67</f>
        <v>2063983.05</v>
      </c>
      <c r="Q234" s="21">
        <f>'Input operationele kosten'!Q67</f>
        <v>184118025.35547882</v>
      </c>
      <c r="R234" s="21">
        <f>'Input operationele kosten'!R67</f>
        <v>10166660.071049457</v>
      </c>
      <c r="S234" s="21">
        <f>'Input operationele kosten'!S67</f>
        <v>8210062.1015264755</v>
      </c>
      <c r="T234" s="21">
        <f>'Input operationele kosten'!U67</f>
        <v>6702883</v>
      </c>
      <c r="U234" s="21">
        <f>'Input operationele kosten'!V67</f>
        <v>0</v>
      </c>
      <c r="V234" s="21">
        <f>'Input operationele kosten'!W67</f>
        <v>0</v>
      </c>
    </row>
    <row r="235" spans="1:22" s="3" customFormat="1" ht="12.75">
      <c r="A235" s="87"/>
      <c r="B235" s="3" t="s">
        <v>33</v>
      </c>
      <c r="H235" s="3" t="s">
        <v>30</v>
      </c>
      <c r="J235" s="9">
        <f>SUM(L235:S235)</f>
        <v>0</v>
      </c>
      <c r="K235" s="10"/>
      <c r="L235" s="21">
        <f>'Input operationele kosten'!L68</f>
        <v>0</v>
      </c>
      <c r="M235" s="21">
        <f>'Input operationele kosten'!M68</f>
        <v>0</v>
      </c>
      <c r="N235" s="21">
        <f>'Input operationele kosten'!N68</f>
        <v>0</v>
      </c>
      <c r="O235" s="21">
        <f>'Input operationele kosten'!O68</f>
        <v>0</v>
      </c>
      <c r="P235" s="21">
        <f>'Input operationele kosten'!P68</f>
        <v>0</v>
      </c>
      <c r="Q235" s="21">
        <f>'Input operationele kosten'!Q68</f>
        <v>0</v>
      </c>
      <c r="R235" s="21">
        <f>'Input operationele kosten'!R68</f>
        <v>0</v>
      </c>
      <c r="S235" s="21">
        <f>'Input operationele kosten'!S68</f>
        <v>0</v>
      </c>
      <c r="T235" s="21">
        <f>'Input operationele kosten'!U68</f>
        <v>0</v>
      </c>
      <c r="U235" s="21">
        <f>'Input operationele kosten'!V68</f>
        <v>0</v>
      </c>
      <c r="V235" s="21">
        <f>'Input operationele kosten'!W68</f>
        <v>0</v>
      </c>
    </row>
    <row r="236" spans="1:22" s="3" customFormat="1" ht="12.75">
      <c r="A236" s="87"/>
      <c r="B236" s="3" t="s">
        <v>15</v>
      </c>
      <c r="H236" s="3" t="s">
        <v>30</v>
      </c>
      <c r="J236" s="9">
        <f>SUM(L236:S236)</f>
        <v>20404667.537016392</v>
      </c>
      <c r="K236" s="10"/>
      <c r="L236" s="21">
        <f>'Input operationele kosten'!L69</f>
        <v>0</v>
      </c>
      <c r="M236" s="21">
        <f>'Input operationele kosten'!M69</f>
        <v>0</v>
      </c>
      <c r="N236" s="21">
        <f>'Input operationele kosten'!N69</f>
        <v>0</v>
      </c>
      <c r="O236" s="21">
        <f>'Input operationele kosten'!O69</f>
        <v>0</v>
      </c>
      <c r="P236" s="21">
        <f>'Input operationele kosten'!P69</f>
        <v>370824.85</v>
      </c>
      <c r="Q236" s="21">
        <f>'Input operationele kosten'!Q69</f>
        <v>20033842.68701639</v>
      </c>
      <c r="R236" s="21">
        <f>'Input operationele kosten'!R69</f>
        <v>0</v>
      </c>
      <c r="S236" s="21">
        <f>'Input operationele kosten'!S69</f>
        <v>0</v>
      </c>
      <c r="T236" s="21">
        <f>'Input operationele kosten'!U69</f>
        <v>0</v>
      </c>
      <c r="U236" s="21">
        <f>'Input operationele kosten'!V69</f>
        <v>6379250.1173999999</v>
      </c>
      <c r="V236" s="21">
        <f>'Input operationele kosten'!W69</f>
        <v>862</v>
      </c>
    </row>
    <row r="237" spans="1:22" s="3" customFormat="1" ht="12.75">
      <c r="A237" s="87"/>
      <c r="J237" s="10"/>
      <c r="K237" s="10"/>
      <c r="L237" s="10"/>
      <c r="M237" s="10"/>
      <c r="N237" s="10"/>
      <c r="O237" s="10"/>
      <c r="P237" s="10"/>
      <c r="Q237" s="10"/>
      <c r="R237" s="10"/>
      <c r="S237" s="10"/>
      <c r="T237" s="10"/>
      <c r="U237" s="10"/>
      <c r="V237" s="10"/>
    </row>
    <row r="238" spans="1:22" s="3" customFormat="1" ht="12.75">
      <c r="A238" s="87"/>
      <c r="B238" s="8" t="s">
        <v>16</v>
      </c>
      <c r="J238" s="10"/>
      <c r="K238" s="10"/>
      <c r="L238" s="10"/>
      <c r="M238" s="10"/>
      <c r="N238" s="10"/>
      <c r="O238" s="10"/>
      <c r="P238" s="10"/>
      <c r="Q238" s="10"/>
      <c r="R238" s="10"/>
      <c r="S238" s="10"/>
      <c r="T238" s="10"/>
      <c r="U238" s="10"/>
      <c r="V238" s="10"/>
    </row>
    <row r="239" spans="1:22" s="3" customFormat="1" ht="12.75">
      <c r="A239" s="87"/>
      <c r="B239" s="3" t="s">
        <v>17</v>
      </c>
      <c r="H239" s="3" t="s">
        <v>30</v>
      </c>
      <c r="J239" s="9">
        <f>SUM(L239:S239)</f>
        <v>75027909.039999992</v>
      </c>
      <c r="K239" s="10"/>
      <c r="L239" s="21">
        <f>'Input operationele kosten'!L72</f>
        <v>0</v>
      </c>
      <c r="M239" s="21">
        <f>'Input operationele kosten'!M72</f>
        <v>949986</v>
      </c>
      <c r="N239" s="21">
        <f>'Input operationele kosten'!N72</f>
        <v>0</v>
      </c>
      <c r="O239" s="21">
        <f>'Input operationele kosten'!O72</f>
        <v>55143670.659999996</v>
      </c>
      <c r="P239" s="21">
        <f>'Input operationele kosten'!P72</f>
        <v>0</v>
      </c>
      <c r="Q239" s="21">
        <f>'Input operationele kosten'!Q72</f>
        <v>18895613</v>
      </c>
      <c r="R239" s="21">
        <f>'Input operationele kosten'!R72</f>
        <v>38639.379999999997</v>
      </c>
      <c r="S239" s="21">
        <f>'Input operationele kosten'!S72</f>
        <v>0</v>
      </c>
      <c r="T239" s="21">
        <f>'Input operationele kosten'!U72</f>
        <v>0</v>
      </c>
      <c r="U239" s="21">
        <f>'Input operationele kosten'!V72</f>
        <v>288120.30000000005</v>
      </c>
      <c r="V239" s="21">
        <f>'Input operationele kosten'!W72</f>
        <v>0</v>
      </c>
    </row>
    <row r="240" spans="1:22" s="3" customFormat="1" ht="12.75">
      <c r="A240" s="87"/>
      <c r="B240" s="3" t="s">
        <v>18</v>
      </c>
      <c r="H240" s="3" t="s">
        <v>30</v>
      </c>
      <c r="J240" s="9">
        <f>SUM(L240:S240)</f>
        <v>1402489.0953262288</v>
      </c>
      <c r="K240" s="10"/>
      <c r="L240" s="21">
        <f>'Input operationele kosten'!L73</f>
        <v>1875.1105000000002</v>
      </c>
      <c r="M240" s="21">
        <f>'Input operationele kosten'!M73</f>
        <v>0</v>
      </c>
      <c r="N240" s="21">
        <f>'Input operationele kosten'!N73</f>
        <v>1400613.9848262288</v>
      </c>
      <c r="O240" s="21">
        <f>'Input operationele kosten'!O73</f>
        <v>0</v>
      </c>
      <c r="P240" s="21">
        <f>'Input operationele kosten'!P73</f>
        <v>0</v>
      </c>
      <c r="Q240" s="21">
        <f>'Input operationele kosten'!Q73</f>
        <v>0</v>
      </c>
      <c r="R240" s="21">
        <f>'Input operationele kosten'!R73</f>
        <v>0</v>
      </c>
      <c r="S240" s="21">
        <f>'Input operationele kosten'!S73</f>
        <v>0</v>
      </c>
      <c r="T240" s="21">
        <f>'Input operationele kosten'!U73</f>
        <v>0</v>
      </c>
      <c r="U240" s="21">
        <f>'Input operationele kosten'!V73</f>
        <v>0</v>
      </c>
      <c r="V240" s="21">
        <f>'Input operationele kosten'!W73</f>
        <v>0</v>
      </c>
    </row>
    <row r="241" spans="1:22" s="3" customFormat="1" ht="12.75">
      <c r="A241" s="87"/>
      <c r="J241" s="10"/>
      <c r="K241" s="10"/>
      <c r="L241" s="10"/>
      <c r="M241" s="10"/>
      <c r="N241" s="10"/>
      <c r="O241" s="10"/>
      <c r="P241" s="10"/>
      <c r="Q241" s="10"/>
      <c r="R241" s="10"/>
      <c r="S241" s="10"/>
      <c r="T241" s="10"/>
      <c r="U241" s="10"/>
      <c r="V241" s="10"/>
    </row>
    <row r="242" spans="1:22" s="3" customFormat="1" ht="12.75">
      <c r="A242" s="87"/>
      <c r="B242" s="8" t="s">
        <v>19</v>
      </c>
      <c r="J242" s="10"/>
      <c r="K242" s="10"/>
      <c r="L242" s="10"/>
      <c r="M242" s="10"/>
      <c r="N242" s="10"/>
      <c r="O242" s="10"/>
      <c r="P242" s="10"/>
      <c r="Q242" s="10"/>
      <c r="R242" s="10"/>
      <c r="S242" s="10"/>
      <c r="T242" s="10"/>
      <c r="U242" s="10"/>
      <c r="V242" s="10"/>
    </row>
    <row r="243" spans="1:22" s="3" customFormat="1" ht="12.75">
      <c r="A243" s="87"/>
      <c r="B243" s="3" t="s">
        <v>20</v>
      </c>
      <c r="H243" s="3" t="s">
        <v>30</v>
      </c>
      <c r="J243" s="9">
        <f>SUM(L243:S243)</f>
        <v>6200346.0689642597</v>
      </c>
      <c r="K243" s="10"/>
      <c r="L243" s="21">
        <f>'Input operationele kosten'!L76</f>
        <v>0</v>
      </c>
      <c r="M243" s="21">
        <f>'Input operationele kosten'!M76</f>
        <v>0</v>
      </c>
      <c r="N243" s="21">
        <f>'Input operationele kosten'!N76</f>
        <v>2248068.4261570158</v>
      </c>
      <c r="O243" s="21">
        <f>'Input operationele kosten'!O76</f>
        <v>1274555.3699999999</v>
      </c>
      <c r="P243" s="21">
        <f>'Input operationele kosten'!P76</f>
        <v>860.49</v>
      </c>
      <c r="Q243" s="21">
        <f>'Input operationele kosten'!Q76</f>
        <v>2492873.7806741972</v>
      </c>
      <c r="R243" s="21">
        <f>'Input operationele kosten'!R76</f>
        <v>21318.29</v>
      </c>
      <c r="S243" s="21">
        <f>'Input operationele kosten'!S76</f>
        <v>162669.7121330474</v>
      </c>
      <c r="T243" s="21">
        <f>'Input operationele kosten'!U76</f>
        <v>0</v>
      </c>
      <c r="U243" s="21">
        <f>'Input operationele kosten'!V76</f>
        <v>0</v>
      </c>
      <c r="V243" s="21">
        <f>'Input operationele kosten'!W76</f>
        <v>0</v>
      </c>
    </row>
    <row r="244" spans="1:22" s="3" customFormat="1" ht="12.75">
      <c r="A244" s="87"/>
      <c r="B244" s="3" t="s">
        <v>21</v>
      </c>
      <c r="H244" s="3" t="s">
        <v>30</v>
      </c>
      <c r="J244" s="9">
        <f>SUM(L244:S244)</f>
        <v>1413999.6245663145</v>
      </c>
      <c r="K244" s="10"/>
      <c r="L244" s="21">
        <f>'Input operationele kosten'!L77</f>
        <v>0</v>
      </c>
      <c r="M244" s="21">
        <f>'Input operationele kosten'!M77</f>
        <v>0</v>
      </c>
      <c r="N244" s="21">
        <f>'Input operationele kosten'!N77</f>
        <v>29141.282931903228</v>
      </c>
      <c r="O244" s="21">
        <f>'Input operationele kosten'!O77</f>
        <v>0</v>
      </c>
      <c r="P244" s="21">
        <f>'Input operationele kosten'!P77</f>
        <v>2319.17</v>
      </c>
      <c r="Q244" s="21">
        <f>'Input operationele kosten'!Q77</f>
        <v>1381710.8635559368</v>
      </c>
      <c r="R244" s="21">
        <f>'Input operationele kosten'!R77</f>
        <v>0</v>
      </c>
      <c r="S244" s="21">
        <f>'Input operationele kosten'!S77</f>
        <v>828.30807847431663</v>
      </c>
      <c r="T244" s="21">
        <f>'Input operationele kosten'!U77</f>
        <v>0</v>
      </c>
      <c r="U244" s="21">
        <f>'Input operationele kosten'!V77</f>
        <v>0</v>
      </c>
      <c r="V244" s="21">
        <f>'Input operationele kosten'!W77</f>
        <v>0</v>
      </c>
    </row>
    <row r="245" spans="1:22" s="3" customFormat="1" ht="12.75">
      <c r="A245" s="87"/>
      <c r="B245" s="3" t="s">
        <v>22</v>
      </c>
      <c r="H245" s="3" t="s">
        <v>30</v>
      </c>
      <c r="J245" s="9">
        <f>SUM(L245:S245)</f>
        <v>2676407.5707897902</v>
      </c>
      <c r="K245" s="10"/>
      <c r="L245" s="21">
        <f>'Input operationele kosten'!L78</f>
        <v>-1459.1200000000003</v>
      </c>
      <c r="M245" s="21">
        <f>'Input operationele kosten'!M78</f>
        <v>0</v>
      </c>
      <c r="N245" s="21">
        <f>'Input operationele kosten'!N78</f>
        <v>941422.82138907642</v>
      </c>
      <c r="O245" s="21">
        <f>'Input operationele kosten'!O78</f>
        <v>1155865.7587890474</v>
      </c>
      <c r="P245" s="21">
        <f>'Input operationele kosten'!P78</f>
        <v>4200.49</v>
      </c>
      <c r="Q245" s="21">
        <f>'Input operationele kosten'!Q78</f>
        <v>446094.74020869751</v>
      </c>
      <c r="R245" s="21">
        <f>'Input operationele kosten'!R78</f>
        <v>92057.805292279998</v>
      </c>
      <c r="S245" s="21">
        <f>'Input operationele kosten'!S78</f>
        <v>38225.075110688638</v>
      </c>
      <c r="T245" s="21">
        <f>'Input operationele kosten'!U78</f>
        <v>0</v>
      </c>
      <c r="U245" s="21">
        <f>'Input operationele kosten'!V78</f>
        <v>0</v>
      </c>
      <c r="V245" s="21">
        <f>'Input operationele kosten'!W78</f>
        <v>0</v>
      </c>
    </row>
    <row r="246" spans="1:22" s="3" customFormat="1" ht="12.75">
      <c r="A246" s="87"/>
      <c r="B246" s="3" t="s">
        <v>23</v>
      </c>
      <c r="H246" s="3" t="s">
        <v>30</v>
      </c>
      <c r="J246" s="9">
        <f>SUM(L246:S246)</f>
        <v>20512651.340778485</v>
      </c>
      <c r="K246" s="10"/>
      <c r="L246" s="21">
        <f>'Input operationele kosten'!L79</f>
        <v>0</v>
      </c>
      <c r="M246" s="21">
        <f>'Input operationele kosten'!M79</f>
        <v>2026000</v>
      </c>
      <c r="N246" s="21">
        <f>'Input operationele kosten'!N79</f>
        <v>2029997.356709898</v>
      </c>
      <c r="O246" s="21">
        <f>'Input operationele kosten'!O79</f>
        <v>15908961.198163832</v>
      </c>
      <c r="P246" s="21">
        <f>'Input operationele kosten'!P79</f>
        <v>5536.47</v>
      </c>
      <c r="Q246" s="21">
        <f>'Input operationele kosten'!Q79</f>
        <v>166752.14019207106</v>
      </c>
      <c r="R246" s="21">
        <f>'Input operationele kosten'!R79</f>
        <v>12250</v>
      </c>
      <c r="S246" s="21">
        <f>'Input operationele kosten'!S79</f>
        <v>363154.17571268091</v>
      </c>
      <c r="T246" s="21">
        <f>'Input operationele kosten'!U79</f>
        <v>0</v>
      </c>
      <c r="U246" s="21">
        <f>'Input operationele kosten'!V79</f>
        <v>0</v>
      </c>
      <c r="V246" s="21">
        <f>'Input operationele kosten'!W79</f>
        <v>0</v>
      </c>
    </row>
    <row r="247" spans="1:22" s="3" customFormat="1" ht="12.75">
      <c r="A247" s="87"/>
      <c r="J247" s="10"/>
      <c r="K247" s="10"/>
      <c r="L247" s="10"/>
      <c r="M247" s="10"/>
      <c r="N247" s="10"/>
      <c r="O247" s="10"/>
      <c r="P247" s="10"/>
      <c r="Q247" s="10"/>
      <c r="R247" s="10"/>
      <c r="S247" s="10"/>
      <c r="T247" s="10"/>
      <c r="U247" s="10"/>
      <c r="V247" s="10"/>
    </row>
    <row r="248" spans="1:22" s="3" customFormat="1" ht="12.75">
      <c r="A248" s="87"/>
      <c r="B248" s="8" t="s">
        <v>24</v>
      </c>
      <c r="H248" s="3" t="s">
        <v>30</v>
      </c>
      <c r="J248" s="9">
        <f>SUM(L248:S248)</f>
        <v>1572953799.1441576</v>
      </c>
      <c r="K248" s="12"/>
      <c r="L248" s="9">
        <f t="shared" ref="L248:S248" si="33">SUM(L228:L231,L234:L236,L239:L240,L243:L246)</f>
        <v>8702896.1205000002</v>
      </c>
      <c r="M248" s="9">
        <f t="shared" si="33"/>
        <v>38287276.017884038</v>
      </c>
      <c r="N248" s="9">
        <f>SUM(N228:N231,N234:N236,N239:N240,N243:N246)</f>
        <v>483661384.81563878</v>
      </c>
      <c r="O248" s="9">
        <f t="shared" si="33"/>
        <v>642652704.37077916</v>
      </c>
      <c r="P248" s="9">
        <f t="shared" si="33"/>
        <v>5244330.46</v>
      </c>
      <c r="Q248" s="9">
        <f t="shared" si="33"/>
        <v>354337676.97578901</v>
      </c>
      <c r="R248" s="9">
        <f t="shared" si="33"/>
        <v>21738373.581005443</v>
      </c>
      <c r="S248" s="9">
        <f t="shared" si="33"/>
        <v>18329156.802561369</v>
      </c>
      <c r="T248" s="9">
        <f t="shared" ref="T248:U248" si="34">SUM(T228:T231,T234:T236,T239:T240,T243:T246)</f>
        <v>13651902.658668093</v>
      </c>
      <c r="U248" s="9">
        <f t="shared" si="34"/>
        <v>92195720.517400011</v>
      </c>
      <c r="V248" s="9">
        <f t="shared" ref="V248" si="35">SUM(V228:V231,V234:V236,V239:V240,V243:V246)</f>
        <v>862</v>
      </c>
    </row>
    <row r="249" spans="1:22" s="3" customFormat="1" ht="12.75">
      <c r="A249" s="87"/>
      <c r="J249" s="10"/>
      <c r="K249" s="10"/>
      <c r="L249" s="10"/>
      <c r="M249" s="10"/>
      <c r="N249" s="10"/>
      <c r="O249" s="10"/>
      <c r="P249" s="10"/>
      <c r="Q249" s="10"/>
      <c r="R249" s="10"/>
      <c r="S249" s="10"/>
      <c r="T249" s="10"/>
      <c r="U249" s="10"/>
    </row>
    <row r="250" spans="1:22" s="3" customFormat="1" ht="12.75">
      <c r="A250" s="87"/>
      <c r="B250" s="8"/>
      <c r="J250" s="10"/>
      <c r="K250" s="10"/>
      <c r="L250" s="10"/>
      <c r="M250" s="10"/>
      <c r="N250" s="10"/>
      <c r="O250" s="10"/>
      <c r="P250" s="10"/>
      <c r="Q250" s="10"/>
      <c r="R250" s="10"/>
      <c r="S250" s="10"/>
      <c r="T250" s="10"/>
      <c r="U250" s="10"/>
    </row>
    <row r="251" spans="1:22" s="3" customFormat="1" ht="12.75">
      <c r="A251" s="87"/>
      <c r="B251" s="8" t="s">
        <v>38</v>
      </c>
      <c r="J251" s="10"/>
      <c r="K251" s="10"/>
      <c r="L251" s="10"/>
      <c r="M251" s="10"/>
      <c r="N251" s="10"/>
      <c r="O251" s="10"/>
      <c r="P251" s="10"/>
      <c r="Q251" s="10"/>
      <c r="R251" s="10"/>
      <c r="S251" s="10"/>
      <c r="T251" s="10"/>
      <c r="U251" s="10"/>
    </row>
    <row r="252" spans="1:22" s="3" customFormat="1" ht="12.75">
      <c r="A252" s="87"/>
      <c r="J252" s="10"/>
      <c r="K252" s="10"/>
      <c r="L252" s="10"/>
      <c r="M252" s="10"/>
      <c r="N252" s="10"/>
      <c r="O252" s="10"/>
      <c r="P252" s="10"/>
      <c r="Q252" s="10"/>
      <c r="R252" s="10"/>
      <c r="S252" s="10"/>
      <c r="T252" s="10"/>
      <c r="U252" s="10"/>
    </row>
    <row r="253" spans="1:22" s="3" customFormat="1" ht="12.75">
      <c r="A253" s="87"/>
      <c r="B253" s="8" t="s">
        <v>8</v>
      </c>
      <c r="J253" s="10"/>
      <c r="K253" s="10"/>
      <c r="L253" s="10"/>
      <c r="M253" s="10"/>
      <c r="N253" s="10"/>
      <c r="O253" s="10"/>
      <c r="P253" s="10"/>
      <c r="Q253" s="10"/>
      <c r="R253" s="10"/>
      <c r="S253" s="10"/>
      <c r="T253" s="10"/>
      <c r="U253" s="10"/>
    </row>
    <row r="254" spans="1:22" s="3" customFormat="1" ht="12.75">
      <c r="A254" s="87"/>
      <c r="B254" s="3" t="s">
        <v>9</v>
      </c>
      <c r="H254" s="3" t="s">
        <v>30</v>
      </c>
      <c r="J254" s="9">
        <f>SUM(L254:S254)</f>
        <v>0</v>
      </c>
      <c r="K254" s="10"/>
      <c r="L254" s="11"/>
      <c r="M254" s="11"/>
      <c r="N254" s="11"/>
      <c r="O254" s="11"/>
      <c r="P254" s="11"/>
      <c r="Q254" s="11"/>
      <c r="R254" s="11"/>
      <c r="S254" s="11"/>
      <c r="T254" s="11"/>
      <c r="U254" s="11"/>
      <c r="V254" s="11"/>
    </row>
    <row r="255" spans="1:22" s="3" customFormat="1" ht="12.75">
      <c r="A255" s="87"/>
      <c r="B255" s="3" t="s">
        <v>10</v>
      </c>
      <c r="H255" s="3" t="s">
        <v>30</v>
      </c>
      <c r="J255" s="9">
        <f>SUM(L255:S255)</f>
        <v>0</v>
      </c>
      <c r="K255" s="10"/>
      <c r="L255" s="11"/>
      <c r="M255" s="11"/>
      <c r="N255" s="11"/>
      <c r="O255" s="11"/>
      <c r="P255" s="11"/>
      <c r="Q255" s="11"/>
      <c r="R255" s="11"/>
      <c r="S255" s="11"/>
      <c r="T255" s="11"/>
      <c r="U255" s="11"/>
      <c r="V255" s="11"/>
    </row>
    <row r="256" spans="1:22" s="3" customFormat="1" ht="12.75">
      <c r="A256" s="87"/>
      <c r="B256" s="3" t="s">
        <v>11</v>
      </c>
      <c r="H256" s="3" t="s">
        <v>30</v>
      </c>
      <c r="J256" s="9">
        <f>SUM(L256:S256)</f>
        <v>0</v>
      </c>
      <c r="K256" s="10"/>
      <c r="L256" s="11"/>
      <c r="M256" s="11"/>
      <c r="N256" s="11"/>
      <c r="O256" s="11"/>
      <c r="P256" s="11"/>
      <c r="Q256" s="11"/>
      <c r="R256" s="11"/>
      <c r="S256" s="11"/>
      <c r="T256" s="11"/>
      <c r="U256" s="11"/>
      <c r="V256" s="11"/>
    </row>
    <row r="257" spans="1:22" s="3" customFormat="1" ht="12.75">
      <c r="A257" s="87"/>
      <c r="B257" s="3" t="s">
        <v>12</v>
      </c>
      <c r="H257" s="3" t="s">
        <v>30</v>
      </c>
      <c r="J257" s="9">
        <f>SUM(L257:S257)</f>
        <v>0</v>
      </c>
      <c r="K257" s="10"/>
      <c r="L257" s="11"/>
      <c r="M257" s="11"/>
      <c r="N257" s="11"/>
      <c r="O257" s="11"/>
      <c r="P257" s="11"/>
      <c r="Q257" s="11"/>
      <c r="R257" s="11"/>
      <c r="S257" s="11"/>
      <c r="T257" s="11"/>
      <c r="U257" s="11"/>
      <c r="V257" s="11"/>
    </row>
    <row r="258" spans="1:22" s="3" customFormat="1" ht="12.75">
      <c r="A258" s="87"/>
      <c r="J258" s="10"/>
      <c r="K258" s="10"/>
      <c r="L258" s="10"/>
      <c r="M258" s="10"/>
      <c r="N258" s="10"/>
      <c r="O258" s="10"/>
      <c r="P258" s="10"/>
      <c r="Q258" s="10"/>
      <c r="R258" s="10"/>
      <c r="S258" s="10"/>
      <c r="T258" s="10"/>
      <c r="U258" s="10"/>
      <c r="V258" s="10"/>
    </row>
    <row r="259" spans="1:22" s="3" customFormat="1" ht="12.75">
      <c r="A259" s="87"/>
      <c r="B259" s="8" t="s">
        <v>13</v>
      </c>
      <c r="J259" s="10"/>
      <c r="K259" s="10"/>
      <c r="L259" s="10"/>
      <c r="M259" s="10"/>
      <c r="N259" s="10"/>
      <c r="O259" s="10"/>
      <c r="P259" s="10"/>
      <c r="Q259" s="10"/>
      <c r="R259" s="10"/>
      <c r="S259" s="10"/>
      <c r="T259" s="10"/>
      <c r="U259" s="10"/>
      <c r="V259" s="10"/>
    </row>
    <row r="260" spans="1:22" s="3" customFormat="1" ht="12.75">
      <c r="A260" s="87"/>
      <c r="B260" s="3" t="s">
        <v>14</v>
      </c>
      <c r="H260" s="3" t="s">
        <v>30</v>
      </c>
      <c r="J260" s="9">
        <f>SUM(L260:S260)</f>
        <v>0</v>
      </c>
      <c r="K260" s="10"/>
      <c r="L260" s="11"/>
      <c r="M260" s="11"/>
      <c r="N260" s="11"/>
      <c r="O260" s="11"/>
      <c r="P260" s="11"/>
      <c r="Q260" s="11"/>
      <c r="R260" s="11"/>
      <c r="S260" s="11"/>
      <c r="T260" s="11"/>
      <c r="U260" s="11"/>
      <c r="V260" s="11"/>
    </row>
    <row r="261" spans="1:22" s="3" customFormat="1" ht="12.75">
      <c r="A261" s="87"/>
      <c r="B261" s="3" t="s">
        <v>76</v>
      </c>
      <c r="J261" s="9">
        <f>SUM(L261:S261)</f>
        <v>0</v>
      </c>
      <c r="K261" s="10"/>
      <c r="L261" s="11"/>
      <c r="M261" s="11"/>
      <c r="N261" s="11"/>
      <c r="O261" s="11"/>
      <c r="P261" s="11"/>
      <c r="Q261" s="11"/>
      <c r="R261" s="11"/>
      <c r="S261" s="11"/>
      <c r="T261" s="11"/>
      <c r="U261" s="11"/>
      <c r="V261" s="11"/>
    </row>
    <row r="262" spans="1:22" s="3" customFormat="1" ht="12.75">
      <c r="A262" s="87"/>
      <c r="B262" s="3" t="s">
        <v>15</v>
      </c>
      <c r="H262" s="3" t="s">
        <v>30</v>
      </c>
      <c r="J262" s="9">
        <f>SUM(L262:S262)</f>
        <v>0</v>
      </c>
      <c r="K262" s="10"/>
      <c r="L262" s="11"/>
      <c r="M262" s="11"/>
      <c r="N262" s="11"/>
      <c r="O262" s="11"/>
      <c r="P262" s="11"/>
      <c r="Q262" s="11"/>
      <c r="R262" s="11"/>
      <c r="S262" s="11"/>
      <c r="T262" s="11"/>
      <c r="U262" s="11"/>
      <c r="V262" s="11"/>
    </row>
    <row r="263" spans="1:22" s="3" customFormat="1" ht="12.75">
      <c r="A263" s="87"/>
      <c r="J263" s="10"/>
      <c r="K263" s="10"/>
      <c r="L263" s="10"/>
      <c r="M263" s="10"/>
      <c r="N263" s="10"/>
      <c r="O263" s="10"/>
      <c r="P263" s="10"/>
      <c r="Q263" s="10"/>
      <c r="R263" s="10"/>
      <c r="S263" s="10"/>
      <c r="T263" s="10"/>
      <c r="U263" s="10"/>
      <c r="V263" s="10"/>
    </row>
    <row r="264" spans="1:22" s="3" customFormat="1" ht="12.75">
      <c r="A264" s="87"/>
      <c r="B264" s="8" t="s">
        <v>16</v>
      </c>
      <c r="J264" s="10"/>
      <c r="K264" s="10"/>
      <c r="L264" s="10"/>
      <c r="M264" s="10"/>
      <c r="N264" s="10"/>
      <c r="O264" s="10"/>
      <c r="P264" s="10"/>
      <c r="Q264" s="10"/>
      <c r="R264" s="10"/>
      <c r="S264" s="10"/>
      <c r="T264" s="10"/>
      <c r="U264" s="10"/>
      <c r="V264" s="10"/>
    </row>
    <row r="265" spans="1:22" s="3" customFormat="1" ht="12.75">
      <c r="A265" s="87"/>
      <c r="B265" s="3" t="s">
        <v>17</v>
      </c>
      <c r="H265" s="3" t="s">
        <v>30</v>
      </c>
      <c r="J265" s="9">
        <f>SUM(L265:S265)</f>
        <v>0</v>
      </c>
      <c r="K265" s="10"/>
      <c r="L265" s="11"/>
      <c r="M265" s="11"/>
      <c r="N265" s="11"/>
      <c r="O265" s="11"/>
      <c r="P265" s="11"/>
      <c r="Q265" s="11"/>
      <c r="R265" s="11"/>
      <c r="S265" s="11"/>
      <c r="T265" s="11"/>
      <c r="U265" s="11"/>
      <c r="V265" s="11"/>
    </row>
    <row r="266" spans="1:22" s="3" customFormat="1" ht="12.75">
      <c r="A266" s="87"/>
      <c r="B266" s="3" t="s">
        <v>18</v>
      </c>
      <c r="H266" s="3" t="s">
        <v>30</v>
      </c>
      <c r="J266" s="9">
        <f>SUM(L266:S266)</f>
        <v>0</v>
      </c>
      <c r="K266" s="10"/>
      <c r="L266" s="11"/>
      <c r="M266" s="11"/>
      <c r="N266" s="11"/>
      <c r="O266" s="11"/>
      <c r="P266" s="11"/>
      <c r="Q266" s="11"/>
      <c r="R266" s="11"/>
      <c r="S266" s="11"/>
      <c r="T266" s="11"/>
      <c r="U266" s="11"/>
      <c r="V266" s="11"/>
    </row>
    <row r="267" spans="1:22" s="3" customFormat="1" ht="12.75">
      <c r="A267" s="87"/>
      <c r="J267" s="10"/>
      <c r="K267" s="10"/>
      <c r="L267" s="10"/>
      <c r="M267" s="10"/>
      <c r="N267" s="10"/>
      <c r="O267" s="10"/>
      <c r="P267" s="10"/>
      <c r="Q267" s="10"/>
      <c r="R267" s="10"/>
      <c r="S267" s="10"/>
      <c r="T267" s="10"/>
      <c r="U267" s="10"/>
      <c r="V267" s="10"/>
    </row>
    <row r="268" spans="1:22" s="3" customFormat="1" ht="12.75">
      <c r="A268" s="87"/>
      <c r="B268" s="8" t="s">
        <v>19</v>
      </c>
      <c r="J268" s="10"/>
      <c r="K268" s="10"/>
      <c r="L268" s="10"/>
      <c r="M268" s="10"/>
      <c r="N268" s="10"/>
      <c r="O268" s="10"/>
      <c r="P268" s="10"/>
      <c r="Q268" s="10"/>
      <c r="R268" s="10"/>
      <c r="S268" s="10"/>
      <c r="T268" s="10"/>
      <c r="U268" s="10"/>
      <c r="V268" s="10"/>
    </row>
    <row r="269" spans="1:22" s="3" customFormat="1" ht="12.75">
      <c r="A269" s="87"/>
      <c r="B269" s="3" t="s">
        <v>20</v>
      </c>
      <c r="H269" s="3" t="s">
        <v>30</v>
      </c>
      <c r="J269" s="9">
        <f>SUM(L269:S269)</f>
        <v>0</v>
      </c>
      <c r="K269" s="10"/>
      <c r="L269" s="11"/>
      <c r="M269" s="11"/>
      <c r="N269" s="11"/>
      <c r="O269" s="11"/>
      <c r="P269" s="11"/>
      <c r="Q269" s="11"/>
      <c r="R269" s="11"/>
      <c r="S269" s="11"/>
      <c r="T269" s="11"/>
      <c r="U269" s="11"/>
      <c r="V269" s="11"/>
    </row>
    <row r="270" spans="1:22" s="3" customFormat="1" ht="12.75">
      <c r="A270" s="87"/>
      <c r="B270" s="3" t="s">
        <v>21</v>
      </c>
      <c r="H270" s="3" t="s">
        <v>30</v>
      </c>
      <c r="J270" s="9">
        <f>SUM(L270:S270)</f>
        <v>0</v>
      </c>
      <c r="K270" s="10"/>
      <c r="L270" s="11"/>
      <c r="M270" s="11"/>
      <c r="N270" s="11"/>
      <c r="O270" s="11"/>
      <c r="P270" s="11"/>
      <c r="Q270" s="11"/>
      <c r="R270" s="11"/>
      <c r="S270" s="11"/>
      <c r="T270" s="11"/>
      <c r="U270" s="11"/>
      <c r="V270" s="11"/>
    </row>
    <row r="271" spans="1:22" s="3" customFormat="1" ht="12.75">
      <c r="A271" s="87"/>
      <c r="B271" s="3" t="s">
        <v>22</v>
      </c>
      <c r="H271" s="3" t="s">
        <v>30</v>
      </c>
      <c r="J271" s="9">
        <f>SUM(L271:S271)</f>
        <v>0</v>
      </c>
      <c r="K271" s="10"/>
      <c r="L271" s="11"/>
      <c r="M271" s="11"/>
      <c r="N271" s="11"/>
      <c r="O271" s="11"/>
      <c r="P271" s="11"/>
      <c r="Q271" s="11"/>
      <c r="R271" s="11"/>
      <c r="S271" s="11"/>
      <c r="T271" s="11"/>
      <c r="U271" s="11"/>
      <c r="V271" s="11"/>
    </row>
    <row r="272" spans="1:22" s="3" customFormat="1" ht="12.75">
      <c r="A272" s="87"/>
      <c r="B272" s="3" t="s">
        <v>23</v>
      </c>
      <c r="H272" s="3" t="s">
        <v>30</v>
      </c>
      <c r="J272" s="9">
        <f>SUM(L272:S272)</f>
        <v>0</v>
      </c>
      <c r="K272" s="10"/>
      <c r="L272" s="11"/>
      <c r="M272" s="11"/>
      <c r="N272" s="11"/>
      <c r="O272" s="11"/>
      <c r="P272" s="11"/>
      <c r="Q272" s="11"/>
      <c r="R272" s="11"/>
      <c r="S272" s="11"/>
      <c r="T272" s="11"/>
      <c r="U272" s="11"/>
      <c r="V272" s="11"/>
    </row>
    <row r="273" spans="1:25" s="3" customFormat="1" ht="12.75">
      <c r="A273" s="87"/>
      <c r="B273" s="8"/>
      <c r="J273" s="9"/>
      <c r="K273" s="12"/>
      <c r="L273" s="12"/>
      <c r="M273" s="12"/>
      <c r="N273" s="12"/>
      <c r="O273" s="12"/>
      <c r="P273" s="12"/>
      <c r="Q273" s="12"/>
      <c r="R273" s="12"/>
      <c r="S273" s="12"/>
      <c r="T273" s="12"/>
      <c r="U273" s="12"/>
    </row>
    <row r="274" spans="1:25" s="3" customFormat="1" ht="12.75">
      <c r="A274" s="87"/>
      <c r="B274" s="3" t="s">
        <v>280</v>
      </c>
      <c r="H274" s="3" t="s">
        <v>28</v>
      </c>
      <c r="J274" s="9">
        <f>SUM(L274:S274)</f>
        <v>11487601</v>
      </c>
      <c r="K274" s="10"/>
      <c r="L274" s="10"/>
      <c r="M274" s="10"/>
      <c r="N274" s="10"/>
      <c r="O274" s="10"/>
      <c r="P274" s="10"/>
      <c r="Q274" s="21">
        <f>'Aanpassingen IT n.a.v. FNOP&amp;HS'!G14</f>
        <v>11487601</v>
      </c>
      <c r="R274" s="10"/>
      <c r="S274" s="10"/>
      <c r="T274" s="10"/>
      <c r="U274" s="10"/>
      <c r="V274" s="10"/>
      <c r="Y274" s="3" t="s">
        <v>285</v>
      </c>
    </row>
    <row r="275" spans="1:25" s="3" customFormat="1" ht="12.75">
      <c r="A275" s="87"/>
      <c r="B275" s="3" t="s">
        <v>284</v>
      </c>
      <c r="J275" s="10"/>
      <c r="K275" s="10"/>
      <c r="L275" s="10"/>
      <c r="M275" s="10"/>
      <c r="N275" s="21">
        <f>'Aanpassingen IT n.a.v. FNOP&amp;HS'!G26</f>
        <v>-6841338.5257291356</v>
      </c>
      <c r="O275" s="21">
        <f>'Aanpassingen IT n.a.v. FNOP&amp;HS'!H26</f>
        <v>-933381.76248810487</v>
      </c>
      <c r="P275" s="10"/>
      <c r="Q275" s="10"/>
      <c r="R275" s="10"/>
      <c r="S275" s="10"/>
      <c r="T275" s="10"/>
      <c r="U275" s="10"/>
      <c r="Y275" s="3" t="s">
        <v>285</v>
      </c>
    </row>
    <row r="276" spans="1:25" s="3" customFormat="1" ht="12.75">
      <c r="A276" s="87"/>
      <c r="J276" s="10"/>
      <c r="K276" s="10"/>
      <c r="L276" s="10"/>
      <c r="M276" s="10"/>
      <c r="N276" s="10"/>
      <c r="O276" s="10"/>
      <c r="P276" s="10"/>
      <c r="Q276" s="10"/>
      <c r="R276" s="10"/>
      <c r="S276" s="10"/>
      <c r="T276" s="10"/>
    </row>
    <row r="277" spans="1:25" s="3" customFormat="1" ht="12.75">
      <c r="A277" s="87"/>
      <c r="B277" s="8" t="s">
        <v>39</v>
      </c>
      <c r="J277" s="10"/>
      <c r="K277" s="10"/>
      <c r="L277" s="10"/>
      <c r="M277" s="10"/>
      <c r="N277" s="10"/>
      <c r="O277" s="10"/>
      <c r="P277" s="10"/>
      <c r="Q277" s="10"/>
      <c r="R277" s="10"/>
      <c r="S277" s="10"/>
      <c r="T277" s="10"/>
    </row>
    <row r="278" spans="1:25" s="3" customFormat="1" ht="12.75">
      <c r="A278" s="87"/>
      <c r="J278" s="10"/>
      <c r="K278" s="10"/>
      <c r="L278" s="10"/>
      <c r="M278" s="10"/>
      <c r="N278" s="10"/>
      <c r="O278" s="10"/>
      <c r="P278" s="10"/>
      <c r="Q278" s="10"/>
      <c r="R278" s="10"/>
      <c r="S278" s="10"/>
      <c r="T278" s="10"/>
    </row>
    <row r="279" spans="1:25" s="3" customFormat="1" ht="12.75">
      <c r="A279" s="87"/>
      <c r="B279" s="8" t="s">
        <v>40</v>
      </c>
      <c r="J279" s="10"/>
      <c r="K279" s="10"/>
      <c r="L279" s="10"/>
      <c r="M279" s="10"/>
      <c r="N279" s="10"/>
      <c r="O279" s="10"/>
      <c r="P279" s="10"/>
      <c r="Q279" s="10"/>
      <c r="R279" s="10"/>
      <c r="S279" s="10"/>
      <c r="T279" s="10"/>
    </row>
    <row r="280" spans="1:25" s="3" customFormat="1" ht="12.75">
      <c r="A280" s="87"/>
      <c r="B280" s="3" t="s">
        <v>41</v>
      </c>
      <c r="H280" s="3" t="s">
        <v>30</v>
      </c>
      <c r="J280" s="9">
        <f t="shared" ref="J280:J288" si="36">SUM(L280:S280)</f>
        <v>10062689.623950645</v>
      </c>
      <c r="K280" s="10"/>
      <c r="L280" s="21">
        <f>'Overige opbrengsten'!L156</f>
        <v>18652.520000000004</v>
      </c>
      <c r="M280" s="21">
        <f>'Overige opbrengsten'!M156</f>
        <v>68986.853000000003</v>
      </c>
      <c r="N280" s="21">
        <f>'Overige opbrengsten'!N156</f>
        <v>5412512.0399999991</v>
      </c>
      <c r="O280" s="21">
        <f>'Overige opbrengsten'!O156</f>
        <v>1009531.6884246692</v>
      </c>
      <c r="P280" s="21">
        <f>'Overige opbrengsten'!P156</f>
        <v>69729.89</v>
      </c>
      <c r="Q280" s="21">
        <f>'Overige opbrengsten'!Q156</f>
        <v>3004099.629999999</v>
      </c>
      <c r="R280" s="21">
        <f>'Overige opbrengsten'!R156</f>
        <v>31668.9</v>
      </c>
      <c r="S280" s="21">
        <f>'Overige opbrengsten'!S156</f>
        <v>447508.10252597806</v>
      </c>
      <c r="T280" s="21">
        <f>'Overige opbrengsten'!U156</f>
        <v>0</v>
      </c>
      <c r="U280" s="21">
        <f>'Overige opbrengsten'!V156</f>
        <v>0</v>
      </c>
      <c r="V280" s="21">
        <f>'Overige opbrengsten'!W156</f>
        <v>0</v>
      </c>
    </row>
    <row r="281" spans="1:25" s="3" customFormat="1" ht="12.75">
      <c r="A281" s="87"/>
      <c r="B281" s="3" t="s">
        <v>43</v>
      </c>
      <c r="H281" s="3" t="s">
        <v>30</v>
      </c>
      <c r="J281" s="9">
        <f t="shared" si="36"/>
        <v>3438341.6076990706</v>
      </c>
      <c r="K281" s="10"/>
      <c r="L281" s="21">
        <f>'Overige opbrengsten'!L157</f>
        <v>25995.410000000003</v>
      </c>
      <c r="M281" s="21">
        <f>'Overige opbrengsten'!M157</f>
        <v>3630.8870000000006</v>
      </c>
      <c r="N281" s="21">
        <f>'Overige opbrengsten'!N157</f>
        <v>942159.42105268361</v>
      </c>
      <c r="O281" s="21">
        <f>'Overige opbrengsten'!O157</f>
        <v>-47424.406211654314</v>
      </c>
      <c r="P281" s="21">
        <f>'Overige opbrengsten'!P157</f>
        <v>0</v>
      </c>
      <c r="Q281" s="21">
        <f>'Overige opbrengsten'!Q157</f>
        <v>2310124.8900000006</v>
      </c>
      <c r="R281" s="21">
        <f>'Overige opbrengsten'!R157</f>
        <v>13182</v>
      </c>
      <c r="S281" s="21">
        <f>'Overige opbrengsten'!S157</f>
        <v>190673.40585804096</v>
      </c>
      <c r="T281" s="21">
        <f>'Overige opbrengsten'!U157</f>
        <v>0</v>
      </c>
      <c r="U281" s="21">
        <f>'Overige opbrengsten'!V157</f>
        <v>0</v>
      </c>
      <c r="V281" s="21">
        <f>'Overige opbrengsten'!W157</f>
        <v>0</v>
      </c>
    </row>
    <row r="282" spans="1:25" s="3" customFormat="1" ht="12.75">
      <c r="A282" s="87"/>
      <c r="B282" s="3" t="s">
        <v>48</v>
      </c>
      <c r="H282" s="3" t="s">
        <v>30</v>
      </c>
      <c r="J282" s="9">
        <f t="shared" si="36"/>
        <v>10157345.829439105</v>
      </c>
      <c r="K282" s="10"/>
      <c r="L282" s="21">
        <f>'Overige opbrengsten'!L158</f>
        <v>46313.41</v>
      </c>
      <c r="M282" s="21">
        <f>'Overige opbrengsten'!M158</f>
        <v>145614.25943910447</v>
      </c>
      <c r="N282" s="21">
        <f>'Overige opbrengsten'!N158</f>
        <v>4029951.1500000004</v>
      </c>
      <c r="O282" s="21">
        <f>'Overige opbrengsten'!O158</f>
        <v>3128238.1300000004</v>
      </c>
      <c r="P282" s="21">
        <f>'Overige opbrengsten'!P158</f>
        <v>32134.71</v>
      </c>
      <c r="Q282" s="21">
        <f>'Overige opbrengsten'!Q158</f>
        <v>2624700.63</v>
      </c>
      <c r="R282" s="21">
        <f>'Overige opbrengsten'!R158</f>
        <v>61899.13</v>
      </c>
      <c r="S282" s="21">
        <f>'Overige opbrengsten'!S158</f>
        <v>88494.410000000033</v>
      </c>
      <c r="T282" s="21">
        <f>'Overige opbrengsten'!U158</f>
        <v>0</v>
      </c>
      <c r="U282" s="21">
        <f>'Overige opbrengsten'!V158</f>
        <v>0</v>
      </c>
      <c r="V282" s="21">
        <f>'Overige opbrengsten'!W158</f>
        <v>0</v>
      </c>
    </row>
    <row r="283" spans="1:25" s="3" customFormat="1" ht="12.75">
      <c r="A283" s="87"/>
      <c r="B283" s="3" t="s">
        <v>49</v>
      </c>
      <c r="H283" s="3" t="s">
        <v>30</v>
      </c>
      <c r="J283" s="9">
        <f t="shared" si="36"/>
        <v>1103679.608435344</v>
      </c>
      <c r="K283" s="10"/>
      <c r="L283" s="21">
        <f>'Overige opbrengsten'!L159</f>
        <v>0</v>
      </c>
      <c r="M283" s="21">
        <f>'Overige opbrengsten'!M159</f>
        <v>0</v>
      </c>
      <c r="N283" s="21">
        <f>'Overige opbrengsten'!N159</f>
        <v>0</v>
      </c>
      <c r="O283" s="21">
        <f>'Overige opbrengsten'!O159</f>
        <v>-42008.302263985817</v>
      </c>
      <c r="P283" s="21">
        <f>'Overige opbrengsten'!P159</f>
        <v>12908.55</v>
      </c>
      <c r="Q283" s="21">
        <f>'Overige opbrengsten'!Q159</f>
        <v>1126046.8400000001</v>
      </c>
      <c r="R283" s="21">
        <f>'Overige opbrengsten'!R159</f>
        <v>6652.53</v>
      </c>
      <c r="S283" s="21">
        <f>'Overige opbrengsten'!S159</f>
        <v>79.990699329745368</v>
      </c>
      <c r="T283" s="21">
        <f>'Overige opbrengsten'!U159</f>
        <v>0</v>
      </c>
      <c r="U283" s="21">
        <f>'Overige opbrengsten'!V159</f>
        <v>0</v>
      </c>
      <c r="V283" s="21">
        <f>'Overige opbrengsten'!W159</f>
        <v>0</v>
      </c>
    </row>
    <row r="284" spans="1:25" s="3" customFormat="1" ht="12.75">
      <c r="A284" s="87"/>
      <c r="B284" s="3" t="s">
        <v>50</v>
      </c>
      <c r="H284" s="3" t="s">
        <v>30</v>
      </c>
      <c r="J284" s="9">
        <f t="shared" si="36"/>
        <v>494839.73384137865</v>
      </c>
      <c r="K284" s="10"/>
      <c r="L284" s="21">
        <f>'Overige opbrengsten'!L160</f>
        <v>0</v>
      </c>
      <c r="M284" s="21">
        <f>'Overige opbrengsten'!M160</f>
        <v>0</v>
      </c>
      <c r="N284" s="21">
        <f>'Overige opbrengsten'!N160</f>
        <v>0</v>
      </c>
      <c r="O284" s="21">
        <f>'Overige opbrengsten'!O160</f>
        <v>494822.24384137866</v>
      </c>
      <c r="P284" s="21">
        <f>'Overige opbrengsten'!P160</f>
        <v>17.489999999999998</v>
      </c>
      <c r="Q284" s="21">
        <f>'Overige opbrengsten'!Q160</f>
        <v>0</v>
      </c>
      <c r="R284" s="21">
        <f>'Overige opbrengsten'!R160</f>
        <v>0</v>
      </c>
      <c r="S284" s="21">
        <f>'Overige opbrengsten'!S160</f>
        <v>0</v>
      </c>
      <c r="T284" s="21">
        <f>'Overige opbrengsten'!U160</f>
        <v>0</v>
      </c>
      <c r="U284" s="21">
        <f>'Overige opbrengsten'!V160</f>
        <v>0</v>
      </c>
      <c r="V284" s="21">
        <f>'Overige opbrengsten'!W160</f>
        <v>0</v>
      </c>
    </row>
    <row r="285" spans="1:25" s="3" customFormat="1" ht="12.75">
      <c r="A285" s="87"/>
      <c r="B285" s="3" t="s">
        <v>51</v>
      </c>
      <c r="H285" s="3" t="s">
        <v>30</v>
      </c>
      <c r="J285" s="9">
        <f t="shared" si="36"/>
        <v>1156388.2986379773</v>
      </c>
      <c r="K285" s="10"/>
      <c r="L285" s="21">
        <f>'Overige opbrengsten'!L161</f>
        <v>0</v>
      </c>
      <c r="M285" s="21">
        <f>'Overige opbrengsten'!M161</f>
        <v>0</v>
      </c>
      <c r="N285" s="21">
        <f>'Overige opbrengsten'!N161</f>
        <v>0</v>
      </c>
      <c r="O285" s="21">
        <f>'Overige opbrengsten'!O161</f>
        <v>1156388.2986379773</v>
      </c>
      <c r="P285" s="21">
        <f>'Overige opbrengsten'!P161</f>
        <v>0</v>
      </c>
      <c r="Q285" s="21">
        <f>'Overige opbrengsten'!Q161</f>
        <v>0</v>
      </c>
      <c r="R285" s="21">
        <f>'Overige opbrengsten'!R161</f>
        <v>0</v>
      </c>
      <c r="S285" s="21">
        <f>'Overige opbrengsten'!S161</f>
        <v>0</v>
      </c>
      <c r="T285" s="21">
        <f>'Overige opbrengsten'!U161</f>
        <v>0</v>
      </c>
      <c r="U285" s="21">
        <f>'Overige opbrengsten'!V161</f>
        <v>0</v>
      </c>
      <c r="V285" s="21">
        <f>'Overige opbrengsten'!W161</f>
        <v>0</v>
      </c>
    </row>
    <row r="286" spans="1:25" s="3" customFormat="1" ht="12.75">
      <c r="A286" s="87"/>
      <c r="B286" s="3" t="s">
        <v>52</v>
      </c>
      <c r="H286" s="3" t="s">
        <v>30</v>
      </c>
      <c r="J286" s="9">
        <f t="shared" si="36"/>
        <v>176044.37000000002</v>
      </c>
      <c r="K286" s="10"/>
      <c r="L286" s="21">
        <f>'Overige opbrengsten'!L162</f>
        <v>0</v>
      </c>
      <c r="M286" s="21">
        <f>'Overige opbrengsten'!M162</f>
        <v>0</v>
      </c>
      <c r="N286" s="21">
        <f>'Overige opbrengsten'!N162</f>
        <v>0</v>
      </c>
      <c r="O286" s="21">
        <f>'Overige opbrengsten'!O162</f>
        <v>176044.37000000002</v>
      </c>
      <c r="P286" s="21">
        <f>'Overige opbrengsten'!P162</f>
        <v>0</v>
      </c>
      <c r="Q286" s="21">
        <f>'Overige opbrengsten'!Q162</f>
        <v>0</v>
      </c>
      <c r="R286" s="21">
        <f>'Overige opbrengsten'!R162</f>
        <v>0</v>
      </c>
      <c r="S286" s="21">
        <f>'Overige opbrengsten'!S162</f>
        <v>0</v>
      </c>
      <c r="T286" s="21">
        <f>'Overige opbrengsten'!U162</f>
        <v>0</v>
      </c>
      <c r="U286" s="21">
        <f>'Overige opbrengsten'!V162</f>
        <v>0</v>
      </c>
      <c r="V286" s="21">
        <f>'Overige opbrengsten'!W162</f>
        <v>0</v>
      </c>
    </row>
    <row r="287" spans="1:25" s="3" customFormat="1" ht="12.75">
      <c r="A287" s="87"/>
      <c r="B287" s="3" t="s">
        <v>53</v>
      </c>
      <c r="H287" s="3" t="s">
        <v>30</v>
      </c>
      <c r="J287" s="9">
        <f t="shared" si="36"/>
        <v>292942.24</v>
      </c>
      <c r="K287" s="10"/>
      <c r="L287" s="21">
        <f>'Overige opbrengsten'!L163</f>
        <v>0</v>
      </c>
      <c r="M287" s="21">
        <f>'Overige opbrengsten'!M163</f>
        <v>0</v>
      </c>
      <c r="N287" s="21">
        <f>'Overige opbrengsten'!N163</f>
        <v>0</v>
      </c>
      <c r="O287" s="21">
        <f>'Overige opbrengsten'!O163</f>
        <v>292942.24</v>
      </c>
      <c r="P287" s="21">
        <f>'Overige opbrengsten'!P163</f>
        <v>0</v>
      </c>
      <c r="Q287" s="21">
        <f>'Overige opbrengsten'!Q163</f>
        <v>0</v>
      </c>
      <c r="R287" s="21">
        <f>'Overige opbrengsten'!R163</f>
        <v>0</v>
      </c>
      <c r="S287" s="21">
        <f>'Overige opbrengsten'!S163</f>
        <v>0</v>
      </c>
      <c r="T287" s="21">
        <f>'Overige opbrengsten'!U163</f>
        <v>0</v>
      </c>
      <c r="U287" s="21">
        <f>'Overige opbrengsten'!V163</f>
        <v>0</v>
      </c>
      <c r="V287" s="21">
        <f>'Overige opbrengsten'!W163</f>
        <v>0</v>
      </c>
    </row>
    <row r="288" spans="1:25" s="3" customFormat="1" ht="12.75">
      <c r="A288" s="87"/>
      <c r="B288" s="3" t="s">
        <v>54</v>
      </c>
      <c r="H288" s="3" t="s">
        <v>30</v>
      </c>
      <c r="J288" s="9">
        <f t="shared" si="36"/>
        <v>0</v>
      </c>
      <c r="K288" s="10"/>
      <c r="L288" s="21">
        <f>'Overige opbrengsten'!L164</f>
        <v>0</v>
      </c>
      <c r="M288" s="21">
        <f>'Overige opbrengsten'!M164</f>
        <v>0</v>
      </c>
      <c r="N288" s="21">
        <f>'Overige opbrengsten'!N164</f>
        <v>0</v>
      </c>
      <c r="O288" s="21">
        <f>'Overige opbrengsten'!O164</f>
        <v>0</v>
      </c>
      <c r="P288" s="21">
        <f>'Overige opbrengsten'!P164</f>
        <v>0</v>
      </c>
      <c r="Q288" s="21">
        <f>'Overige opbrengsten'!Q164</f>
        <v>0</v>
      </c>
      <c r="R288" s="21">
        <f>'Overige opbrengsten'!R164</f>
        <v>0</v>
      </c>
      <c r="S288" s="21">
        <f>'Overige opbrengsten'!S164</f>
        <v>0</v>
      </c>
      <c r="T288" s="21">
        <f>'Overige opbrengsten'!U164</f>
        <v>0</v>
      </c>
      <c r="U288" s="21">
        <f>'Overige opbrengsten'!V164</f>
        <v>0</v>
      </c>
      <c r="V288" s="21">
        <f>'Overige opbrengsten'!W164</f>
        <v>0</v>
      </c>
    </row>
    <row r="289" spans="1:25" s="3" customFormat="1" ht="12.75">
      <c r="A289" s="87"/>
      <c r="J289" s="10"/>
      <c r="K289" s="10"/>
      <c r="L289" s="10"/>
      <c r="M289" s="10"/>
      <c r="N289" s="10"/>
      <c r="O289" s="10"/>
      <c r="P289" s="10"/>
      <c r="Q289" s="10"/>
      <c r="R289" s="10"/>
      <c r="S289" s="10"/>
      <c r="T289" s="10"/>
      <c r="U289" s="10"/>
      <c r="V289" s="10"/>
    </row>
    <row r="290" spans="1:25" s="3" customFormat="1" ht="12.75">
      <c r="A290" s="87"/>
      <c r="B290" s="27" t="s">
        <v>194</v>
      </c>
      <c r="J290" s="10"/>
      <c r="K290" s="10"/>
      <c r="L290" s="10"/>
      <c r="M290" s="10"/>
      <c r="N290" s="10"/>
      <c r="O290" s="10"/>
      <c r="P290" s="10"/>
      <c r="Q290" s="10"/>
      <c r="R290" s="10"/>
      <c r="S290" s="10"/>
      <c r="T290" s="10"/>
      <c r="U290" s="10"/>
      <c r="V290" s="10"/>
    </row>
    <row r="291" spans="1:25" s="3" customFormat="1" ht="12.75">
      <c r="A291" s="87"/>
      <c r="B291" s="28" t="s">
        <v>198</v>
      </c>
      <c r="H291" s="3" t="s">
        <v>30</v>
      </c>
      <c r="J291" s="9">
        <f>SUM(L291:S291)</f>
        <v>1004877.1637490276</v>
      </c>
      <c r="K291" s="10"/>
      <c r="L291" s="21">
        <f>'Overige opbrengsten'!L170</f>
        <v>4096.28</v>
      </c>
      <c r="M291" s="21">
        <f>'Overige opbrengsten'!M170</f>
        <v>0</v>
      </c>
      <c r="N291" s="21">
        <f>'Overige opbrengsten'!N170</f>
        <v>358122.60000000015</v>
      </c>
      <c r="O291" s="21">
        <f>'Overige opbrengsten'!O170</f>
        <v>374217.46999999898</v>
      </c>
      <c r="P291" s="21">
        <f>'Overige opbrengsten'!P170</f>
        <v>365.07</v>
      </c>
      <c r="Q291" s="21">
        <f>'Overige opbrengsten'!Q170</f>
        <v>241629.48000000004</v>
      </c>
      <c r="R291" s="21">
        <f>'Overige opbrengsten'!R170</f>
        <v>0</v>
      </c>
      <c r="S291" s="21">
        <f>'Overige opbrengsten'!S170</f>
        <v>26446.263749028385</v>
      </c>
      <c r="T291" s="21">
        <f>'Overige opbrengsten'!U170</f>
        <v>0</v>
      </c>
      <c r="U291" s="21">
        <f>'Overige opbrengsten'!V170</f>
        <v>0</v>
      </c>
      <c r="V291" s="21">
        <f>'Overige opbrengsten'!W170</f>
        <v>0</v>
      </c>
    </row>
    <row r="292" spans="1:25" s="3" customFormat="1" ht="12.75">
      <c r="A292" s="87"/>
      <c r="J292" s="10"/>
      <c r="K292" s="10"/>
      <c r="L292" s="10"/>
      <c r="M292" s="10"/>
      <c r="N292" s="10"/>
      <c r="O292" s="10"/>
      <c r="P292" s="10"/>
      <c r="Q292" s="10"/>
      <c r="R292" s="10"/>
      <c r="S292" s="10"/>
      <c r="T292" s="10"/>
      <c r="U292" s="10"/>
      <c r="V292" s="10"/>
    </row>
    <row r="293" spans="1:25" s="3" customFormat="1" ht="12.75">
      <c r="A293" s="87"/>
      <c r="B293" s="8" t="s">
        <v>44</v>
      </c>
      <c r="J293" s="10"/>
      <c r="K293" s="10"/>
      <c r="L293" s="10"/>
      <c r="M293" s="10"/>
      <c r="N293" s="10"/>
      <c r="O293" s="10"/>
      <c r="P293" s="10"/>
      <c r="Q293" s="10"/>
      <c r="R293" s="10"/>
      <c r="S293" s="10"/>
      <c r="T293" s="10"/>
      <c r="U293" s="10"/>
      <c r="V293" s="10"/>
    </row>
    <row r="294" spans="1:25" s="3" customFormat="1" ht="12.75">
      <c r="A294" s="87"/>
      <c r="B294" s="3" t="s">
        <v>45</v>
      </c>
      <c r="H294" s="3" t="s">
        <v>30</v>
      </c>
      <c r="J294" s="9">
        <f>SUM(L294:S294)</f>
        <v>2599629.2100000209</v>
      </c>
      <c r="K294" s="10"/>
      <c r="L294" s="21">
        <f>'Overige opbrengsten'!L144</f>
        <v>87350.399999999994</v>
      </c>
      <c r="M294" s="21">
        <f>'Overige opbrengsten'!M144</f>
        <v>52253.45</v>
      </c>
      <c r="N294" s="21">
        <f>'Overige opbrengsten'!N144</f>
        <v>1139243.71</v>
      </c>
      <c r="O294" s="21">
        <f>'Overige opbrengsten'!O144</f>
        <v>231859.62999999989</v>
      </c>
      <c r="P294" s="21">
        <f>'Overige opbrengsten'!P144</f>
        <v>18191.13</v>
      </c>
      <c r="Q294" s="21">
        <f>'Overige opbrengsten'!Q144</f>
        <v>864800.93000002124</v>
      </c>
      <c r="R294" s="21">
        <f>'Overige opbrengsten'!R144</f>
        <v>23232.229999999985</v>
      </c>
      <c r="S294" s="21">
        <f>'Overige opbrengsten'!S144</f>
        <v>182697.72999999998</v>
      </c>
      <c r="T294" s="21">
        <f>'Overige opbrengsten'!U144</f>
        <v>0</v>
      </c>
      <c r="U294" s="21">
        <f>'Overige opbrengsten'!V144</f>
        <v>0</v>
      </c>
      <c r="V294" s="21">
        <f>'Overige opbrengsten'!W144</f>
        <v>0</v>
      </c>
    </row>
    <row r="295" spans="1:25" s="3" customFormat="1" ht="12.75">
      <c r="A295" s="87"/>
      <c r="B295" s="3" t="s">
        <v>46</v>
      </c>
      <c r="H295" s="3" t="s">
        <v>30</v>
      </c>
      <c r="J295" s="9">
        <f>SUM(L295:S295)</f>
        <v>67977985.673854172</v>
      </c>
      <c r="K295" s="10"/>
      <c r="L295" s="21">
        <f>'Overige opbrengsten'!L152</f>
        <v>87350.399999999994</v>
      </c>
      <c r="M295" s="21">
        <f>'Overige opbrengsten'!M152</f>
        <v>252253.45</v>
      </c>
      <c r="N295" s="21">
        <f>'Overige opbrengsten'!N152</f>
        <v>36742505.188956603</v>
      </c>
      <c r="O295" s="21">
        <f>'Overige opbrengsten'!O152</f>
        <v>22996404.797260802</v>
      </c>
      <c r="P295" s="21">
        <f>'Overige opbrengsten'!P152</f>
        <v>63461.180000000008</v>
      </c>
      <c r="Q295" s="21">
        <f>'Overige opbrengsten'!Q152</f>
        <v>6264717.2565873004</v>
      </c>
      <c r="R295" s="21">
        <f>'Overige opbrengsten'!R152</f>
        <v>620959.29104945681</v>
      </c>
      <c r="S295" s="21">
        <f>'Overige opbrengsten'!S152</f>
        <v>950334.1100000001</v>
      </c>
      <c r="T295" s="21">
        <f>'Overige opbrengsten'!U152</f>
        <v>1005080.6</v>
      </c>
      <c r="U295" s="21">
        <f>'Overige opbrengsten'!V152</f>
        <v>332197.01452927646</v>
      </c>
      <c r="V295" s="21">
        <f>'Overige opbrengsten'!W152</f>
        <v>0</v>
      </c>
    </row>
    <row r="296" spans="1:25" s="3" customFormat="1" ht="12.75">
      <c r="A296" s="87"/>
      <c r="J296" s="10"/>
      <c r="K296" s="10"/>
      <c r="L296" s="10"/>
      <c r="M296" s="10"/>
      <c r="N296" s="10"/>
      <c r="O296" s="10"/>
      <c r="P296" s="10"/>
      <c r="Q296" s="10"/>
      <c r="R296" s="10"/>
      <c r="S296" s="10"/>
      <c r="T296" s="10"/>
      <c r="U296" s="10"/>
      <c r="V296" s="10"/>
    </row>
    <row r="297" spans="1:25" s="3" customFormat="1" ht="12.75">
      <c r="A297" s="87"/>
      <c r="B297" s="8" t="s">
        <v>47</v>
      </c>
      <c r="J297" s="10"/>
      <c r="K297" s="10"/>
      <c r="L297" s="10"/>
      <c r="M297" s="10"/>
      <c r="N297" s="10"/>
      <c r="O297" s="10"/>
      <c r="P297" s="10"/>
      <c r="Q297" s="10"/>
      <c r="R297" s="10"/>
      <c r="S297" s="10"/>
      <c r="T297" s="10"/>
      <c r="U297" s="10"/>
      <c r="V297" s="10"/>
    </row>
    <row r="298" spans="1:25" s="3" customFormat="1" ht="12.75">
      <c r="A298" s="87"/>
      <c r="B298" s="3" t="s">
        <v>45</v>
      </c>
      <c r="H298" s="3" t="s">
        <v>30</v>
      </c>
      <c r="J298" s="9">
        <f>SUM(L298:S298)</f>
        <v>2536168.6149269412</v>
      </c>
      <c r="K298" s="10"/>
      <c r="L298" s="21">
        <f>'Overige opbrengsten'!L128</f>
        <v>23889.804926920206</v>
      </c>
      <c r="M298" s="21">
        <f>'Overige opbrengsten'!M128</f>
        <v>52253.45</v>
      </c>
      <c r="N298" s="21">
        <f>'Overige opbrengsten'!N128</f>
        <v>1139243.71</v>
      </c>
      <c r="O298" s="21">
        <f>'Overige opbrengsten'!O128</f>
        <v>231859.62999999989</v>
      </c>
      <c r="P298" s="21">
        <f>'Overige opbrengsten'!P128</f>
        <v>18191.13</v>
      </c>
      <c r="Q298" s="21">
        <f>'Overige opbrengsten'!Q128</f>
        <v>864800.93000002124</v>
      </c>
      <c r="R298" s="21">
        <f>'Overige opbrengsten'!R128</f>
        <v>23232.229999999985</v>
      </c>
      <c r="S298" s="21">
        <f>'Overige opbrengsten'!S128</f>
        <v>182697.72999999998</v>
      </c>
      <c r="T298" s="21">
        <f>'Overige opbrengsten'!U128</f>
        <v>0</v>
      </c>
      <c r="U298" s="21">
        <f>'Overige opbrengsten'!V128</f>
        <v>0</v>
      </c>
      <c r="V298" s="21">
        <f>'Overige opbrengsten'!W128</f>
        <v>0</v>
      </c>
    </row>
    <row r="299" spans="1:25" s="3" customFormat="1" ht="12.75">
      <c r="A299" s="87"/>
      <c r="J299" s="10"/>
      <c r="K299" s="10"/>
      <c r="L299" s="10"/>
      <c r="M299" s="10"/>
      <c r="N299" s="10"/>
      <c r="O299" s="10"/>
      <c r="P299" s="10"/>
      <c r="Q299" s="10"/>
      <c r="R299" s="10"/>
      <c r="S299" s="10"/>
      <c r="T299" s="10"/>
      <c r="U299" s="10"/>
      <c r="V299" s="10"/>
    </row>
    <row r="300" spans="1:25" s="3" customFormat="1" ht="12.75">
      <c r="A300" s="87"/>
      <c r="J300" s="10"/>
      <c r="K300" s="10"/>
      <c r="L300" s="10"/>
      <c r="M300" s="10"/>
      <c r="N300" s="10"/>
      <c r="O300" s="10"/>
      <c r="P300" s="10"/>
      <c r="Q300" s="10"/>
      <c r="R300" s="10"/>
      <c r="S300" s="10"/>
      <c r="T300" s="10"/>
      <c r="U300" s="10"/>
      <c r="V300" s="10"/>
    </row>
    <row r="301" spans="1:25" s="3" customFormat="1" ht="12.75">
      <c r="A301" s="87"/>
      <c r="B301" s="8" t="s">
        <v>55</v>
      </c>
      <c r="J301" s="10"/>
      <c r="K301" s="10"/>
      <c r="L301" s="10"/>
      <c r="M301" s="10"/>
      <c r="N301" s="10"/>
      <c r="O301" s="10"/>
      <c r="P301" s="10"/>
      <c r="Q301" s="10"/>
      <c r="R301" s="10"/>
      <c r="S301" s="10"/>
      <c r="T301" s="10"/>
      <c r="U301" s="10"/>
      <c r="V301" s="10"/>
    </row>
    <row r="302" spans="1:25" s="3" customFormat="1" ht="12.75">
      <c r="A302" s="87"/>
      <c r="J302" s="10"/>
      <c r="K302" s="10"/>
      <c r="L302" s="10"/>
      <c r="M302" s="10"/>
      <c r="N302" s="10"/>
      <c r="O302" s="10"/>
      <c r="P302" s="10"/>
      <c r="Q302" s="10"/>
      <c r="R302" s="10"/>
      <c r="S302" s="10"/>
      <c r="T302" s="10"/>
      <c r="U302" s="10"/>
      <c r="V302" s="10"/>
    </row>
    <row r="303" spans="1:25" s="3" customFormat="1" ht="12.75">
      <c r="A303" s="87"/>
      <c r="B303" s="8" t="s">
        <v>8</v>
      </c>
      <c r="J303" s="10"/>
      <c r="K303" s="10"/>
      <c r="L303" s="10"/>
      <c r="M303" s="10"/>
      <c r="N303" s="10"/>
      <c r="O303" s="10"/>
      <c r="P303" s="10"/>
      <c r="Q303" s="10"/>
      <c r="R303" s="10"/>
      <c r="S303" s="10"/>
      <c r="T303" s="10"/>
      <c r="U303" s="10"/>
      <c r="V303" s="10"/>
    </row>
    <row r="304" spans="1:25" s="3" customFormat="1" ht="12.75">
      <c r="A304" s="87"/>
      <c r="B304" s="3" t="s">
        <v>9</v>
      </c>
      <c r="H304" s="3" t="s">
        <v>30</v>
      </c>
      <c r="J304" s="9">
        <f>SUM(L304:S304)</f>
        <v>388485395.21986371</v>
      </c>
      <c r="K304" s="10"/>
      <c r="L304" s="9">
        <f>L228+L254</f>
        <v>0</v>
      </c>
      <c r="M304" s="9">
        <f t="shared" ref="M304:V304" si="37">M228+M254</f>
        <v>8687193.3200000022</v>
      </c>
      <c r="N304" s="9">
        <f t="shared" si="37"/>
        <v>153751852.24999997</v>
      </c>
      <c r="O304" s="9">
        <f t="shared" si="37"/>
        <v>133511956.96000001</v>
      </c>
      <c r="P304" s="9">
        <f t="shared" si="37"/>
        <v>0</v>
      </c>
      <c r="Q304" s="9">
        <f t="shared" si="37"/>
        <v>83860478.120000005</v>
      </c>
      <c r="R304" s="9">
        <f t="shared" si="37"/>
        <v>8673914.5698637087</v>
      </c>
      <c r="S304" s="9">
        <f t="shared" si="37"/>
        <v>0</v>
      </c>
      <c r="T304" s="9">
        <f t="shared" si="37"/>
        <v>4584473.5586680938</v>
      </c>
      <c r="U304" s="9">
        <f t="shared" si="37"/>
        <v>83860478.120000005</v>
      </c>
      <c r="V304" s="9">
        <f t="shared" si="37"/>
        <v>0</v>
      </c>
      <c r="Y304" s="79" t="s">
        <v>268</v>
      </c>
    </row>
    <row r="305" spans="1:22" s="3" customFormat="1" ht="12.75">
      <c r="A305" s="87"/>
      <c r="B305" s="3" t="s">
        <v>10</v>
      </c>
      <c r="H305" s="3" t="s">
        <v>30</v>
      </c>
      <c r="J305" s="9">
        <f>SUM(L305:S305)</f>
        <v>19109686.717</v>
      </c>
      <c r="K305" s="10"/>
      <c r="L305" s="9">
        <f>L229+L255</f>
        <v>3337227</v>
      </c>
      <c r="M305" s="9">
        <f t="shared" ref="M305:V305" si="38">M229+M255</f>
        <v>0</v>
      </c>
      <c r="N305" s="9">
        <f t="shared" si="38"/>
        <v>577395.04720000003</v>
      </c>
      <c r="O305" s="9">
        <f t="shared" si="38"/>
        <v>792392.82000000007</v>
      </c>
      <c r="P305" s="9">
        <f t="shared" si="38"/>
        <v>2286987.17</v>
      </c>
      <c r="Q305" s="9">
        <f t="shared" si="38"/>
        <v>4928024.4050000003</v>
      </c>
      <c r="R305" s="9">
        <f t="shared" si="38"/>
        <v>181199.03480000034</v>
      </c>
      <c r="S305" s="9">
        <f t="shared" si="38"/>
        <v>7006461.2400000002</v>
      </c>
      <c r="T305" s="9">
        <f t="shared" si="38"/>
        <v>315433.19999999995</v>
      </c>
      <c r="U305" s="9">
        <f t="shared" si="38"/>
        <v>0</v>
      </c>
      <c r="V305" s="9">
        <f t="shared" si="38"/>
        <v>0</v>
      </c>
    </row>
    <row r="306" spans="1:22" s="3" customFormat="1" ht="12.75">
      <c r="A306" s="87"/>
      <c r="B306" s="3" t="s">
        <v>11</v>
      </c>
      <c r="H306" s="3" t="s">
        <v>30</v>
      </c>
      <c r="J306" s="9">
        <f>SUM(L306:S306)</f>
        <v>203977500.12626415</v>
      </c>
      <c r="K306" s="10"/>
      <c r="L306" s="9">
        <f t="shared" ref="L306:V306" si="39">L230+L256-(SUM(L280:L281)+L291)</f>
        <v>705313.92</v>
      </c>
      <c r="M306" s="9">
        <f t="shared" si="39"/>
        <v>4321965.709999999</v>
      </c>
      <c r="N306" s="9">
        <f t="shared" si="39"/>
        <v>81929133.606947318</v>
      </c>
      <c r="O306" s="9">
        <f t="shared" si="39"/>
        <v>79732543.247786984</v>
      </c>
      <c r="P306" s="9">
        <f t="shared" si="39"/>
        <v>439523.81</v>
      </c>
      <c r="Q306" s="9">
        <f t="shared" si="39"/>
        <v>32458407.883662902</v>
      </c>
      <c r="R306" s="9">
        <f t="shared" si="39"/>
        <v>2507483.5299999998</v>
      </c>
      <c r="S306" s="9">
        <f t="shared" si="39"/>
        <v>1883128.4178669525</v>
      </c>
      <c r="T306" s="9">
        <f t="shared" si="39"/>
        <v>2049112.9</v>
      </c>
      <c r="U306" s="9">
        <f t="shared" si="39"/>
        <v>1667871.98</v>
      </c>
      <c r="V306" s="9">
        <f t="shared" si="39"/>
        <v>0</v>
      </c>
    </row>
    <row r="307" spans="1:22" s="3" customFormat="1" ht="12.75">
      <c r="A307" s="87"/>
      <c r="B307" s="3" t="s">
        <v>12</v>
      </c>
      <c r="H307" s="3" t="s">
        <v>30</v>
      </c>
      <c r="J307" s="9">
        <f>SUM(L307:S307)</f>
        <v>0</v>
      </c>
      <c r="K307" s="10"/>
      <c r="L307" s="9">
        <f t="shared" ref="L307:V307" si="40">L231+L257</f>
        <v>0</v>
      </c>
      <c r="M307" s="9">
        <f t="shared" si="40"/>
        <v>0</v>
      </c>
      <c r="N307" s="9">
        <f t="shared" si="40"/>
        <v>0</v>
      </c>
      <c r="O307" s="9">
        <f t="shared" si="40"/>
        <v>0</v>
      </c>
      <c r="P307" s="9">
        <f t="shared" si="40"/>
        <v>0</v>
      </c>
      <c r="Q307" s="9">
        <f t="shared" si="40"/>
        <v>0</v>
      </c>
      <c r="R307" s="9">
        <f t="shared" si="40"/>
        <v>0</v>
      </c>
      <c r="S307" s="9">
        <f t="shared" si="40"/>
        <v>0</v>
      </c>
      <c r="T307" s="9">
        <f t="shared" si="40"/>
        <v>0</v>
      </c>
      <c r="U307" s="9">
        <f t="shared" si="40"/>
        <v>0</v>
      </c>
      <c r="V307" s="9">
        <f t="shared" si="40"/>
        <v>0</v>
      </c>
    </row>
    <row r="308" spans="1:22" s="3" customFormat="1" ht="12.75">
      <c r="A308" s="87"/>
      <c r="J308" s="10"/>
      <c r="K308" s="10"/>
      <c r="L308" s="10"/>
      <c r="M308" s="10"/>
      <c r="N308" s="10"/>
      <c r="O308" s="10"/>
      <c r="P308" s="10"/>
      <c r="Q308" s="10"/>
      <c r="R308" s="10"/>
      <c r="S308" s="10"/>
      <c r="T308" s="10"/>
      <c r="U308" s="10"/>
      <c r="V308" s="10"/>
    </row>
    <row r="309" spans="1:22" s="3" customFormat="1" ht="12.75">
      <c r="A309" s="87"/>
      <c r="B309" s="8" t="s">
        <v>13</v>
      </c>
      <c r="J309" s="10"/>
      <c r="K309" s="10"/>
      <c r="L309" s="10"/>
      <c r="M309" s="10"/>
      <c r="N309" s="10"/>
      <c r="O309" s="10"/>
      <c r="P309" s="10"/>
      <c r="Q309" s="10"/>
      <c r="R309" s="10"/>
      <c r="S309" s="10"/>
      <c r="T309" s="10"/>
      <c r="U309" s="10"/>
      <c r="V309" s="10"/>
    </row>
    <row r="310" spans="1:22" s="3" customFormat="1" ht="12.75">
      <c r="A310" s="87"/>
      <c r="B310" s="3" t="s">
        <v>14</v>
      </c>
      <c r="H310" s="3" t="s">
        <v>30</v>
      </c>
      <c r="J310" s="9">
        <f>SUM(L310:S310)</f>
        <v>737941073.24905491</v>
      </c>
      <c r="K310" s="10"/>
      <c r="L310" s="9">
        <f>L234+L260-(L295-L294+L298+SUM(L282:L288))</f>
        <v>4540991.7850730801</v>
      </c>
      <c r="M310" s="9">
        <f t="shared" ref="M310:V310" si="41">M234+M260-(M295-M294+M298+SUM(M282:M288))</f>
        <v>21831645.538444933</v>
      </c>
      <c r="N310" s="9">
        <f t="shared" si="41"/>
        <v>193268509.63946813</v>
      </c>
      <c r="O310" s="9">
        <f t="shared" si="41"/>
        <v>325593601.82635003</v>
      </c>
      <c r="P310" s="9">
        <f t="shared" si="41"/>
        <v>1955461.1200000001</v>
      </c>
      <c r="Q310" s="9">
        <f t="shared" si="41"/>
        <v>174102560.62889153</v>
      </c>
      <c r="R310" s="9">
        <f t="shared" si="41"/>
        <v>9477149.120000001</v>
      </c>
      <c r="S310" s="9">
        <f t="shared" si="41"/>
        <v>7171153.5908271456</v>
      </c>
      <c r="T310" s="9">
        <f t="shared" si="41"/>
        <v>5697802.4000000004</v>
      </c>
      <c r="U310" s="9">
        <f t="shared" si="41"/>
        <v>-332197.01452927646</v>
      </c>
      <c r="V310" s="9">
        <f t="shared" si="41"/>
        <v>0</v>
      </c>
    </row>
    <row r="311" spans="1:22" s="3" customFormat="1" ht="12.75">
      <c r="A311" s="87"/>
      <c r="B311" s="3" t="s">
        <v>77</v>
      </c>
      <c r="H311" s="3" t="s">
        <v>30</v>
      </c>
      <c r="J311" s="9">
        <f>SUM(L311:S311)</f>
        <v>0</v>
      </c>
      <c r="K311" s="10"/>
      <c r="L311" s="9">
        <f t="shared" ref="L311:V311" si="42">L235+L261</f>
        <v>0</v>
      </c>
      <c r="M311" s="9">
        <f t="shared" si="42"/>
        <v>0</v>
      </c>
      <c r="N311" s="9">
        <f t="shared" si="42"/>
        <v>0</v>
      </c>
      <c r="O311" s="9">
        <f t="shared" si="42"/>
        <v>0</v>
      </c>
      <c r="P311" s="9">
        <f t="shared" si="42"/>
        <v>0</v>
      </c>
      <c r="Q311" s="9">
        <f t="shared" si="42"/>
        <v>0</v>
      </c>
      <c r="R311" s="9">
        <f t="shared" si="42"/>
        <v>0</v>
      </c>
      <c r="S311" s="9">
        <f t="shared" si="42"/>
        <v>0</v>
      </c>
      <c r="T311" s="9">
        <f t="shared" si="42"/>
        <v>0</v>
      </c>
      <c r="U311" s="9">
        <f t="shared" si="42"/>
        <v>0</v>
      </c>
      <c r="V311" s="9">
        <f t="shared" si="42"/>
        <v>0</v>
      </c>
    </row>
    <row r="312" spans="1:22" s="3" customFormat="1" ht="12.75">
      <c r="A312" s="87"/>
      <c r="B312" s="3" t="s">
        <v>15</v>
      </c>
      <c r="H312" s="3" t="s">
        <v>30</v>
      </c>
      <c r="J312" s="9">
        <f>SUM(M312:T312)</f>
        <v>20404667.537016392</v>
      </c>
      <c r="K312" s="10"/>
      <c r="L312" s="9">
        <f t="shared" ref="L312:V312" si="43">L236+L262</f>
        <v>0</v>
      </c>
      <c r="M312" s="9">
        <f t="shared" si="43"/>
        <v>0</v>
      </c>
      <c r="N312" s="9">
        <f t="shared" si="43"/>
        <v>0</v>
      </c>
      <c r="O312" s="9">
        <f t="shared" si="43"/>
        <v>0</v>
      </c>
      <c r="P312" s="9">
        <f t="shared" si="43"/>
        <v>370824.85</v>
      </c>
      <c r="Q312" s="9">
        <f t="shared" si="43"/>
        <v>20033842.68701639</v>
      </c>
      <c r="R312" s="9">
        <f t="shared" si="43"/>
        <v>0</v>
      </c>
      <c r="S312" s="9">
        <f t="shared" si="43"/>
        <v>0</v>
      </c>
      <c r="T312" s="9">
        <f t="shared" si="43"/>
        <v>0</v>
      </c>
      <c r="U312" s="9">
        <f t="shared" si="43"/>
        <v>6379250.1173999999</v>
      </c>
      <c r="V312" s="9">
        <f t="shared" si="43"/>
        <v>862</v>
      </c>
    </row>
    <row r="313" spans="1:22" s="3" customFormat="1" ht="12.75">
      <c r="A313" s="87"/>
      <c r="J313" s="10"/>
      <c r="K313" s="10"/>
      <c r="L313" s="10"/>
      <c r="M313" s="10"/>
      <c r="N313" s="10"/>
      <c r="O313" s="10"/>
      <c r="P313" s="10"/>
      <c r="Q313" s="10"/>
      <c r="R313" s="10"/>
      <c r="S313" s="10"/>
      <c r="T313" s="10"/>
      <c r="U313" s="10"/>
      <c r="V313" s="10"/>
    </row>
    <row r="314" spans="1:22" s="3" customFormat="1" ht="12.75">
      <c r="A314" s="87"/>
      <c r="B314" s="8" t="s">
        <v>16</v>
      </c>
      <c r="J314" s="10"/>
      <c r="K314" s="10"/>
      <c r="L314" s="10"/>
      <c r="M314" s="10"/>
      <c r="N314" s="10"/>
      <c r="O314" s="10"/>
      <c r="P314" s="10"/>
      <c r="Q314" s="10"/>
      <c r="R314" s="10"/>
      <c r="S314" s="10"/>
      <c r="T314" s="10"/>
      <c r="U314" s="10"/>
      <c r="V314" s="10"/>
    </row>
    <row r="315" spans="1:22" s="3" customFormat="1" ht="12.75">
      <c r="A315" s="87"/>
      <c r="B315" s="3" t="s">
        <v>17</v>
      </c>
      <c r="H315" s="3" t="s">
        <v>30</v>
      </c>
      <c r="J315" s="9">
        <f>SUM(L315:S315)</f>
        <v>75027909.039999992</v>
      </c>
      <c r="K315" s="10"/>
      <c r="L315" s="9">
        <f t="shared" ref="L315:V315" si="44">L239+L265</f>
        <v>0</v>
      </c>
      <c r="M315" s="9">
        <f t="shared" si="44"/>
        <v>949986</v>
      </c>
      <c r="N315" s="9">
        <f t="shared" si="44"/>
        <v>0</v>
      </c>
      <c r="O315" s="9">
        <f t="shared" si="44"/>
        <v>55143670.659999996</v>
      </c>
      <c r="P315" s="9">
        <f t="shared" si="44"/>
        <v>0</v>
      </c>
      <c r="Q315" s="9">
        <f t="shared" si="44"/>
        <v>18895613</v>
      </c>
      <c r="R315" s="9">
        <f t="shared" si="44"/>
        <v>38639.379999999997</v>
      </c>
      <c r="S315" s="9">
        <f t="shared" si="44"/>
        <v>0</v>
      </c>
      <c r="T315" s="9">
        <f t="shared" si="44"/>
        <v>0</v>
      </c>
      <c r="U315" s="9">
        <f t="shared" si="44"/>
        <v>288120.30000000005</v>
      </c>
      <c r="V315" s="9">
        <f t="shared" si="44"/>
        <v>0</v>
      </c>
    </row>
    <row r="316" spans="1:22" s="3" customFormat="1" ht="12.75">
      <c r="A316" s="87"/>
      <c r="B316" s="3" t="s">
        <v>18</v>
      </c>
      <c r="H316" s="3" t="s">
        <v>30</v>
      </c>
      <c r="J316" s="9">
        <f>SUM(L316:S316)</f>
        <v>1402489.0953262288</v>
      </c>
      <c r="K316" s="10"/>
      <c r="L316" s="9">
        <f t="shared" ref="L316:V316" si="45">L240+L266</f>
        <v>1875.1105000000002</v>
      </c>
      <c r="M316" s="9">
        <f t="shared" si="45"/>
        <v>0</v>
      </c>
      <c r="N316" s="9">
        <f t="shared" si="45"/>
        <v>1400613.9848262288</v>
      </c>
      <c r="O316" s="9">
        <f t="shared" si="45"/>
        <v>0</v>
      </c>
      <c r="P316" s="9">
        <f t="shared" si="45"/>
        <v>0</v>
      </c>
      <c r="Q316" s="9">
        <f t="shared" si="45"/>
        <v>0</v>
      </c>
      <c r="R316" s="9">
        <f t="shared" si="45"/>
        <v>0</v>
      </c>
      <c r="S316" s="9">
        <f t="shared" si="45"/>
        <v>0</v>
      </c>
      <c r="T316" s="9">
        <f t="shared" si="45"/>
        <v>0</v>
      </c>
      <c r="U316" s="9">
        <f t="shared" si="45"/>
        <v>0</v>
      </c>
      <c r="V316" s="9">
        <f t="shared" si="45"/>
        <v>0</v>
      </c>
    </row>
    <row r="317" spans="1:22" s="3" customFormat="1" ht="12.75">
      <c r="A317" s="87"/>
      <c r="J317" s="10"/>
      <c r="K317" s="10"/>
      <c r="L317" s="10"/>
      <c r="M317" s="10"/>
      <c r="N317" s="10"/>
      <c r="O317" s="10"/>
      <c r="P317" s="10"/>
      <c r="Q317" s="10"/>
      <c r="R317" s="10"/>
      <c r="S317" s="10"/>
      <c r="T317" s="10"/>
      <c r="U317" s="10"/>
      <c r="V317" s="10"/>
    </row>
    <row r="318" spans="1:22" s="3" customFormat="1" ht="12.75">
      <c r="A318" s="87"/>
      <c r="B318" s="8" t="s">
        <v>19</v>
      </c>
      <c r="J318" s="10"/>
      <c r="K318" s="10"/>
      <c r="L318" s="10"/>
      <c r="M318" s="10"/>
      <c r="N318" s="10"/>
      <c r="O318" s="10"/>
      <c r="P318" s="10"/>
      <c r="Q318" s="10"/>
      <c r="R318" s="10"/>
      <c r="S318" s="10"/>
      <c r="T318" s="10"/>
      <c r="U318" s="10"/>
      <c r="V318" s="10"/>
    </row>
    <row r="319" spans="1:22" s="3" customFormat="1" ht="12.75">
      <c r="A319" s="87"/>
      <c r="B319" s="3" t="s">
        <v>20</v>
      </c>
      <c r="H319" s="3" t="s">
        <v>30</v>
      </c>
      <c r="J319" s="9">
        <f>SUM(L319:S319)</f>
        <v>6200346.0689642597</v>
      </c>
      <c r="K319" s="10"/>
      <c r="L319" s="9">
        <f t="shared" ref="L319:V319" si="46">L243+L269</f>
        <v>0</v>
      </c>
      <c r="M319" s="9">
        <f t="shared" si="46"/>
        <v>0</v>
      </c>
      <c r="N319" s="9">
        <f t="shared" si="46"/>
        <v>2248068.4261570158</v>
      </c>
      <c r="O319" s="9">
        <f t="shared" si="46"/>
        <v>1274555.3699999999</v>
      </c>
      <c r="P319" s="9">
        <f t="shared" si="46"/>
        <v>860.49</v>
      </c>
      <c r="Q319" s="9">
        <f t="shared" si="46"/>
        <v>2492873.7806741972</v>
      </c>
      <c r="R319" s="9">
        <f t="shared" si="46"/>
        <v>21318.29</v>
      </c>
      <c r="S319" s="9">
        <f t="shared" si="46"/>
        <v>162669.7121330474</v>
      </c>
      <c r="T319" s="9">
        <f t="shared" si="46"/>
        <v>0</v>
      </c>
      <c r="U319" s="9">
        <f t="shared" si="46"/>
        <v>0</v>
      </c>
      <c r="V319" s="9">
        <f t="shared" si="46"/>
        <v>0</v>
      </c>
    </row>
    <row r="320" spans="1:22" s="3" customFormat="1" ht="12.75">
      <c r="A320" s="87"/>
      <c r="B320" s="3" t="s">
        <v>21</v>
      </c>
      <c r="H320" s="3" t="s">
        <v>30</v>
      </c>
      <c r="J320" s="9">
        <f>SUM(L320:S320)</f>
        <v>1413999.6245663145</v>
      </c>
      <c r="K320" s="10"/>
      <c r="L320" s="9">
        <f t="shared" ref="L320:V320" si="47">L244+L270</f>
        <v>0</v>
      </c>
      <c r="M320" s="9">
        <f t="shared" si="47"/>
        <v>0</v>
      </c>
      <c r="N320" s="9">
        <f t="shared" si="47"/>
        <v>29141.282931903228</v>
      </c>
      <c r="O320" s="9">
        <f t="shared" si="47"/>
        <v>0</v>
      </c>
      <c r="P320" s="9">
        <f t="shared" si="47"/>
        <v>2319.17</v>
      </c>
      <c r="Q320" s="9">
        <f t="shared" si="47"/>
        <v>1381710.8635559368</v>
      </c>
      <c r="R320" s="9">
        <f t="shared" si="47"/>
        <v>0</v>
      </c>
      <c r="S320" s="9">
        <f t="shared" si="47"/>
        <v>828.30807847431663</v>
      </c>
      <c r="T320" s="9">
        <f t="shared" si="47"/>
        <v>0</v>
      </c>
      <c r="U320" s="9">
        <f t="shared" si="47"/>
        <v>0</v>
      </c>
      <c r="V320" s="9">
        <f t="shared" si="47"/>
        <v>0</v>
      </c>
    </row>
    <row r="321" spans="1:25" s="3" customFormat="1" ht="12.75">
      <c r="A321" s="87"/>
      <c r="B321" s="3" t="s">
        <v>22</v>
      </c>
      <c r="H321" s="3" t="s">
        <v>30</v>
      </c>
      <c r="J321" s="9">
        <f>SUM(L321:S321)</f>
        <v>2676407.5707897902</v>
      </c>
      <c r="K321" s="10"/>
      <c r="L321" s="9">
        <f t="shared" ref="L321" si="48">L245+L271</f>
        <v>-1459.1200000000003</v>
      </c>
      <c r="M321" s="9">
        <f t="shared" ref="M321:V321" si="49">M245+M271</f>
        <v>0</v>
      </c>
      <c r="N321" s="9">
        <f t="shared" si="49"/>
        <v>941422.82138907642</v>
      </c>
      <c r="O321" s="9">
        <f t="shared" si="49"/>
        <v>1155865.7587890474</v>
      </c>
      <c r="P321" s="9">
        <f t="shared" si="49"/>
        <v>4200.49</v>
      </c>
      <c r="Q321" s="9">
        <f t="shared" si="49"/>
        <v>446094.74020869751</v>
      </c>
      <c r="R321" s="9">
        <f t="shared" si="49"/>
        <v>92057.805292279998</v>
      </c>
      <c r="S321" s="9">
        <f t="shared" si="49"/>
        <v>38225.075110688638</v>
      </c>
      <c r="T321" s="9">
        <f t="shared" si="49"/>
        <v>0</v>
      </c>
      <c r="U321" s="9">
        <f t="shared" si="49"/>
        <v>0</v>
      </c>
      <c r="V321" s="9">
        <f t="shared" si="49"/>
        <v>0</v>
      </c>
    </row>
    <row r="322" spans="1:25" s="3" customFormat="1" ht="12.75">
      <c r="A322" s="87"/>
      <c r="B322" s="3" t="s">
        <v>23</v>
      </c>
      <c r="H322" s="3" t="s">
        <v>30</v>
      </c>
      <c r="J322" s="9">
        <f>SUM(L322:S322)</f>
        <v>20512651.340778485</v>
      </c>
      <c r="K322" s="10"/>
      <c r="L322" s="9">
        <f t="shared" ref="L322" si="50">L246+L272</f>
        <v>0</v>
      </c>
      <c r="M322" s="9">
        <f t="shared" ref="M322:V322" si="51">M246+M272</f>
        <v>2026000</v>
      </c>
      <c r="N322" s="9">
        <f t="shared" si="51"/>
        <v>2029997.356709898</v>
      </c>
      <c r="O322" s="9">
        <f t="shared" si="51"/>
        <v>15908961.198163832</v>
      </c>
      <c r="P322" s="9">
        <f t="shared" si="51"/>
        <v>5536.47</v>
      </c>
      <c r="Q322" s="9">
        <f t="shared" si="51"/>
        <v>166752.14019207106</v>
      </c>
      <c r="R322" s="9">
        <f t="shared" si="51"/>
        <v>12250</v>
      </c>
      <c r="S322" s="9">
        <f t="shared" si="51"/>
        <v>363154.17571268091</v>
      </c>
      <c r="T322" s="9">
        <f t="shared" si="51"/>
        <v>0</v>
      </c>
      <c r="U322" s="9">
        <f t="shared" si="51"/>
        <v>0</v>
      </c>
      <c r="V322" s="9">
        <f t="shared" si="51"/>
        <v>0</v>
      </c>
    </row>
    <row r="323" spans="1:25" s="3" customFormat="1" ht="12.75">
      <c r="A323" s="87"/>
      <c r="J323" s="12"/>
      <c r="K323" s="12"/>
      <c r="L323" s="12"/>
      <c r="M323" s="12"/>
      <c r="N323" s="12"/>
      <c r="O323" s="12"/>
      <c r="P323" s="12"/>
      <c r="Q323" s="12"/>
      <c r="R323" s="12"/>
      <c r="S323" s="12"/>
      <c r="T323" s="12"/>
      <c r="U323" s="12"/>
    </row>
    <row r="324" spans="1:25" s="3" customFormat="1" ht="12.75">
      <c r="A324" s="87"/>
      <c r="J324" s="10"/>
      <c r="K324" s="12"/>
      <c r="L324" s="10"/>
      <c r="M324" s="10"/>
      <c r="N324" s="10"/>
      <c r="O324" s="10"/>
      <c r="P324" s="10"/>
      <c r="Q324" s="10"/>
      <c r="R324" s="10"/>
      <c r="S324" s="10"/>
      <c r="T324" s="10"/>
      <c r="U324" s="10"/>
    </row>
    <row r="325" spans="1:25" s="3" customFormat="1" ht="12.75">
      <c r="A325" s="87"/>
      <c r="B325" s="17" t="s">
        <v>240</v>
      </c>
      <c r="J325" s="23"/>
      <c r="K325" s="23"/>
      <c r="L325" s="106" t="s">
        <v>357</v>
      </c>
      <c r="M325" s="106" t="s">
        <v>59</v>
      </c>
      <c r="N325" s="106" t="s">
        <v>2</v>
      </c>
      <c r="O325" s="106" t="s">
        <v>3</v>
      </c>
      <c r="P325" s="106" t="s">
        <v>4</v>
      </c>
      <c r="Q325" s="106" t="s">
        <v>5</v>
      </c>
      <c r="R325" s="106" t="s">
        <v>6</v>
      </c>
      <c r="S325" s="23"/>
      <c r="T325" s="10"/>
      <c r="U325" s="23"/>
      <c r="Y325" s="3" t="s">
        <v>256</v>
      </c>
    </row>
    <row r="326" spans="1:25" s="3" customFormat="1" ht="12.75">
      <c r="A326" s="87"/>
      <c r="J326" s="23"/>
      <c r="K326" s="23"/>
      <c r="L326" s="23"/>
      <c r="M326" s="23"/>
      <c r="N326" s="23"/>
      <c r="O326" s="23"/>
      <c r="P326" s="23"/>
      <c r="Q326" s="23"/>
      <c r="R326" s="23"/>
      <c r="S326" s="23"/>
      <c r="T326" s="10"/>
      <c r="U326" s="23"/>
    </row>
    <row r="327" spans="1:25" s="3" customFormat="1" ht="12.75">
      <c r="A327" s="87"/>
      <c r="B327" s="8" t="s">
        <v>241</v>
      </c>
      <c r="J327" s="23"/>
      <c r="K327" s="23"/>
      <c r="L327" s="23"/>
      <c r="M327" s="23"/>
      <c r="N327" s="23"/>
      <c r="O327" s="23"/>
      <c r="P327" s="23"/>
      <c r="Q327" s="23"/>
      <c r="R327" s="23"/>
      <c r="S327" s="23"/>
      <c r="T327" s="10"/>
      <c r="U327" s="23"/>
    </row>
    <row r="328" spans="1:25" s="3" customFormat="1" ht="12.75">
      <c r="A328" s="87"/>
      <c r="B328" s="25" t="s">
        <v>144</v>
      </c>
      <c r="D328" s="25" t="s">
        <v>260</v>
      </c>
      <c r="H328" s="3" t="s">
        <v>30</v>
      </c>
      <c r="J328" s="9">
        <f>SUM(L328:R328)</f>
        <v>985410858.43456352</v>
      </c>
      <c r="K328" s="23"/>
      <c r="L328" s="60">
        <f>SUM(L310:L312,L319:L322,L306:L307)</f>
        <v>5244846.5850730799</v>
      </c>
      <c r="M328" s="60">
        <f>SUM(M310:M312,M319:M322,M306:M307)</f>
        <v>28179611.24844493</v>
      </c>
      <c r="N328" s="60">
        <f>SUM(N310:N312,N319:N322,N306:N307)+SUM(S310:S312,S319:S322,S306:S307)-SUM(T310:T312,T319:T322,T306:T307)</f>
        <v>282318517.11333233</v>
      </c>
      <c r="O328" s="60">
        <f>SUM(O310:O312,O319:O322,O306:O307)+SUM(T310:T312,T319:T322,T306:T307)-SUM(V306:V307,V310:V312,V319:V322)</f>
        <v>431411580.70108992</v>
      </c>
      <c r="P328" s="60">
        <f>SUM(P310:P312,P319:P322,P306:P307)</f>
        <v>2778726.4000000008</v>
      </c>
      <c r="Q328" s="60">
        <f>SUM(Q310:Q312,Q319:Q322,Q306:Q307)-SUM(U306:U307,U310:U312,U319:U322)</f>
        <v>223367317.64133099</v>
      </c>
      <c r="R328" s="60">
        <f>SUM(R310:R312,R319:R322,R306:R307)</f>
        <v>12110258.74529228</v>
      </c>
      <c r="S328" s="23"/>
      <c r="T328" s="10"/>
      <c r="U328" s="23"/>
    </row>
    <row r="329" spans="1:25" s="3" customFormat="1" ht="12.75">
      <c r="A329" s="87"/>
      <c r="B329" s="25" t="s">
        <v>145</v>
      </c>
      <c r="H329" s="3" t="s">
        <v>30</v>
      </c>
      <c r="J329" s="9">
        <f t="shared" ref="J329:J330" si="52">SUM(L329:R329)</f>
        <v>411307962.64864647</v>
      </c>
      <c r="K329" s="12"/>
      <c r="L329" s="9">
        <f>SUM(L304:L305)</f>
        <v>3337227</v>
      </c>
      <c r="M329" s="9">
        <f>SUM(M304:M305)</f>
        <v>8687193.3200000022</v>
      </c>
      <c r="N329" s="9">
        <f>SUM(N304:N305)+SUM(S304:S305)-SUM(T304:T305)+N275</f>
        <v>149594463.25280273</v>
      </c>
      <c r="O329" s="9">
        <f>SUM(O304:O305)+SUM(T304:T305)+O275</f>
        <v>138270874.77618</v>
      </c>
      <c r="P329" s="9">
        <f>SUM(P304:P305)</f>
        <v>2286987.17</v>
      </c>
      <c r="Q329" s="9">
        <f>SUM(Q304:Q305)+Q274</f>
        <v>100276103.52500001</v>
      </c>
      <c r="R329" s="9">
        <f>SUM(R304:R305)</f>
        <v>8855113.6046637092</v>
      </c>
      <c r="S329" s="23"/>
      <c r="T329" s="10"/>
      <c r="U329" s="23"/>
    </row>
    <row r="330" spans="1:25" s="3" customFormat="1" ht="12.75">
      <c r="A330" s="87"/>
      <c r="B330" s="25" t="s">
        <v>146</v>
      </c>
      <c r="D330" s="26"/>
      <c r="H330" s="3" t="s">
        <v>30</v>
      </c>
      <c r="J330" s="9">
        <f t="shared" si="52"/>
        <v>76142277.835326225</v>
      </c>
      <c r="K330" s="12"/>
      <c r="L330" s="9">
        <f>SUM(L315:L316)</f>
        <v>1875.1105000000002</v>
      </c>
      <c r="M330" s="9">
        <f>SUM(M315:M316)</f>
        <v>949986</v>
      </c>
      <c r="N330" s="9">
        <f>SUM(N315:N316)+SUM(S315:S316)-SUM(T315:T316)</f>
        <v>1400613.9848262288</v>
      </c>
      <c r="O330" s="9">
        <f>SUM(O315:O316)+SUM(T315:T316)-SUM(V315:V316)</f>
        <v>55143670.659999996</v>
      </c>
      <c r="P330" s="9">
        <f>SUM(P315:P316)</f>
        <v>0</v>
      </c>
      <c r="Q330" s="9">
        <f>SUM(Q315:Q316)-SUM(U315:U316)</f>
        <v>18607492.699999999</v>
      </c>
      <c r="R330" s="9">
        <f>SUM(R315:R316)</f>
        <v>38639.379999999997</v>
      </c>
    </row>
    <row r="331" spans="1:25" s="3" customFormat="1" ht="12.75">
      <c r="A331" s="87"/>
      <c r="B331" s="25"/>
      <c r="D331" s="26"/>
      <c r="K331" s="12"/>
    </row>
    <row r="332" spans="1:25" s="3" customFormat="1" ht="12.75">
      <c r="A332" s="87"/>
      <c r="B332" s="8" t="s">
        <v>244</v>
      </c>
      <c r="J332" s="23"/>
      <c r="K332" s="23"/>
      <c r="L332" s="23"/>
      <c r="M332" s="23"/>
      <c r="N332" s="23"/>
      <c r="O332" s="23"/>
      <c r="P332" s="23"/>
      <c r="Q332" s="23"/>
      <c r="R332" s="23"/>
      <c r="S332" s="23"/>
      <c r="T332" s="10"/>
      <c r="U332" s="23"/>
    </row>
    <row r="333" spans="1:25" s="3" customFormat="1" ht="12.75">
      <c r="A333" s="87"/>
      <c r="B333" s="25" t="s">
        <v>144</v>
      </c>
      <c r="D333" s="25" t="s">
        <v>260</v>
      </c>
      <c r="H333" s="3" t="s">
        <v>30</v>
      </c>
      <c r="J333" s="9">
        <f>SUM(L333:R333)</f>
        <v>993126645.51743424</v>
      </c>
      <c r="K333" s="23"/>
      <c r="L333" s="60">
        <f>SUM(L306:L307:L310:L312,L319:L322)</f>
        <v>5244846.5850730799</v>
      </c>
      <c r="M333" s="60">
        <f>SUM(M306:M307:M310:M312,M319:M322)</f>
        <v>28179611.24844493</v>
      </c>
      <c r="N333" s="60">
        <f>SUM(N306:N307,N310:N312,N319:N322)+SUM(S306:S307,S310:S312,S319:S322)-SUM(T306:T307,T310:T312,T319:T322)</f>
        <v>282318517.11333233</v>
      </c>
      <c r="O333" s="60">
        <f>SUM(O306:O307,O319:O322,O310:O312)+SUM(T306:T307,T319:T322,T310:T312)</f>
        <v>431412442.70108992</v>
      </c>
      <c r="P333" s="60">
        <f>SUM(P306:P307:P310:P312,P319:P322)</f>
        <v>2778726.4000000008</v>
      </c>
      <c r="Q333" s="60">
        <f>SUM(Q306:Q307,Q319:Q322,Q310:Q312)</f>
        <v>231082242.72420174</v>
      </c>
      <c r="R333" s="60">
        <f>SUM(R306:R307:R310:R312,R319:R322)</f>
        <v>12110258.74529228</v>
      </c>
      <c r="S333" s="23"/>
      <c r="T333" s="10"/>
      <c r="U333" s="23"/>
    </row>
    <row r="334" spans="1:25" s="3" customFormat="1" ht="12.75">
      <c r="A334" s="87"/>
      <c r="B334" s="25"/>
      <c r="D334" s="26"/>
      <c r="K334" s="12"/>
    </row>
    <row r="335" spans="1:25" s="3" customFormat="1" ht="12.75">
      <c r="A335" s="87"/>
      <c r="B335" s="8" t="s">
        <v>245</v>
      </c>
      <c r="J335" s="23"/>
      <c r="K335" s="23"/>
      <c r="L335" s="23"/>
      <c r="M335" s="23"/>
      <c r="N335" s="23"/>
      <c r="O335" s="23"/>
      <c r="P335" s="23"/>
      <c r="Q335" s="23"/>
      <c r="R335" s="23"/>
      <c r="S335" s="23"/>
      <c r="T335" s="10"/>
      <c r="U335" s="23"/>
    </row>
    <row r="336" spans="1:25" s="3" customFormat="1" ht="12.75">
      <c r="A336" s="87"/>
      <c r="B336" s="25" t="s">
        <v>144</v>
      </c>
      <c r="D336" s="25" t="s">
        <v>260</v>
      </c>
      <c r="H336" s="3" t="s">
        <v>30</v>
      </c>
      <c r="J336" s="9">
        <f>SUM(L336:R336)</f>
        <v>985411720.43456352</v>
      </c>
      <c r="K336" s="23"/>
      <c r="L336" s="9">
        <f>SUM(L306:L307,L310:L312,L319:L322)</f>
        <v>5244846.5850730799</v>
      </c>
      <c r="M336" s="9">
        <f>SUM(M306:M307,M310:M312,M319:M322)</f>
        <v>28179611.24844493</v>
      </c>
      <c r="N336" s="9">
        <f>SUM(N306:N307,N310:N312,N319:N322)+SUM(S306:S307,S310:S312,S319:S322)-SUM(T306:T307,T310:T312,T319:T322)</f>
        <v>282318517.11333233</v>
      </c>
      <c r="O336" s="9">
        <f>SUM(O306:O307,O310:O312,O319:O322)+SUM(T306:T307,T310:T312,T319:T322)</f>
        <v>431412442.70108992</v>
      </c>
      <c r="P336" s="9">
        <f>SUM(P306:P307,P310:P312,P319:P322)</f>
        <v>2778726.4000000008</v>
      </c>
      <c r="Q336" s="9">
        <f>SUM(Q306:Q307,Q310:Q312,Q319:Q322)-SUM(U306:U307,U310:U312,U319:U322)</f>
        <v>223367317.64133099</v>
      </c>
      <c r="R336" s="9">
        <f>SUM(R306:R307,R310:R312,R319:R322)</f>
        <v>12110258.74529228</v>
      </c>
      <c r="S336" s="23"/>
      <c r="T336" s="10"/>
      <c r="U336" s="23"/>
    </row>
    <row r="337" spans="1:22" s="3" customFormat="1" ht="12.75">
      <c r="B337" s="25"/>
      <c r="D337" s="26"/>
      <c r="K337" s="12"/>
    </row>
    <row r="338" spans="1:22" s="3" customFormat="1" ht="12.75">
      <c r="J338" s="10"/>
      <c r="K338" s="10"/>
      <c r="L338" s="10"/>
      <c r="M338" s="10"/>
      <c r="N338" s="10"/>
      <c r="O338" s="10"/>
      <c r="P338" s="10"/>
      <c r="Q338" s="10"/>
      <c r="R338" s="10"/>
      <c r="S338" s="10"/>
      <c r="T338" s="10"/>
    </row>
    <row r="339" spans="1:22" s="4" customFormat="1" ht="12.75">
      <c r="B339" s="4" t="s">
        <v>58</v>
      </c>
      <c r="J339" s="5"/>
      <c r="K339" s="5"/>
      <c r="L339" s="5"/>
      <c r="M339" s="5"/>
      <c r="N339" s="5"/>
      <c r="O339" s="5"/>
      <c r="P339" s="5"/>
      <c r="Q339" s="5"/>
      <c r="R339" s="5"/>
      <c r="S339" s="5"/>
      <c r="T339" s="5"/>
    </row>
    <row r="340" spans="1:22" s="3" customFormat="1" ht="12.75">
      <c r="J340" s="10"/>
      <c r="K340" s="10"/>
      <c r="L340" s="10"/>
      <c r="M340" s="10"/>
      <c r="N340" s="10"/>
      <c r="O340" s="10"/>
      <c r="P340" s="10"/>
      <c r="Q340" s="10"/>
      <c r="R340" s="10"/>
      <c r="S340" s="10"/>
      <c r="T340" s="10"/>
    </row>
    <row r="341" spans="1:22" s="3" customFormat="1" ht="12.75">
      <c r="B341" s="8" t="s">
        <v>37</v>
      </c>
      <c r="J341" s="10"/>
      <c r="K341" s="10"/>
      <c r="L341" s="10"/>
      <c r="M341" s="10"/>
      <c r="N341" s="10"/>
      <c r="O341" s="10"/>
      <c r="P341" s="10"/>
      <c r="Q341" s="10"/>
      <c r="R341" s="10"/>
      <c r="S341" s="10"/>
      <c r="T341" s="10"/>
    </row>
    <row r="342" spans="1:22" s="3" customFormat="1" ht="12.75">
      <c r="J342" s="10"/>
      <c r="K342" s="10"/>
      <c r="L342" s="10"/>
      <c r="M342" s="10"/>
      <c r="N342" s="10"/>
      <c r="O342" s="10"/>
      <c r="P342" s="10"/>
      <c r="Q342" s="10"/>
      <c r="R342" s="10"/>
      <c r="S342" s="10"/>
      <c r="T342" s="10"/>
    </row>
    <row r="343" spans="1:22" s="3" customFormat="1" ht="12.75">
      <c r="A343" s="87"/>
      <c r="B343" s="8" t="s">
        <v>8</v>
      </c>
      <c r="J343" s="10"/>
      <c r="K343" s="10"/>
      <c r="L343" s="10"/>
      <c r="M343" s="10"/>
      <c r="N343" s="10"/>
      <c r="O343" s="10"/>
      <c r="P343" s="10"/>
      <c r="Q343" s="10"/>
      <c r="R343" s="10"/>
      <c r="S343" s="10"/>
      <c r="T343" s="10"/>
    </row>
    <row r="344" spans="1:22" s="3" customFormat="1" ht="12.75">
      <c r="A344" s="87"/>
      <c r="B344" s="3" t="s">
        <v>9</v>
      </c>
      <c r="H344" s="3" t="s">
        <v>32</v>
      </c>
      <c r="J344" s="9">
        <f>SUM(L344:S344)</f>
        <v>433873298.06598151</v>
      </c>
      <c r="K344" s="10"/>
      <c r="L344" s="21">
        <f>'Input operationele kosten'!L87</f>
        <v>0</v>
      </c>
      <c r="M344" s="21">
        <f>'Input operationele kosten'!M87</f>
        <v>8791419.5600000024</v>
      </c>
      <c r="N344" s="21">
        <f>'Input operationele kosten'!N87</f>
        <v>166429996.20999995</v>
      </c>
      <c r="O344" s="21">
        <f>'Input operationele kosten'!O87</f>
        <v>151138144.63999999</v>
      </c>
      <c r="P344" s="21">
        <f>'Input operationele kosten'!P87</f>
        <v>0</v>
      </c>
      <c r="Q344" s="21">
        <f>'Input operationele kosten'!Q87</f>
        <v>97956760.129999995</v>
      </c>
      <c r="R344" s="21">
        <f>'Input operationele kosten'!R87</f>
        <v>9556977.525981538</v>
      </c>
      <c r="S344" s="21">
        <f>'Input operationele kosten'!S87</f>
        <v>0</v>
      </c>
      <c r="T344" s="21">
        <f>'Input operationele kosten'!U87</f>
        <v>4858637.4713787911</v>
      </c>
      <c r="U344" s="45">
        <f>'Input operationele kosten'!V87</f>
        <v>0</v>
      </c>
      <c r="V344" s="21">
        <f>'Input operationele kosten'!W87</f>
        <v>0</v>
      </c>
    </row>
    <row r="345" spans="1:22" s="3" customFormat="1" ht="12.75">
      <c r="A345" s="87"/>
      <c r="B345" s="3" t="s">
        <v>10</v>
      </c>
      <c r="H345" s="3" t="s">
        <v>32</v>
      </c>
      <c r="J345" s="9">
        <f>SUM(L345:S345)</f>
        <v>19118331.698526666</v>
      </c>
      <c r="K345" s="10"/>
      <c r="L345" s="21">
        <f>'Input operationele kosten'!L88</f>
        <v>3321046.5</v>
      </c>
      <c r="M345" s="21">
        <f>'Input operationele kosten'!M88</f>
        <v>0</v>
      </c>
      <c r="N345" s="21">
        <f>'Input operationele kosten'!N88</f>
        <v>547438.56319999998</v>
      </c>
      <c r="O345" s="21">
        <f>'Input operationele kosten'!O88</f>
        <v>906212.30845999997</v>
      </c>
      <c r="P345" s="21">
        <f>'Input operationele kosten'!P88</f>
        <v>2205049.6699999995</v>
      </c>
      <c r="Q345" s="21">
        <f>'Input operationele kosten'!Q88</f>
        <v>5139266.841</v>
      </c>
      <c r="R345" s="21">
        <f>'Input operationele kosten'!R88</f>
        <v>93628.515866666668</v>
      </c>
      <c r="S345" s="21">
        <f>'Input operationele kosten'!S88</f>
        <v>6905689.2999999998</v>
      </c>
      <c r="T345" s="21">
        <f>'Input operationele kosten'!U88</f>
        <v>293626.12000000005</v>
      </c>
      <c r="U345" s="45">
        <f>'Input operationele kosten'!V88</f>
        <v>0</v>
      </c>
      <c r="V345" s="21">
        <f>'Input operationele kosten'!W88</f>
        <v>0</v>
      </c>
    </row>
    <row r="346" spans="1:22" s="3" customFormat="1" ht="12.75">
      <c r="A346" s="87"/>
      <c r="B346" s="3" t="s">
        <v>11</v>
      </c>
      <c r="H346" s="3" t="s">
        <v>32</v>
      </c>
      <c r="J346" s="9">
        <f>SUM(L346:S346)</f>
        <v>181349105.17467615</v>
      </c>
      <c r="K346" s="10"/>
      <c r="L346" s="21">
        <f>'Input operationele kosten'!L89</f>
        <v>727083.75999999989</v>
      </c>
      <c r="M346" s="21">
        <f>'Input operationele kosten'!M89</f>
        <v>3926803.8199999994</v>
      </c>
      <c r="N346" s="21">
        <f>'Input operationele kosten'!N89</f>
        <v>64614659.025256656</v>
      </c>
      <c r="O346" s="21">
        <f>'Input operationele kosten'!O89</f>
        <v>70847774.689999998</v>
      </c>
      <c r="P346" s="21">
        <f>'Input operationele kosten'!P89</f>
        <v>458862.42</v>
      </c>
      <c r="Q346" s="21">
        <f>'Input operationele kosten'!Q89</f>
        <v>37378653.969419494</v>
      </c>
      <c r="R346" s="21">
        <f>'Input operationele kosten'!R89</f>
        <v>1521059.1</v>
      </c>
      <c r="S346" s="21">
        <f>'Input operationele kosten'!S89</f>
        <v>1874208.3899999997</v>
      </c>
      <c r="T346" s="21">
        <f>'Input operationele kosten'!U89</f>
        <v>1802721.3586979506</v>
      </c>
      <c r="U346" s="45">
        <f>'Input operationele kosten'!V89</f>
        <v>0</v>
      </c>
      <c r="V346" s="21">
        <f>'Input operationele kosten'!W89</f>
        <v>0</v>
      </c>
    </row>
    <row r="347" spans="1:22" s="3" customFormat="1" ht="12.75">
      <c r="A347" s="87"/>
      <c r="B347" s="3" t="s">
        <v>12</v>
      </c>
      <c r="H347" s="3" t="s">
        <v>32</v>
      </c>
      <c r="J347" s="9">
        <f>SUM(L347:S347)</f>
        <v>0</v>
      </c>
      <c r="K347" s="10"/>
      <c r="L347" s="21">
        <f>'Input operationele kosten'!L90</f>
        <v>0</v>
      </c>
      <c r="M347" s="21">
        <f>'Input operationele kosten'!M90</f>
        <v>0</v>
      </c>
      <c r="N347" s="21">
        <f>'Input operationele kosten'!N90</f>
        <v>0</v>
      </c>
      <c r="O347" s="21">
        <f>'Input operationele kosten'!O90</f>
        <v>0</v>
      </c>
      <c r="P347" s="21">
        <f>'Input operationele kosten'!P90</f>
        <v>0</v>
      </c>
      <c r="Q347" s="21">
        <f>'Input operationele kosten'!Q90</f>
        <v>0</v>
      </c>
      <c r="R347" s="21">
        <f>'Input operationele kosten'!R90</f>
        <v>0</v>
      </c>
      <c r="S347" s="21">
        <f>'Input operationele kosten'!S90</f>
        <v>0</v>
      </c>
      <c r="T347" s="21">
        <f>'Input operationele kosten'!U90</f>
        <v>0</v>
      </c>
      <c r="U347" s="45">
        <f>'Input operationele kosten'!V90</f>
        <v>0</v>
      </c>
      <c r="V347" s="21">
        <f>'Input operationele kosten'!W90</f>
        <v>0</v>
      </c>
    </row>
    <row r="348" spans="1:22" s="3" customFormat="1" ht="12.75">
      <c r="A348" s="87"/>
      <c r="J348" s="10"/>
      <c r="K348" s="10"/>
      <c r="L348" s="10"/>
      <c r="M348" s="10"/>
      <c r="N348" s="10"/>
      <c r="O348" s="10"/>
      <c r="P348" s="10"/>
      <c r="Q348" s="10"/>
      <c r="R348" s="10"/>
      <c r="S348" s="10"/>
      <c r="T348" s="10"/>
      <c r="U348" s="10"/>
      <c r="V348" s="10"/>
    </row>
    <row r="349" spans="1:22" s="3" customFormat="1" ht="12.75">
      <c r="A349" s="87"/>
      <c r="B349" s="8" t="s">
        <v>13</v>
      </c>
      <c r="J349" s="10"/>
      <c r="K349" s="10"/>
      <c r="L349" s="10"/>
      <c r="M349" s="10"/>
      <c r="N349" s="10"/>
      <c r="O349" s="10"/>
      <c r="P349" s="10"/>
      <c r="Q349" s="10"/>
      <c r="R349" s="10"/>
      <c r="S349" s="10"/>
      <c r="T349" s="10"/>
      <c r="U349" s="10"/>
      <c r="V349" s="10"/>
    </row>
    <row r="350" spans="1:22" s="3" customFormat="1" ht="12.75">
      <c r="A350" s="87"/>
      <c r="B350" s="3" t="s">
        <v>14</v>
      </c>
      <c r="H350" s="3" t="s">
        <v>32</v>
      </c>
      <c r="J350" s="9">
        <f>SUM(L350:S350)</f>
        <v>843407209.24740124</v>
      </c>
      <c r="K350" s="10"/>
      <c r="L350" s="21">
        <f>'Input operationele kosten'!L93</f>
        <v>3993305.2884554057</v>
      </c>
      <c r="M350" s="21">
        <f>'Input operationele kosten'!M93</f>
        <v>22162693.798182774</v>
      </c>
      <c r="N350" s="21">
        <f>'Input operationele kosten'!N93</f>
        <v>249111339.53653699</v>
      </c>
      <c r="O350" s="21">
        <f>'Input operationele kosten'!O93</f>
        <v>358564457.67821509</v>
      </c>
      <c r="P350" s="21">
        <f>'Input operationele kosten'!P93</f>
        <v>2121105.62</v>
      </c>
      <c r="Q350" s="21">
        <f>'Input operationele kosten'!Q93</f>
        <v>189212635.77620476</v>
      </c>
      <c r="R350" s="21">
        <f>'Input operationele kosten'!R93</f>
        <v>11056134.162798595</v>
      </c>
      <c r="S350" s="21">
        <f>'Input operationele kosten'!S93</f>
        <v>7185537.3870076966</v>
      </c>
      <c r="T350" s="21">
        <f>'Input operationele kosten'!U93</f>
        <v>7157172</v>
      </c>
      <c r="U350" s="45">
        <f>'Input operationele kosten'!V93</f>
        <v>0</v>
      </c>
      <c r="V350" s="21">
        <f>'Input operationele kosten'!W93</f>
        <v>0</v>
      </c>
    </row>
    <row r="351" spans="1:22" s="3" customFormat="1" ht="12.75">
      <c r="A351" s="87"/>
      <c r="B351" s="3" t="s">
        <v>76</v>
      </c>
      <c r="H351" s="3" t="s">
        <v>32</v>
      </c>
      <c r="J351" s="9">
        <f>SUM(L351:S351)</f>
        <v>1329154.2823920669</v>
      </c>
      <c r="K351" s="10"/>
      <c r="L351" s="21">
        <f>'Input operationele kosten'!L94</f>
        <v>6668</v>
      </c>
      <c r="M351" s="21">
        <f>'Input operationele kosten'!M94</f>
        <v>37220.699999999997</v>
      </c>
      <c r="N351" s="21">
        <f>'Input operationele kosten'!N94</f>
        <v>434554.80630178476</v>
      </c>
      <c r="O351" s="21">
        <f>'Input operationele kosten'!O94</f>
        <v>498522.66</v>
      </c>
      <c r="P351" s="21">
        <f>'Input operationele kosten'!P94</f>
        <v>6487.46</v>
      </c>
      <c r="Q351" s="21">
        <f>'Input operationele kosten'!Q94</f>
        <v>308790.94751250098</v>
      </c>
      <c r="R351" s="21">
        <f>'Input operationele kosten'!R94</f>
        <v>20309.5145777814</v>
      </c>
      <c r="S351" s="21">
        <f>'Input operationele kosten'!S94</f>
        <v>16600.194</v>
      </c>
      <c r="T351" s="21">
        <f>'Input operationele kosten'!U94</f>
        <v>0</v>
      </c>
      <c r="U351" s="45">
        <f>'Input operationele kosten'!V94</f>
        <v>0</v>
      </c>
      <c r="V351" s="21">
        <f>'Input operationele kosten'!W94</f>
        <v>0</v>
      </c>
    </row>
    <row r="352" spans="1:22" s="3" customFormat="1" ht="12.75">
      <c r="A352" s="87"/>
      <c r="B352" s="3" t="s">
        <v>15</v>
      </c>
      <c r="H352" s="3" t="s">
        <v>32</v>
      </c>
      <c r="J352" s="9">
        <f>SUM(L352:S352)</f>
        <v>254626.56</v>
      </c>
      <c r="K352" s="10"/>
      <c r="L352" s="21">
        <f>'Input operationele kosten'!L95</f>
        <v>0</v>
      </c>
      <c r="M352" s="21">
        <f>'Input operationele kosten'!M95</f>
        <v>0</v>
      </c>
      <c r="N352" s="21">
        <f>'Input operationele kosten'!N95</f>
        <v>0</v>
      </c>
      <c r="O352" s="21">
        <f>'Input operationele kosten'!O95</f>
        <v>0</v>
      </c>
      <c r="P352" s="21">
        <f>'Input operationele kosten'!P95</f>
        <v>254626.56</v>
      </c>
      <c r="Q352" s="21">
        <f>'Input operationele kosten'!Q95</f>
        <v>0</v>
      </c>
      <c r="R352" s="21">
        <f>'Input operationele kosten'!R95</f>
        <v>0</v>
      </c>
      <c r="S352" s="21">
        <f>'Input operationele kosten'!S95</f>
        <v>0</v>
      </c>
      <c r="T352" s="21">
        <f>'Input operationele kosten'!U95</f>
        <v>0</v>
      </c>
      <c r="U352" s="45">
        <f>'Input operationele kosten'!V95</f>
        <v>0</v>
      </c>
      <c r="V352" s="21">
        <f>'Input operationele kosten'!W95</f>
        <v>995</v>
      </c>
    </row>
    <row r="353" spans="1:22" s="3" customFormat="1" ht="12.75">
      <c r="A353" s="87"/>
      <c r="J353" s="10"/>
      <c r="K353" s="10"/>
      <c r="L353" s="10"/>
      <c r="M353" s="10"/>
      <c r="N353" s="10"/>
      <c r="O353" s="10"/>
      <c r="P353" s="10"/>
      <c r="Q353" s="10"/>
      <c r="R353" s="10"/>
      <c r="S353" s="10"/>
      <c r="T353" s="10"/>
      <c r="U353" s="10"/>
      <c r="V353" s="10"/>
    </row>
    <row r="354" spans="1:22" s="3" customFormat="1" ht="12.75">
      <c r="A354" s="87"/>
      <c r="B354" s="8" t="s">
        <v>16</v>
      </c>
      <c r="J354" s="10"/>
      <c r="K354" s="10"/>
      <c r="L354" s="10"/>
      <c r="M354" s="10"/>
      <c r="N354" s="10"/>
      <c r="O354" s="10"/>
      <c r="P354" s="10"/>
      <c r="Q354" s="10"/>
      <c r="R354" s="10"/>
      <c r="S354" s="10"/>
      <c r="T354" s="10"/>
      <c r="U354" s="10"/>
      <c r="V354" s="10"/>
    </row>
    <row r="355" spans="1:22" s="3" customFormat="1" ht="12.75">
      <c r="A355" s="87"/>
      <c r="B355" s="3" t="s">
        <v>17</v>
      </c>
      <c r="H355" s="3" t="s">
        <v>32</v>
      </c>
      <c r="J355" s="9">
        <f>SUM(L355:S355)</f>
        <v>102713848.27891877</v>
      </c>
      <c r="K355" s="10"/>
      <c r="L355" s="21">
        <f>'Input operationele kosten'!L98</f>
        <v>0</v>
      </c>
      <c r="M355" s="21">
        <f>'Input operationele kosten'!M98</f>
        <v>1555755</v>
      </c>
      <c r="N355" s="21">
        <f>'Input operationele kosten'!N98</f>
        <v>0</v>
      </c>
      <c r="O355" s="21">
        <f>'Input operationele kosten'!O98</f>
        <v>79523128.079999998</v>
      </c>
      <c r="P355" s="21">
        <f>'Input operationele kosten'!P98</f>
        <v>0</v>
      </c>
      <c r="Q355" s="21">
        <f>'Input operationele kosten'!Q98</f>
        <v>21608574.178918783</v>
      </c>
      <c r="R355" s="21">
        <f>'Input operationele kosten'!R98</f>
        <v>26391.02</v>
      </c>
      <c r="S355" s="21">
        <f>'Input operationele kosten'!S98</f>
        <v>0</v>
      </c>
      <c r="T355" s="21">
        <f>'Input operationele kosten'!U98</f>
        <v>0</v>
      </c>
      <c r="U355" s="45">
        <f>'Input operationele kosten'!V98</f>
        <v>0</v>
      </c>
      <c r="V355" s="21">
        <f>'Input operationele kosten'!W98</f>
        <v>0</v>
      </c>
    </row>
    <row r="356" spans="1:22" s="3" customFormat="1" ht="12.75">
      <c r="A356" s="87"/>
      <c r="B356" s="3" t="s">
        <v>18</v>
      </c>
      <c r="H356" s="3" t="s">
        <v>32</v>
      </c>
      <c r="J356" s="9">
        <f>SUM(L356:S356)</f>
        <v>1688824.2463699791</v>
      </c>
      <c r="K356" s="10"/>
      <c r="L356" s="21">
        <f>'Input operationele kosten'!L99</f>
        <v>2044.9297297297298</v>
      </c>
      <c r="M356" s="21">
        <f>'Input operationele kosten'!M99</f>
        <v>0</v>
      </c>
      <c r="N356" s="21">
        <f>'Input operationele kosten'!N99</f>
        <v>1686779.3166402495</v>
      </c>
      <c r="O356" s="21">
        <f>'Input operationele kosten'!O99</f>
        <v>0</v>
      </c>
      <c r="P356" s="21">
        <f>'Input operationele kosten'!P99</f>
        <v>0</v>
      </c>
      <c r="Q356" s="21">
        <f>'Input operationele kosten'!Q99</f>
        <v>0</v>
      </c>
      <c r="R356" s="21">
        <f>'Input operationele kosten'!R99</f>
        <v>0</v>
      </c>
      <c r="S356" s="21">
        <f>'Input operationele kosten'!S99</f>
        <v>0</v>
      </c>
      <c r="T356" s="21">
        <f>'Input operationele kosten'!U99</f>
        <v>0</v>
      </c>
      <c r="U356" s="45">
        <f>'Input operationele kosten'!V99</f>
        <v>0</v>
      </c>
      <c r="V356" s="21">
        <f>'Input operationele kosten'!W99</f>
        <v>0</v>
      </c>
    </row>
    <row r="357" spans="1:22" s="3" customFormat="1" ht="12.75">
      <c r="A357" s="87"/>
      <c r="J357" s="10"/>
      <c r="K357" s="10"/>
      <c r="L357" s="10"/>
      <c r="M357" s="10"/>
      <c r="N357" s="10"/>
      <c r="O357" s="10"/>
      <c r="P357" s="10"/>
      <c r="Q357" s="10"/>
      <c r="R357" s="10"/>
      <c r="S357" s="10"/>
      <c r="T357" s="10"/>
      <c r="U357" s="10"/>
      <c r="V357" s="10"/>
    </row>
    <row r="358" spans="1:22" s="3" customFormat="1" ht="12.75">
      <c r="A358" s="87"/>
      <c r="B358" s="8" t="s">
        <v>19</v>
      </c>
      <c r="J358" s="10"/>
      <c r="K358" s="10"/>
      <c r="L358" s="10"/>
      <c r="M358" s="10"/>
      <c r="N358" s="10"/>
      <c r="O358" s="10"/>
      <c r="P358" s="10"/>
      <c r="Q358" s="10"/>
      <c r="R358" s="10"/>
      <c r="S358" s="10"/>
      <c r="T358" s="10"/>
      <c r="U358" s="10"/>
      <c r="V358" s="10"/>
    </row>
    <row r="359" spans="1:22" s="3" customFormat="1" ht="12.75">
      <c r="A359" s="87"/>
      <c r="B359" s="3" t="s">
        <v>20</v>
      </c>
      <c r="H359" s="3" t="s">
        <v>32</v>
      </c>
      <c r="J359" s="9">
        <f>SUM(L359:S359)</f>
        <v>6853735.8912426112</v>
      </c>
      <c r="K359" s="10"/>
      <c r="L359" s="21">
        <f>'Input operationele kosten'!L102</f>
        <v>8387.82</v>
      </c>
      <c r="M359" s="21">
        <f>'Input operationele kosten'!M102</f>
        <v>0</v>
      </c>
      <c r="N359" s="21">
        <f>'Input operationele kosten'!N102</f>
        <v>4084896.4038601629</v>
      </c>
      <c r="O359" s="21">
        <f>'Input operationele kosten'!O102</f>
        <v>1311642.93</v>
      </c>
      <c r="P359" s="21">
        <f>'Input operationele kosten'!P102</f>
        <v>0</v>
      </c>
      <c r="Q359" s="21">
        <f>'Input operationele kosten'!Q102</f>
        <v>1223423.0459824479</v>
      </c>
      <c r="R359" s="21">
        <f>'Input operationele kosten'!R102</f>
        <v>12215.88</v>
      </c>
      <c r="S359" s="21">
        <f>'Input operationele kosten'!S102</f>
        <v>213169.81140000001</v>
      </c>
      <c r="T359" s="21">
        <f>'Input operationele kosten'!U102</f>
        <v>0</v>
      </c>
      <c r="U359" s="45">
        <f>'Input operationele kosten'!V102</f>
        <v>0</v>
      </c>
      <c r="V359" s="21">
        <f>'Input operationele kosten'!W102</f>
        <v>0</v>
      </c>
    </row>
    <row r="360" spans="1:22" s="3" customFormat="1" ht="12.75">
      <c r="A360" s="87"/>
      <c r="B360" s="3" t="s">
        <v>21</v>
      </c>
      <c r="H360" s="3" t="s">
        <v>32</v>
      </c>
      <c r="J360" s="9">
        <f>SUM(L360:S360)</f>
        <v>1290133.4196464692</v>
      </c>
      <c r="K360" s="10"/>
      <c r="L360" s="21">
        <f>'Input operationele kosten'!L103</f>
        <v>-173.01</v>
      </c>
      <c r="M360" s="21">
        <f>'Input operationele kosten'!M103</f>
        <v>0</v>
      </c>
      <c r="N360" s="21">
        <f>'Input operationele kosten'!N103</f>
        <v>1206133.4968159606</v>
      </c>
      <c r="O360" s="21">
        <f>'Input operationele kosten'!O103</f>
        <v>0</v>
      </c>
      <c r="P360" s="21">
        <f>'Input operationele kosten'!P103</f>
        <v>3620.94</v>
      </c>
      <c r="Q360" s="21">
        <f>'Input operationele kosten'!Q103</f>
        <v>57114.1050908795</v>
      </c>
      <c r="R360" s="21">
        <f>'Input operationele kosten'!R103</f>
        <v>0</v>
      </c>
      <c r="S360" s="21">
        <f>'Input operationele kosten'!S103</f>
        <v>23437.887739629063</v>
      </c>
      <c r="T360" s="21">
        <f>'Input operationele kosten'!U103</f>
        <v>0</v>
      </c>
      <c r="U360" s="45">
        <f>'Input operationele kosten'!V103</f>
        <v>0</v>
      </c>
      <c r="V360" s="21">
        <f>'Input operationele kosten'!W103</f>
        <v>0</v>
      </c>
    </row>
    <row r="361" spans="1:22" s="3" customFormat="1" ht="12.75">
      <c r="A361" s="87"/>
      <c r="B361" s="3" t="s">
        <v>22</v>
      </c>
      <c r="H361" s="3" t="s">
        <v>32</v>
      </c>
      <c r="J361" s="9">
        <f>SUM(L361:S361)</f>
        <v>2581312.6533622276</v>
      </c>
      <c r="K361" s="10"/>
      <c r="L361" s="21">
        <f>'Input operationele kosten'!L104</f>
        <v>824.12</v>
      </c>
      <c r="M361" s="21">
        <f>'Input operationele kosten'!M104</f>
        <v>148917.64444861509</v>
      </c>
      <c r="N361" s="21">
        <f>'Input operationele kosten'!N104</f>
        <v>899539.71584453096</v>
      </c>
      <c r="O361" s="21">
        <f>'Input operationele kosten'!O104</f>
        <v>1007992.2916745904</v>
      </c>
      <c r="P361" s="21">
        <f>'Input operationele kosten'!P104</f>
        <v>4435.88</v>
      </c>
      <c r="Q361" s="21">
        <f>'Input operationele kosten'!Q104</f>
        <v>400446.09236658848</v>
      </c>
      <c r="R361" s="21">
        <f>'Input operationele kosten'!R104</f>
        <v>83110.539999999994</v>
      </c>
      <c r="S361" s="21">
        <f>'Input operationele kosten'!S104</f>
        <v>36046.369027902765</v>
      </c>
      <c r="T361" s="21">
        <f>'Input operationele kosten'!U104</f>
        <v>0</v>
      </c>
      <c r="U361" s="45">
        <f>'Input operationele kosten'!V104</f>
        <v>0</v>
      </c>
      <c r="V361" s="21">
        <f>'Input operationele kosten'!W104</f>
        <v>0</v>
      </c>
    </row>
    <row r="362" spans="1:22" s="3" customFormat="1" ht="12.75">
      <c r="A362" s="87"/>
      <c r="B362" s="3" t="s">
        <v>23</v>
      </c>
      <c r="H362" s="3" t="s">
        <v>32</v>
      </c>
      <c r="J362" s="9">
        <f>SUM(L362:S362)</f>
        <v>29742317.310290616</v>
      </c>
      <c r="K362" s="10"/>
      <c r="L362" s="21">
        <f>'Input operationele kosten'!L105</f>
        <v>0</v>
      </c>
      <c r="M362" s="21">
        <f>'Input operationele kosten'!M105</f>
        <v>0</v>
      </c>
      <c r="N362" s="21">
        <f>'Input operationele kosten'!N105</f>
        <v>2445728.6950490172</v>
      </c>
      <c r="O362" s="21">
        <f>'Input operationele kosten'!O105</f>
        <v>16619999.029893739</v>
      </c>
      <c r="P362" s="21">
        <f>'Input operationele kosten'!P105</f>
        <v>10148.17</v>
      </c>
      <c r="Q362" s="21">
        <f>'Input operationele kosten'!Q105</f>
        <v>10417398.218891213</v>
      </c>
      <c r="R362" s="21">
        <f>'Input operationele kosten'!R105</f>
        <v>490</v>
      </c>
      <c r="S362" s="21">
        <f>'Input operationele kosten'!S105</f>
        <v>248553.19645664634</v>
      </c>
      <c r="T362" s="21">
        <f>'Input operationele kosten'!U105</f>
        <v>0</v>
      </c>
      <c r="U362" s="45">
        <f>'Input operationele kosten'!V105</f>
        <v>0</v>
      </c>
      <c r="V362" s="21">
        <f>'Input operationele kosten'!W105</f>
        <v>0</v>
      </c>
    </row>
    <row r="363" spans="1:22" s="3" customFormat="1" ht="12.75">
      <c r="A363" s="87"/>
      <c r="J363" s="10"/>
      <c r="K363" s="10"/>
      <c r="L363" s="10"/>
      <c r="M363" s="10"/>
      <c r="N363" s="10"/>
      <c r="O363" s="10"/>
      <c r="P363" s="10"/>
      <c r="Q363" s="10"/>
      <c r="R363" s="10"/>
      <c r="S363" s="10"/>
      <c r="T363" s="10"/>
      <c r="U363" s="10"/>
      <c r="V363" s="10"/>
    </row>
    <row r="364" spans="1:22" s="3" customFormat="1" ht="12.75">
      <c r="A364" s="87"/>
      <c r="B364" s="8" t="s">
        <v>24</v>
      </c>
      <c r="H364" s="3" t="s">
        <v>32</v>
      </c>
      <c r="J364" s="9">
        <f>SUM(L364:S364)</f>
        <v>1624201896.8288083</v>
      </c>
      <c r="K364" s="12"/>
      <c r="L364" s="9">
        <f t="shared" ref="L364:S364" si="53">SUM(L344:L347,L350:L352,L355:L356,L359:L362)</f>
        <v>8059187.4081851365</v>
      </c>
      <c r="M364" s="9">
        <f t="shared" si="53"/>
        <v>36622810.522631399</v>
      </c>
      <c r="N364" s="9">
        <f>SUM(N344:N347,N350:N352,N355:N356,N359:N362)</f>
        <v>491461065.76950526</v>
      </c>
      <c r="O364" s="9">
        <f t="shared" si="53"/>
        <v>680417874.30824339</v>
      </c>
      <c r="P364" s="9">
        <f t="shared" si="53"/>
        <v>5064336.7199999988</v>
      </c>
      <c r="Q364" s="9">
        <f t="shared" si="53"/>
        <v>363703063.3053866</v>
      </c>
      <c r="R364" s="9">
        <f t="shared" si="53"/>
        <v>22370316.259224575</v>
      </c>
      <c r="S364" s="9">
        <f t="shared" si="53"/>
        <v>16503242.535631875</v>
      </c>
      <c r="T364" s="9">
        <f t="shared" ref="T364:U364" si="54">SUM(T344:T347,T350:T352,T355:T356,T359:T362)</f>
        <v>14112156.950076742</v>
      </c>
      <c r="U364" s="45">
        <f t="shared" si="54"/>
        <v>0</v>
      </c>
      <c r="V364" s="9">
        <f t="shared" ref="V364" si="55">SUM(V344:V347,V350:V352,V355:V356,V359:V362)</f>
        <v>995</v>
      </c>
    </row>
    <row r="365" spans="1:22" s="3" customFormat="1" ht="12.75">
      <c r="A365" s="87"/>
      <c r="J365" s="10"/>
      <c r="K365" s="10"/>
      <c r="L365" s="10"/>
      <c r="M365" s="10"/>
      <c r="N365" s="10"/>
      <c r="O365" s="10"/>
      <c r="P365" s="10"/>
      <c r="Q365" s="10"/>
      <c r="R365" s="10"/>
      <c r="S365" s="10"/>
      <c r="T365" s="10"/>
      <c r="U365" s="10"/>
      <c r="V365" s="10"/>
    </row>
    <row r="366" spans="1:22" s="3" customFormat="1" ht="12.75">
      <c r="A366" s="87"/>
      <c r="B366" s="8"/>
      <c r="J366" s="10"/>
      <c r="K366" s="10"/>
      <c r="L366" s="10"/>
      <c r="M366" s="10"/>
      <c r="N366" s="10"/>
      <c r="O366" s="10"/>
      <c r="P366" s="10"/>
      <c r="Q366" s="10"/>
      <c r="R366" s="10"/>
      <c r="S366" s="10"/>
      <c r="T366" s="10"/>
      <c r="U366" s="10"/>
      <c r="V366" s="10"/>
    </row>
    <row r="367" spans="1:22" s="3" customFormat="1" ht="12.75">
      <c r="A367" s="87"/>
      <c r="B367" s="8" t="s">
        <v>38</v>
      </c>
      <c r="J367" s="10"/>
      <c r="K367" s="10"/>
      <c r="L367" s="10"/>
      <c r="M367" s="10"/>
      <c r="N367" s="10"/>
      <c r="O367" s="10"/>
      <c r="P367" s="10"/>
      <c r="Q367" s="10"/>
      <c r="R367" s="10"/>
      <c r="S367" s="10"/>
      <c r="T367" s="10"/>
      <c r="U367" s="10"/>
      <c r="V367" s="10"/>
    </row>
    <row r="368" spans="1:22" s="3" customFormat="1" ht="12.75">
      <c r="A368" s="87"/>
      <c r="J368" s="10"/>
      <c r="K368" s="10"/>
      <c r="L368" s="10"/>
      <c r="M368" s="10"/>
      <c r="N368" s="10"/>
      <c r="O368" s="10"/>
      <c r="P368" s="10"/>
      <c r="Q368" s="10"/>
      <c r="R368" s="10"/>
      <c r="S368" s="10"/>
      <c r="T368" s="10"/>
      <c r="U368" s="10"/>
      <c r="V368" s="10"/>
    </row>
    <row r="369" spans="1:22" s="3" customFormat="1" ht="12.75">
      <c r="A369" s="87"/>
      <c r="B369" s="8" t="s">
        <v>8</v>
      </c>
      <c r="J369" s="10"/>
      <c r="K369" s="10"/>
      <c r="L369" s="10"/>
      <c r="M369" s="10"/>
      <c r="N369" s="10"/>
      <c r="O369" s="10"/>
      <c r="P369" s="10"/>
      <c r="Q369" s="10"/>
      <c r="R369" s="10"/>
      <c r="S369" s="10"/>
      <c r="T369" s="10"/>
      <c r="U369" s="10"/>
      <c r="V369" s="10"/>
    </row>
    <row r="370" spans="1:22" s="3" customFormat="1" ht="12.75">
      <c r="A370" s="87"/>
      <c r="B370" s="3" t="s">
        <v>9</v>
      </c>
      <c r="H370" s="3" t="s">
        <v>32</v>
      </c>
      <c r="J370" s="9">
        <f>SUM(L370:S370)</f>
        <v>0</v>
      </c>
      <c r="K370" s="10"/>
      <c r="L370" s="11"/>
      <c r="M370" s="11"/>
      <c r="N370" s="11"/>
      <c r="O370" s="11"/>
      <c r="P370" s="11"/>
      <c r="Q370" s="11"/>
      <c r="R370" s="11"/>
      <c r="S370" s="11"/>
      <c r="T370" s="11"/>
      <c r="U370" s="45"/>
      <c r="V370" s="11"/>
    </row>
    <row r="371" spans="1:22" s="3" customFormat="1" ht="12.75">
      <c r="A371" s="87"/>
      <c r="B371" s="3" t="s">
        <v>10</v>
      </c>
      <c r="H371" s="3" t="s">
        <v>32</v>
      </c>
      <c r="J371" s="9">
        <f>SUM(L371:S371)</f>
        <v>0</v>
      </c>
      <c r="K371" s="10"/>
      <c r="L371" s="11"/>
      <c r="M371" s="11"/>
      <c r="N371" s="11"/>
      <c r="O371" s="11"/>
      <c r="P371" s="11"/>
      <c r="Q371" s="11"/>
      <c r="R371" s="11"/>
      <c r="S371" s="11"/>
      <c r="T371" s="11"/>
      <c r="U371" s="45"/>
      <c r="V371" s="11"/>
    </row>
    <row r="372" spans="1:22" s="3" customFormat="1" ht="12.75">
      <c r="A372" s="87"/>
      <c r="B372" s="3" t="s">
        <v>11</v>
      </c>
      <c r="H372" s="3" t="s">
        <v>32</v>
      </c>
      <c r="J372" s="9">
        <f>SUM(L372:S372)</f>
        <v>0</v>
      </c>
      <c r="K372" s="10"/>
      <c r="L372" s="11"/>
      <c r="M372" s="11"/>
      <c r="N372" s="11"/>
      <c r="O372" s="11"/>
      <c r="P372" s="11"/>
      <c r="Q372" s="11"/>
      <c r="R372" s="11"/>
      <c r="S372" s="11"/>
      <c r="T372" s="11"/>
      <c r="U372" s="45"/>
      <c r="V372" s="11"/>
    </row>
    <row r="373" spans="1:22" s="3" customFormat="1" ht="12.75">
      <c r="A373" s="87"/>
      <c r="B373" s="3" t="s">
        <v>12</v>
      </c>
      <c r="H373" s="3" t="s">
        <v>32</v>
      </c>
      <c r="J373" s="9">
        <f>SUM(L373:S373)</f>
        <v>0</v>
      </c>
      <c r="K373" s="10"/>
      <c r="L373" s="11"/>
      <c r="M373" s="11"/>
      <c r="N373" s="11"/>
      <c r="O373" s="11"/>
      <c r="P373" s="11"/>
      <c r="Q373" s="11"/>
      <c r="R373" s="11"/>
      <c r="S373" s="11"/>
      <c r="T373" s="11"/>
      <c r="U373" s="45"/>
      <c r="V373" s="11"/>
    </row>
    <row r="374" spans="1:22" s="3" customFormat="1" ht="12.75">
      <c r="A374" s="87"/>
      <c r="J374" s="10"/>
      <c r="K374" s="10"/>
      <c r="L374" s="10"/>
      <c r="M374" s="10"/>
      <c r="N374" s="10"/>
      <c r="O374" s="10"/>
      <c r="P374" s="10"/>
      <c r="Q374" s="10"/>
      <c r="R374" s="10"/>
      <c r="S374" s="10"/>
      <c r="T374" s="10"/>
      <c r="U374" s="10"/>
      <c r="V374" s="10"/>
    </row>
    <row r="375" spans="1:22" s="3" customFormat="1" ht="12.75">
      <c r="A375" s="87"/>
      <c r="B375" s="8" t="s">
        <v>13</v>
      </c>
      <c r="J375" s="10"/>
      <c r="K375" s="10"/>
      <c r="L375" s="10"/>
      <c r="M375" s="10"/>
      <c r="N375" s="10"/>
      <c r="O375" s="10"/>
      <c r="P375" s="10"/>
      <c r="Q375" s="10"/>
      <c r="R375" s="10"/>
      <c r="S375" s="10"/>
      <c r="T375" s="10"/>
      <c r="U375" s="10"/>
      <c r="V375" s="10"/>
    </row>
    <row r="376" spans="1:22" s="3" customFormat="1" ht="12.75">
      <c r="A376" s="87"/>
      <c r="B376" s="3" t="s">
        <v>14</v>
      </c>
      <c r="H376" s="3" t="s">
        <v>32</v>
      </c>
      <c r="J376" s="9">
        <f>SUM(L376:S376)</f>
        <v>0</v>
      </c>
      <c r="K376" s="10"/>
      <c r="L376" s="11"/>
      <c r="M376" s="11"/>
      <c r="N376" s="11"/>
      <c r="O376" s="11"/>
      <c r="P376" s="11"/>
      <c r="Q376" s="11"/>
      <c r="R376" s="11"/>
      <c r="S376" s="11"/>
      <c r="T376" s="11"/>
      <c r="U376" s="45"/>
      <c r="V376" s="11"/>
    </row>
    <row r="377" spans="1:22" s="3" customFormat="1" ht="12.75">
      <c r="A377" s="87"/>
      <c r="B377" s="3" t="s">
        <v>76</v>
      </c>
      <c r="H377" s="3" t="s">
        <v>32</v>
      </c>
      <c r="J377" s="9"/>
      <c r="K377" s="10"/>
      <c r="L377" s="11"/>
      <c r="M377" s="11"/>
      <c r="N377" s="11"/>
      <c r="O377" s="11"/>
      <c r="P377" s="11"/>
      <c r="Q377" s="11"/>
      <c r="R377" s="11"/>
      <c r="S377" s="11"/>
      <c r="T377" s="11"/>
      <c r="U377" s="45"/>
      <c r="V377" s="11"/>
    </row>
    <row r="378" spans="1:22" s="3" customFormat="1" ht="12.75">
      <c r="A378" s="87"/>
      <c r="B378" s="3" t="s">
        <v>15</v>
      </c>
      <c r="H378" s="3" t="s">
        <v>32</v>
      </c>
      <c r="J378" s="9">
        <f>SUM(L378:S378)</f>
        <v>0</v>
      </c>
      <c r="K378" s="10"/>
      <c r="L378" s="11"/>
      <c r="M378" s="11"/>
      <c r="N378" s="11"/>
      <c r="O378" s="11"/>
      <c r="P378" s="11"/>
      <c r="Q378" s="11"/>
      <c r="R378" s="11"/>
      <c r="S378" s="11"/>
      <c r="T378" s="11"/>
      <c r="U378" s="45"/>
      <c r="V378" s="11"/>
    </row>
    <row r="379" spans="1:22" s="3" customFormat="1" ht="12.75">
      <c r="A379" s="87"/>
      <c r="J379" s="10"/>
      <c r="K379" s="10"/>
      <c r="L379" s="10"/>
      <c r="M379" s="10"/>
      <c r="N379" s="10"/>
      <c r="O379" s="10"/>
      <c r="P379" s="10"/>
      <c r="Q379" s="10"/>
      <c r="R379" s="10"/>
      <c r="S379" s="10"/>
      <c r="T379" s="10"/>
      <c r="U379" s="10"/>
      <c r="V379" s="10"/>
    </row>
    <row r="380" spans="1:22" s="3" customFormat="1" ht="12.75">
      <c r="A380" s="87"/>
      <c r="B380" s="8" t="s">
        <v>16</v>
      </c>
      <c r="J380" s="10"/>
      <c r="K380" s="10"/>
      <c r="L380" s="10"/>
      <c r="M380" s="10"/>
      <c r="N380" s="10"/>
      <c r="O380" s="10"/>
      <c r="P380" s="10"/>
      <c r="Q380" s="10"/>
      <c r="R380" s="10"/>
      <c r="S380" s="10"/>
      <c r="T380" s="10"/>
      <c r="U380" s="10"/>
      <c r="V380" s="10"/>
    </row>
    <row r="381" spans="1:22" s="3" customFormat="1" ht="12.75">
      <c r="A381" s="87"/>
      <c r="B381" s="3" t="s">
        <v>17</v>
      </c>
      <c r="H381" s="3" t="s">
        <v>32</v>
      </c>
      <c r="J381" s="9">
        <f>SUM(L381:S381)</f>
        <v>0</v>
      </c>
      <c r="K381" s="10"/>
      <c r="L381" s="11"/>
      <c r="M381" s="11"/>
      <c r="N381" s="11"/>
      <c r="O381" s="11"/>
      <c r="P381" s="11"/>
      <c r="Q381" s="11"/>
      <c r="R381" s="11"/>
      <c r="S381" s="11"/>
      <c r="T381" s="11"/>
      <c r="U381" s="45"/>
      <c r="V381" s="11"/>
    </row>
    <row r="382" spans="1:22" s="3" customFormat="1" ht="12.75">
      <c r="A382" s="87"/>
      <c r="B382" s="3" t="s">
        <v>18</v>
      </c>
      <c r="H382" s="3" t="s">
        <v>32</v>
      </c>
      <c r="J382" s="9">
        <f>SUM(L382:S382)</f>
        <v>0</v>
      </c>
      <c r="K382" s="10"/>
      <c r="L382" s="11"/>
      <c r="M382" s="11"/>
      <c r="N382" s="11"/>
      <c r="O382" s="11"/>
      <c r="P382" s="11"/>
      <c r="Q382" s="11"/>
      <c r="R382" s="11"/>
      <c r="S382" s="11"/>
      <c r="T382" s="11"/>
      <c r="U382" s="45"/>
      <c r="V382" s="11"/>
    </row>
    <row r="383" spans="1:22" s="3" customFormat="1" ht="12.75">
      <c r="A383" s="87"/>
      <c r="J383" s="10"/>
      <c r="K383" s="10"/>
      <c r="L383" s="10"/>
      <c r="M383" s="10"/>
      <c r="N383" s="10"/>
      <c r="O383" s="10"/>
      <c r="P383" s="10"/>
      <c r="Q383" s="10"/>
      <c r="R383" s="10"/>
      <c r="S383" s="10"/>
      <c r="T383" s="10"/>
      <c r="U383" s="10"/>
      <c r="V383" s="10"/>
    </row>
    <row r="384" spans="1:22" s="3" customFormat="1" ht="12.75">
      <c r="A384" s="87"/>
      <c r="B384" s="8" t="s">
        <v>19</v>
      </c>
      <c r="J384" s="10"/>
      <c r="K384" s="10"/>
      <c r="L384" s="10"/>
      <c r="M384" s="10"/>
      <c r="N384" s="10"/>
      <c r="O384" s="10"/>
      <c r="P384" s="10"/>
      <c r="Q384" s="10"/>
      <c r="R384" s="10"/>
      <c r="S384" s="10"/>
      <c r="T384" s="10"/>
      <c r="U384" s="10"/>
      <c r="V384" s="10"/>
    </row>
    <row r="385" spans="1:24" s="3" customFormat="1" ht="12.75">
      <c r="A385" s="87"/>
      <c r="B385" s="3" t="s">
        <v>20</v>
      </c>
      <c r="H385" s="3" t="s">
        <v>32</v>
      </c>
      <c r="J385" s="9">
        <f>SUM(L385:S385)</f>
        <v>0</v>
      </c>
      <c r="K385" s="10"/>
      <c r="L385" s="11"/>
      <c r="M385" s="11"/>
      <c r="N385" s="11"/>
      <c r="O385" s="11"/>
      <c r="P385" s="11"/>
      <c r="Q385" s="11"/>
      <c r="R385" s="11"/>
      <c r="S385" s="11"/>
      <c r="T385" s="11"/>
      <c r="U385" s="45"/>
      <c r="V385" s="11"/>
    </row>
    <row r="386" spans="1:24" s="3" customFormat="1" ht="12.75">
      <c r="A386" s="87"/>
      <c r="B386" s="3" t="s">
        <v>21</v>
      </c>
      <c r="H386" s="3" t="s">
        <v>32</v>
      </c>
      <c r="J386" s="9">
        <f>SUM(L386:S386)</f>
        <v>0</v>
      </c>
      <c r="K386" s="10"/>
      <c r="L386" s="11"/>
      <c r="M386" s="11"/>
      <c r="N386" s="11"/>
      <c r="O386" s="11"/>
      <c r="P386" s="11"/>
      <c r="Q386" s="11"/>
      <c r="R386" s="11"/>
      <c r="S386" s="11"/>
      <c r="T386" s="11"/>
      <c r="U386" s="45"/>
      <c r="V386" s="11"/>
    </row>
    <row r="387" spans="1:24" s="3" customFormat="1" ht="12.75">
      <c r="A387" s="87"/>
      <c r="B387" s="3" t="s">
        <v>22</v>
      </c>
      <c r="H387" s="3" t="s">
        <v>32</v>
      </c>
      <c r="J387" s="9">
        <f>SUM(L387:S387)</f>
        <v>0</v>
      </c>
      <c r="K387" s="10"/>
      <c r="L387" s="11"/>
      <c r="M387" s="11"/>
      <c r="N387" s="11"/>
      <c r="O387" s="11"/>
      <c r="P387" s="11"/>
      <c r="Q387" s="11"/>
      <c r="R387" s="11"/>
      <c r="S387" s="11"/>
      <c r="T387" s="11"/>
      <c r="U387" s="45"/>
      <c r="V387" s="11"/>
    </row>
    <row r="388" spans="1:24" s="3" customFormat="1" ht="12.75">
      <c r="A388" s="87"/>
      <c r="B388" s="3" t="s">
        <v>23</v>
      </c>
      <c r="H388" s="3" t="s">
        <v>32</v>
      </c>
      <c r="J388" s="9">
        <f>SUM(L388:S388)</f>
        <v>0</v>
      </c>
      <c r="K388" s="10"/>
      <c r="L388" s="11"/>
      <c r="M388" s="11"/>
      <c r="N388" s="11"/>
      <c r="O388" s="11"/>
      <c r="P388" s="11"/>
      <c r="Q388" s="11"/>
      <c r="R388" s="11"/>
      <c r="S388" s="11"/>
      <c r="T388" s="11"/>
      <c r="U388" s="45"/>
      <c r="V388" s="11"/>
    </row>
    <row r="389" spans="1:24" s="3" customFormat="1" ht="12.75">
      <c r="A389" s="87"/>
      <c r="J389" s="10"/>
      <c r="K389" s="10"/>
      <c r="L389" s="10"/>
      <c r="M389" s="10"/>
      <c r="N389" s="10"/>
      <c r="O389" s="10"/>
      <c r="P389" s="10"/>
      <c r="Q389" s="10"/>
      <c r="R389" s="10"/>
      <c r="S389" s="10"/>
      <c r="T389" s="10"/>
      <c r="U389" s="10"/>
      <c r="V389" s="10"/>
    </row>
    <row r="390" spans="1:24" s="3" customFormat="1" ht="12.75">
      <c r="A390" s="87"/>
      <c r="B390" s="8"/>
      <c r="J390" s="9"/>
      <c r="K390" s="12"/>
      <c r="L390" s="12"/>
      <c r="M390" s="12"/>
      <c r="N390" s="12"/>
      <c r="O390" s="12"/>
      <c r="P390" s="12"/>
      <c r="Q390" s="12"/>
      <c r="R390" s="12"/>
      <c r="S390" s="12"/>
      <c r="T390" s="12"/>
      <c r="U390" s="12"/>
      <c r="V390" s="12"/>
    </row>
    <row r="391" spans="1:24" s="3" customFormat="1" ht="12.75">
      <c r="A391" s="87"/>
      <c r="B391" s="3" t="s">
        <v>284</v>
      </c>
      <c r="J391" s="10"/>
      <c r="K391" s="10"/>
      <c r="L391" s="10"/>
      <c r="M391" s="10"/>
      <c r="N391" s="21">
        <f>'Aanpassingen IT n.a.v. FNOP&amp;HS'!G30</f>
        <v>-6692494.4109031335</v>
      </c>
      <c r="O391" s="21">
        <f>'Aanpassingen IT n.a.v. FNOP&amp;HS'!H30</f>
        <v>-1016471.8183039795</v>
      </c>
      <c r="P391" s="10"/>
      <c r="Q391" s="10"/>
      <c r="R391" s="10"/>
      <c r="S391" s="10"/>
      <c r="T391" s="10"/>
      <c r="U391" s="10"/>
      <c r="V391" s="10"/>
      <c r="X391" s="3" t="s">
        <v>285</v>
      </c>
    </row>
    <row r="392" spans="1:24" s="3" customFormat="1" ht="12.75">
      <c r="A392" s="87"/>
      <c r="J392" s="10"/>
      <c r="K392" s="10"/>
      <c r="L392" s="10"/>
      <c r="M392" s="10"/>
      <c r="N392" s="10"/>
      <c r="O392" s="10"/>
      <c r="P392" s="10"/>
      <c r="Q392" s="10"/>
      <c r="R392" s="10"/>
      <c r="S392" s="10"/>
      <c r="T392" s="10"/>
      <c r="U392" s="10"/>
      <c r="V392" s="10"/>
    </row>
    <row r="393" spans="1:24" s="3" customFormat="1" ht="12.75">
      <c r="A393" s="87"/>
      <c r="B393" s="8" t="s">
        <v>39</v>
      </c>
      <c r="J393" s="10"/>
      <c r="K393" s="10"/>
      <c r="L393" s="10"/>
      <c r="M393" s="10"/>
      <c r="N393" s="10"/>
      <c r="O393" s="10"/>
      <c r="P393" s="10"/>
      <c r="Q393" s="10"/>
      <c r="R393" s="10"/>
      <c r="S393" s="10"/>
      <c r="T393" s="10"/>
      <c r="U393" s="10"/>
      <c r="V393" s="10"/>
    </row>
    <row r="394" spans="1:24" s="3" customFormat="1" ht="12.75">
      <c r="A394" s="87"/>
      <c r="J394" s="10"/>
      <c r="K394" s="10"/>
      <c r="L394" s="10"/>
      <c r="M394" s="10"/>
      <c r="N394" s="10"/>
      <c r="O394" s="10"/>
      <c r="P394" s="10"/>
      <c r="Q394" s="10"/>
      <c r="R394" s="10"/>
      <c r="S394" s="10"/>
      <c r="T394" s="10"/>
      <c r="U394" s="10"/>
      <c r="V394" s="10"/>
    </row>
    <row r="395" spans="1:24" s="3" customFormat="1" ht="12.75">
      <c r="A395" s="87"/>
      <c r="B395" s="8" t="s">
        <v>40</v>
      </c>
      <c r="J395" s="10"/>
      <c r="K395" s="10"/>
      <c r="L395" s="10"/>
      <c r="M395" s="10"/>
      <c r="N395" s="10"/>
      <c r="O395" s="10"/>
      <c r="P395" s="10"/>
      <c r="Q395" s="10"/>
      <c r="R395" s="10"/>
      <c r="S395" s="10"/>
      <c r="T395" s="10"/>
      <c r="U395" s="10"/>
      <c r="V395" s="10"/>
    </row>
    <row r="396" spans="1:24" s="3" customFormat="1" ht="12.75">
      <c r="A396" s="87"/>
      <c r="B396" s="3" t="s">
        <v>41</v>
      </c>
      <c r="H396" s="3" t="s">
        <v>32</v>
      </c>
      <c r="J396" s="9">
        <f t="shared" ref="J396:J404" si="56">SUM(L396:S396)</f>
        <v>7199760.1409999998</v>
      </c>
      <c r="K396" s="10"/>
      <c r="L396" s="21">
        <f>'Overige opbrengsten'!L212</f>
        <v>49854.700000000004</v>
      </c>
      <c r="M396" s="21">
        <f>'Overige opbrengsten'!M212</f>
        <v>165774.22099999999</v>
      </c>
      <c r="N396" s="21">
        <f>'Overige opbrengsten'!N212</f>
        <v>3386281.27</v>
      </c>
      <c r="O396" s="21">
        <f>'Overige opbrengsten'!O212</f>
        <v>1082847.56</v>
      </c>
      <c r="P396" s="21">
        <f>'Overige opbrengsten'!P212</f>
        <v>19329.93</v>
      </c>
      <c r="Q396" s="21">
        <f>'Overige opbrengsten'!Q212</f>
        <v>2256149.7800000003</v>
      </c>
      <c r="R396" s="21">
        <f>'Overige opbrengsten'!R212</f>
        <v>8746.9599999999991</v>
      </c>
      <c r="S396" s="21">
        <f>'Overige opbrengsten'!S212</f>
        <v>230775.72</v>
      </c>
      <c r="T396" s="21">
        <f>'Overige opbrengsten'!U212</f>
        <v>0</v>
      </c>
      <c r="U396" s="45">
        <f>'Overige opbrengsten'!V212</f>
        <v>0</v>
      </c>
      <c r="V396" s="21">
        <f>'Overige opbrengsten'!W212</f>
        <v>0</v>
      </c>
    </row>
    <row r="397" spans="1:24" s="3" customFormat="1" ht="12.75">
      <c r="A397" s="87"/>
      <c r="B397" s="3" t="s">
        <v>43</v>
      </c>
      <c r="H397" s="3" t="s">
        <v>32</v>
      </c>
      <c r="J397" s="9">
        <f t="shared" si="56"/>
        <v>2994679.4779570331</v>
      </c>
      <c r="K397" s="10"/>
      <c r="L397" s="21">
        <f>'Overige opbrengsten'!L213</f>
        <v>40627.070000000007</v>
      </c>
      <c r="M397" s="21">
        <f>'Overige opbrengsten'!M213</f>
        <v>8724.9590000000007</v>
      </c>
      <c r="N397" s="21">
        <f>'Overige opbrengsten'!N213</f>
        <v>1022762.0834011481</v>
      </c>
      <c r="O397" s="21">
        <f>'Overige opbrengsten'!O213</f>
        <v>214000.08555588452</v>
      </c>
      <c r="P397" s="21">
        <f>'Overige opbrengsten'!P213</f>
        <v>0</v>
      </c>
      <c r="Q397" s="21">
        <f>'Overige opbrengsten'!Q213</f>
        <v>1571421.2900000003</v>
      </c>
      <c r="R397" s="21">
        <f>'Overige opbrengsten'!R213</f>
        <v>3040</v>
      </c>
      <c r="S397" s="21">
        <f>'Overige opbrengsten'!S213</f>
        <v>134103.99000000002</v>
      </c>
      <c r="T397" s="21">
        <f>'Overige opbrengsten'!U213</f>
        <v>0</v>
      </c>
      <c r="U397" s="45">
        <f>'Overige opbrengsten'!V213</f>
        <v>0</v>
      </c>
      <c r="V397" s="21">
        <f>'Overige opbrengsten'!W213</f>
        <v>0</v>
      </c>
    </row>
    <row r="398" spans="1:24" s="3" customFormat="1" ht="12.75">
      <c r="A398" s="87"/>
      <c r="B398" s="3" t="s">
        <v>48</v>
      </c>
      <c r="H398" s="3" t="s">
        <v>32</v>
      </c>
      <c r="J398" s="9">
        <f t="shared" si="56"/>
        <v>8700213.4485382512</v>
      </c>
      <c r="K398" s="10"/>
      <c r="L398" s="21">
        <f>'Overige opbrengsten'!L214</f>
        <v>23488.66</v>
      </c>
      <c r="M398" s="21">
        <f>'Overige opbrengsten'!M214</f>
        <v>211827.61853825234</v>
      </c>
      <c r="N398" s="21">
        <f>'Overige opbrengsten'!N214</f>
        <v>3700179.8</v>
      </c>
      <c r="O398" s="21">
        <f>'Overige opbrengsten'!O214</f>
        <v>2490048.2799999998</v>
      </c>
      <c r="P398" s="21">
        <f>'Overige opbrengsten'!P214</f>
        <v>33984.379999999997</v>
      </c>
      <c r="Q398" s="21">
        <f>'Overige opbrengsten'!Q214</f>
        <v>2141183.9400000013</v>
      </c>
      <c r="R398" s="21">
        <f>'Overige opbrengsten'!R214</f>
        <v>31182.52</v>
      </c>
      <c r="S398" s="21">
        <f>'Overige opbrengsten'!S214</f>
        <v>68318.250000000015</v>
      </c>
      <c r="T398" s="21">
        <f>'Overige opbrengsten'!U214</f>
        <v>0</v>
      </c>
      <c r="U398" s="45">
        <f>'Overige opbrengsten'!V214</f>
        <v>0</v>
      </c>
      <c r="V398" s="21">
        <f>'Overige opbrengsten'!W214</f>
        <v>0</v>
      </c>
    </row>
    <row r="399" spans="1:24" s="3" customFormat="1" ht="12.75">
      <c r="A399" s="87"/>
      <c r="B399" s="3" t="s">
        <v>49</v>
      </c>
      <c r="H399" s="3" t="s">
        <v>32</v>
      </c>
      <c r="J399" s="9">
        <f t="shared" si="56"/>
        <v>1610004.7152832486</v>
      </c>
      <c r="K399" s="10"/>
      <c r="L399" s="21">
        <f>'Overige opbrengsten'!L215</f>
        <v>0</v>
      </c>
      <c r="M399" s="21">
        <f>'Overige opbrengsten'!M215</f>
        <v>0</v>
      </c>
      <c r="N399" s="21">
        <f>'Overige opbrengsten'!N215</f>
        <v>0</v>
      </c>
      <c r="O399" s="21">
        <f>'Overige opbrengsten'!O215</f>
        <v>126493.73993017653</v>
      </c>
      <c r="P399" s="21">
        <f>'Overige opbrengsten'!P215</f>
        <v>8094.38</v>
      </c>
      <c r="Q399" s="21">
        <f>'Overige opbrengsten'!Q215</f>
        <v>1472700.7803530721</v>
      </c>
      <c r="R399" s="21">
        <f>'Overige opbrengsten'!R215</f>
        <v>2715.8150000000001</v>
      </c>
      <c r="S399" s="21">
        <f>'Overige opbrengsten'!S215</f>
        <v>0</v>
      </c>
      <c r="T399" s="21">
        <f>'Overige opbrengsten'!U215</f>
        <v>0</v>
      </c>
      <c r="U399" s="45">
        <f>'Overige opbrengsten'!V215</f>
        <v>0</v>
      </c>
      <c r="V399" s="21">
        <f>'Overige opbrengsten'!W215</f>
        <v>0</v>
      </c>
    </row>
    <row r="400" spans="1:24" s="3" customFormat="1" ht="12.75">
      <c r="A400" s="87"/>
      <c r="B400" s="3" t="s">
        <v>50</v>
      </c>
      <c r="H400" s="3" t="s">
        <v>32</v>
      </c>
      <c r="J400" s="9">
        <f t="shared" si="56"/>
        <v>95287.689999999988</v>
      </c>
      <c r="K400" s="10"/>
      <c r="L400" s="21">
        <f>'Overige opbrengsten'!L216</f>
        <v>0</v>
      </c>
      <c r="M400" s="21">
        <f>'Overige opbrengsten'!M216</f>
        <v>0</v>
      </c>
      <c r="N400" s="21">
        <f>'Overige opbrengsten'!N216</f>
        <v>0</v>
      </c>
      <c r="O400" s="21">
        <f>'Overige opbrengsten'!O216</f>
        <v>125269.63999999998</v>
      </c>
      <c r="P400" s="21">
        <f>'Overige opbrengsten'!P216</f>
        <v>1222.57</v>
      </c>
      <c r="Q400" s="21">
        <f>'Overige opbrengsten'!Q216</f>
        <v>0</v>
      </c>
      <c r="R400" s="21">
        <f>'Overige opbrengsten'!R216</f>
        <v>-31204.52</v>
      </c>
      <c r="S400" s="21">
        <f>'Overige opbrengsten'!S216</f>
        <v>0</v>
      </c>
      <c r="T400" s="21">
        <f>'Overige opbrengsten'!U216</f>
        <v>0</v>
      </c>
      <c r="U400" s="45">
        <f>'Overige opbrengsten'!V216</f>
        <v>0</v>
      </c>
      <c r="V400" s="21">
        <f>'Overige opbrengsten'!W216</f>
        <v>0</v>
      </c>
    </row>
    <row r="401" spans="1:22" s="3" customFormat="1" ht="12.75">
      <c r="A401" s="87"/>
      <c r="B401" s="3" t="s">
        <v>51</v>
      </c>
      <c r="H401" s="3" t="s">
        <v>32</v>
      </c>
      <c r="J401" s="9">
        <f t="shared" si="56"/>
        <v>2318121.757803279</v>
      </c>
      <c r="K401" s="10"/>
      <c r="L401" s="21">
        <f>'Overige opbrengsten'!L217</f>
        <v>0</v>
      </c>
      <c r="M401" s="21">
        <f>'Overige opbrengsten'!M217</f>
        <v>0</v>
      </c>
      <c r="N401" s="21">
        <f>'Overige opbrengsten'!N217</f>
        <v>0</v>
      </c>
      <c r="O401" s="21">
        <f>'Overige opbrengsten'!O217</f>
        <v>2318121.757803279</v>
      </c>
      <c r="P401" s="21">
        <f>'Overige opbrengsten'!P217</f>
        <v>0</v>
      </c>
      <c r="Q401" s="21">
        <f>'Overige opbrengsten'!Q217</f>
        <v>0</v>
      </c>
      <c r="R401" s="21">
        <f>'Overige opbrengsten'!R217</f>
        <v>0</v>
      </c>
      <c r="S401" s="21">
        <f>'Overige opbrengsten'!S217</f>
        <v>0</v>
      </c>
      <c r="T401" s="21">
        <f>'Overige opbrengsten'!U217</f>
        <v>0</v>
      </c>
      <c r="U401" s="45">
        <f>'Overige opbrengsten'!V217</f>
        <v>0</v>
      </c>
      <c r="V401" s="21">
        <f>'Overige opbrengsten'!W217</f>
        <v>0</v>
      </c>
    </row>
    <row r="402" spans="1:22" s="3" customFormat="1" ht="12.75">
      <c r="A402" s="87"/>
      <c r="B402" s="3" t="s">
        <v>52</v>
      </c>
      <c r="H402" s="3" t="s">
        <v>32</v>
      </c>
      <c r="J402" s="9">
        <f t="shared" si="56"/>
        <v>6237.16</v>
      </c>
      <c r="K402" s="10"/>
      <c r="L402" s="21">
        <f>'Overige opbrengsten'!L218</f>
        <v>0</v>
      </c>
      <c r="M402" s="21">
        <f>'Overige opbrengsten'!M218</f>
        <v>0</v>
      </c>
      <c r="N402" s="21">
        <f>'Overige opbrengsten'!N218</f>
        <v>0</v>
      </c>
      <c r="O402" s="21">
        <f>'Overige opbrengsten'!O218</f>
        <v>6237.16</v>
      </c>
      <c r="P402" s="21">
        <f>'Overige opbrengsten'!P218</f>
        <v>0</v>
      </c>
      <c r="Q402" s="21">
        <f>'Overige opbrengsten'!Q218</f>
        <v>0</v>
      </c>
      <c r="R402" s="21">
        <f>'Overige opbrengsten'!R218</f>
        <v>0</v>
      </c>
      <c r="S402" s="21">
        <f>'Overige opbrengsten'!S218</f>
        <v>0</v>
      </c>
      <c r="T402" s="21">
        <f>'Overige opbrengsten'!U218</f>
        <v>0</v>
      </c>
      <c r="U402" s="45">
        <f>'Overige opbrengsten'!V218</f>
        <v>0</v>
      </c>
      <c r="V402" s="21">
        <f>'Overige opbrengsten'!W218</f>
        <v>0</v>
      </c>
    </row>
    <row r="403" spans="1:22" s="3" customFormat="1" ht="12.75">
      <c r="A403" s="87"/>
      <c r="B403" s="3" t="s">
        <v>53</v>
      </c>
      <c r="H403" s="3" t="s">
        <v>32</v>
      </c>
      <c r="J403" s="9">
        <f t="shared" si="56"/>
        <v>-638382.73</v>
      </c>
      <c r="K403" s="10"/>
      <c r="L403" s="21">
        <f>'Overige opbrengsten'!L219</f>
        <v>0</v>
      </c>
      <c r="M403" s="21">
        <f>'Overige opbrengsten'!M219</f>
        <v>0</v>
      </c>
      <c r="N403" s="21">
        <f>'Overige opbrengsten'!N219</f>
        <v>0</v>
      </c>
      <c r="O403" s="21">
        <f>'Overige opbrengsten'!O219</f>
        <v>-638382.73</v>
      </c>
      <c r="P403" s="21">
        <f>'Overige opbrengsten'!P219</f>
        <v>0</v>
      </c>
      <c r="Q403" s="21">
        <f>'Overige opbrengsten'!Q219</f>
        <v>0</v>
      </c>
      <c r="R403" s="21">
        <f>'Overige opbrengsten'!R219</f>
        <v>0</v>
      </c>
      <c r="S403" s="21">
        <f>'Overige opbrengsten'!S219</f>
        <v>0</v>
      </c>
      <c r="T403" s="21">
        <f>'Overige opbrengsten'!U219</f>
        <v>0</v>
      </c>
      <c r="U403" s="45">
        <f>'Overige opbrengsten'!V219</f>
        <v>0</v>
      </c>
      <c r="V403" s="21">
        <f>'Overige opbrengsten'!W219</f>
        <v>0</v>
      </c>
    </row>
    <row r="404" spans="1:22" s="3" customFormat="1" ht="12.75">
      <c r="A404" s="87"/>
      <c r="B404" s="3" t="s">
        <v>54</v>
      </c>
      <c r="H404" s="3" t="s">
        <v>32</v>
      </c>
      <c r="J404" s="9">
        <f t="shared" si="56"/>
        <v>0</v>
      </c>
      <c r="K404" s="10"/>
      <c r="L404" s="21">
        <f>'Overige opbrengsten'!L220</f>
        <v>0</v>
      </c>
      <c r="M404" s="21">
        <f>'Overige opbrengsten'!M220</f>
        <v>0</v>
      </c>
      <c r="N404" s="21">
        <f>'Overige opbrengsten'!N220</f>
        <v>0</v>
      </c>
      <c r="O404" s="21">
        <f>'Overige opbrengsten'!O220</f>
        <v>0</v>
      </c>
      <c r="P404" s="21">
        <f>'Overige opbrengsten'!P220</f>
        <v>0</v>
      </c>
      <c r="Q404" s="21">
        <f>'Overige opbrengsten'!Q220</f>
        <v>0</v>
      </c>
      <c r="R404" s="21">
        <f>'Overige opbrengsten'!R220</f>
        <v>0</v>
      </c>
      <c r="S404" s="21">
        <f>'Overige opbrengsten'!S220</f>
        <v>0</v>
      </c>
      <c r="T404" s="21">
        <f>'Overige opbrengsten'!U220</f>
        <v>0</v>
      </c>
      <c r="U404" s="45">
        <f>'Overige opbrengsten'!V220</f>
        <v>0</v>
      </c>
      <c r="V404" s="21">
        <f>'Overige opbrengsten'!W220</f>
        <v>0</v>
      </c>
    </row>
    <row r="405" spans="1:22" s="3" customFormat="1" ht="12.75">
      <c r="A405" s="87"/>
      <c r="J405" s="10"/>
      <c r="K405" s="10"/>
      <c r="L405" s="10"/>
      <c r="M405" s="10"/>
      <c r="N405" s="10"/>
      <c r="O405" s="10"/>
      <c r="P405" s="10"/>
      <c r="Q405" s="10"/>
      <c r="R405" s="10"/>
      <c r="S405" s="10"/>
      <c r="T405" s="10"/>
      <c r="U405" s="10"/>
      <c r="V405" s="10"/>
    </row>
    <row r="406" spans="1:22" s="3" customFormat="1" ht="12.75">
      <c r="A406" s="87"/>
      <c r="B406" s="27" t="s">
        <v>194</v>
      </c>
      <c r="J406" s="10"/>
      <c r="K406" s="10"/>
      <c r="L406" s="10"/>
      <c r="M406" s="10"/>
      <c r="N406" s="10"/>
      <c r="O406" s="10"/>
      <c r="P406" s="10"/>
      <c r="Q406" s="10"/>
      <c r="R406" s="10"/>
      <c r="S406" s="10"/>
      <c r="T406" s="10"/>
      <c r="U406" s="10"/>
      <c r="V406" s="10"/>
    </row>
    <row r="407" spans="1:22" s="3" customFormat="1" ht="12.75">
      <c r="A407" s="87"/>
      <c r="B407" s="28" t="s">
        <v>198</v>
      </c>
      <c r="H407" s="3" t="s">
        <v>32</v>
      </c>
      <c r="J407" s="9">
        <f>SUM(L407:S407)</f>
        <v>897716.79999999946</v>
      </c>
      <c r="K407" s="10"/>
      <c r="L407" s="21">
        <f>'Overige opbrengsten'!L226</f>
        <v>5311.96</v>
      </c>
      <c r="M407" s="21">
        <f>'Overige opbrengsten'!M226</f>
        <v>0</v>
      </c>
      <c r="N407" s="21">
        <f>'Overige opbrengsten'!N226</f>
        <v>363201.19999999949</v>
      </c>
      <c r="O407" s="21">
        <f>'Overige opbrengsten'!O226</f>
        <v>249285.12999999983</v>
      </c>
      <c r="P407" s="21">
        <f>'Overige opbrengsten'!P226</f>
        <v>1241.1600000000001</v>
      </c>
      <c r="Q407" s="21">
        <f>'Overige opbrengsten'!Q226</f>
        <v>256687.08000000007</v>
      </c>
      <c r="R407" s="21">
        <f>'Overige opbrengsten'!R226</f>
        <v>0</v>
      </c>
      <c r="S407" s="21">
        <f>'Overige opbrengsten'!S226</f>
        <v>21990.27</v>
      </c>
      <c r="T407" s="21">
        <f>'Overige opbrengsten'!U226</f>
        <v>0</v>
      </c>
      <c r="U407" s="45">
        <f>'Overige opbrengsten'!V226</f>
        <v>0</v>
      </c>
      <c r="V407" s="21">
        <f>'Overige opbrengsten'!W226</f>
        <v>0</v>
      </c>
    </row>
    <row r="408" spans="1:22" s="3" customFormat="1" ht="12.75">
      <c r="A408" s="87"/>
      <c r="J408" s="10"/>
      <c r="K408" s="10"/>
      <c r="L408" s="10"/>
      <c r="M408" s="10"/>
      <c r="N408" s="10"/>
      <c r="O408" s="10"/>
      <c r="P408" s="10"/>
      <c r="Q408" s="10"/>
      <c r="R408" s="10"/>
      <c r="S408" s="10"/>
      <c r="T408" s="10"/>
      <c r="U408" s="10"/>
      <c r="V408" s="10"/>
    </row>
    <row r="409" spans="1:22" s="3" customFormat="1" ht="12.75">
      <c r="A409" s="87"/>
      <c r="B409" s="8" t="s">
        <v>44</v>
      </c>
      <c r="J409" s="10"/>
      <c r="K409" s="10"/>
      <c r="L409" s="10"/>
      <c r="M409" s="10"/>
      <c r="N409" s="10"/>
      <c r="O409" s="10"/>
      <c r="P409" s="10"/>
      <c r="Q409" s="10"/>
      <c r="R409" s="10"/>
      <c r="S409" s="10"/>
      <c r="T409" s="10"/>
      <c r="U409" s="10"/>
      <c r="V409" s="10"/>
    </row>
    <row r="410" spans="1:22" s="3" customFormat="1" ht="12.75">
      <c r="A410" s="87"/>
      <c r="B410" s="3" t="s">
        <v>45</v>
      </c>
      <c r="H410" s="3" t="s">
        <v>32</v>
      </c>
      <c r="J410" s="9">
        <f>SUM(L410:S410)</f>
        <v>2419046.1049049674</v>
      </c>
      <c r="K410" s="10"/>
      <c r="L410" s="21">
        <f>'Overige opbrengsten'!L200</f>
        <v>76681.200000000026</v>
      </c>
      <c r="M410" s="21">
        <f>'Overige opbrengsten'!M200</f>
        <v>65739.98</v>
      </c>
      <c r="N410" s="21">
        <f>'Overige opbrengsten'!N200</f>
        <v>1206669.24</v>
      </c>
      <c r="O410" s="21">
        <f>'Overige opbrengsten'!O200</f>
        <v>161640.20999999996</v>
      </c>
      <c r="P410" s="21">
        <f>'Overige opbrengsten'!P200</f>
        <v>21240</v>
      </c>
      <c r="Q410" s="21">
        <f>'Overige opbrengsten'!Q200</f>
        <v>703206.21490496746</v>
      </c>
      <c r="R410" s="21">
        <f>'Overige opbrengsten'!R200</f>
        <v>18067.629999999994</v>
      </c>
      <c r="S410" s="21">
        <f>'Overige opbrengsten'!S200</f>
        <v>165801.63</v>
      </c>
      <c r="T410" s="21">
        <f>'Overige opbrengsten'!U200</f>
        <v>0</v>
      </c>
      <c r="U410" s="45">
        <f>'Overige opbrengsten'!V200</f>
        <v>0</v>
      </c>
      <c r="V410" s="21">
        <f>'Overige opbrengsten'!W200</f>
        <v>0</v>
      </c>
    </row>
    <row r="411" spans="1:22" s="3" customFormat="1" ht="12.75">
      <c r="A411" s="87"/>
      <c r="B411" s="3" t="s">
        <v>46</v>
      </c>
      <c r="H411" s="3" t="s">
        <v>32</v>
      </c>
      <c r="J411" s="9">
        <f>SUM(L411:S411)</f>
        <v>72150818.330351964</v>
      </c>
      <c r="K411" s="10"/>
      <c r="L411" s="21">
        <f>'Overige opbrengsten'!L208</f>
        <v>108563.85071797598</v>
      </c>
      <c r="M411" s="21">
        <f>'Overige opbrengsten'!M208</f>
        <v>1208921.03</v>
      </c>
      <c r="N411" s="21">
        <f>'Overige opbrengsten'!N208</f>
        <v>38832604.883053839</v>
      </c>
      <c r="O411" s="21">
        <f>'Overige opbrengsten'!O208</f>
        <v>19672528.02718053</v>
      </c>
      <c r="P411" s="21">
        <f>'Overige opbrengsten'!P208</f>
        <v>65997.5</v>
      </c>
      <c r="Q411" s="21">
        <f>'Overige opbrengsten'!Q208</f>
        <v>10761452.610576509</v>
      </c>
      <c r="R411" s="21">
        <f>'Overige opbrengsten'!R208</f>
        <v>714842.66882310295</v>
      </c>
      <c r="S411" s="21">
        <f>'Overige opbrengsten'!S208</f>
        <v>785907.76</v>
      </c>
      <c r="T411" s="21">
        <f>'Overige opbrengsten'!U208</f>
        <v>1044222.9</v>
      </c>
      <c r="U411" s="45">
        <f>'Overige opbrengsten'!V208</f>
        <v>0</v>
      </c>
      <c r="V411" s="21">
        <f>'Overige opbrengsten'!W208</f>
        <v>0</v>
      </c>
    </row>
    <row r="412" spans="1:22" s="3" customFormat="1" ht="12.75">
      <c r="A412" s="87"/>
      <c r="J412" s="10"/>
      <c r="K412" s="10"/>
      <c r="L412" s="10"/>
      <c r="M412" s="10"/>
      <c r="N412" s="10"/>
      <c r="O412" s="10"/>
      <c r="P412" s="10"/>
      <c r="Q412" s="10"/>
      <c r="R412" s="10"/>
      <c r="S412" s="10"/>
      <c r="T412" s="10"/>
      <c r="U412" s="10"/>
      <c r="V412" s="10"/>
    </row>
    <row r="413" spans="1:22" s="3" customFormat="1" ht="12.75">
      <c r="A413" s="87"/>
      <c r="B413" s="8" t="s">
        <v>47</v>
      </c>
      <c r="J413" s="10"/>
      <c r="K413" s="10"/>
      <c r="L413" s="10"/>
      <c r="M413" s="10"/>
      <c r="N413" s="10"/>
      <c r="O413" s="10"/>
      <c r="P413" s="10"/>
      <c r="Q413" s="10"/>
      <c r="R413" s="10"/>
      <c r="S413" s="10"/>
      <c r="T413" s="10"/>
      <c r="U413" s="10"/>
      <c r="V413" s="10"/>
    </row>
    <row r="414" spans="1:22" s="3" customFormat="1" ht="12.75">
      <c r="A414" s="87"/>
      <c r="B414" s="3" t="s">
        <v>45</v>
      </c>
      <c r="H414" s="3" t="s">
        <v>32</v>
      </c>
      <c r="J414" s="9">
        <f>SUM(L414:S414)</f>
        <v>2367143.5885749459</v>
      </c>
      <c r="K414" s="10"/>
      <c r="L414" s="21">
        <f>'Overige opbrengsten'!L184</f>
        <v>24778.683669978891</v>
      </c>
      <c r="M414" s="21">
        <f>'Overige opbrengsten'!M184</f>
        <v>65739.98</v>
      </c>
      <c r="N414" s="21">
        <f>'Overige opbrengsten'!N184</f>
        <v>1206669.24</v>
      </c>
      <c r="O414" s="21">
        <f>'Overige opbrengsten'!O184</f>
        <v>161640.20999999996</v>
      </c>
      <c r="P414" s="21">
        <f>'Overige opbrengsten'!P184</f>
        <v>21240</v>
      </c>
      <c r="Q414" s="21">
        <f>'Overige opbrengsten'!Q184</f>
        <v>703206.21490496746</v>
      </c>
      <c r="R414" s="21">
        <f>'Overige opbrengsten'!R184</f>
        <v>18067.629999999994</v>
      </c>
      <c r="S414" s="21">
        <f>'Overige opbrengsten'!S184</f>
        <v>165801.63</v>
      </c>
      <c r="T414" s="21">
        <f>'Overige opbrengsten'!U184</f>
        <v>0</v>
      </c>
      <c r="U414" s="45">
        <f>'Overige opbrengsten'!V184</f>
        <v>0</v>
      </c>
      <c r="V414" s="21">
        <f>'Overige opbrengsten'!W184</f>
        <v>0</v>
      </c>
    </row>
    <row r="415" spans="1:22" s="3" customFormat="1" ht="12.75">
      <c r="A415" s="87"/>
      <c r="J415" s="10"/>
      <c r="K415" s="10"/>
      <c r="L415" s="10"/>
      <c r="M415" s="10"/>
      <c r="N415" s="10"/>
      <c r="O415" s="10"/>
      <c r="P415" s="10"/>
      <c r="Q415" s="10"/>
      <c r="R415" s="10"/>
      <c r="S415" s="10"/>
      <c r="T415" s="10"/>
      <c r="U415" s="10"/>
      <c r="V415" s="10"/>
    </row>
    <row r="416" spans="1:22" s="3" customFormat="1" ht="12.75">
      <c r="A416" s="87"/>
      <c r="J416" s="10"/>
      <c r="K416" s="10"/>
      <c r="L416" s="10"/>
      <c r="M416" s="10"/>
      <c r="N416" s="10"/>
      <c r="O416" s="10"/>
      <c r="P416" s="10"/>
      <c r="Q416" s="10"/>
      <c r="R416" s="10"/>
      <c r="S416" s="10"/>
      <c r="T416" s="10"/>
      <c r="U416" s="10"/>
      <c r="V416" s="10"/>
    </row>
    <row r="417" spans="1:25" s="3" customFormat="1" ht="12.75">
      <c r="A417" s="87"/>
      <c r="B417" s="8" t="s">
        <v>55</v>
      </c>
      <c r="J417" s="10"/>
      <c r="K417" s="10"/>
      <c r="L417" s="10"/>
      <c r="M417" s="10"/>
      <c r="N417" s="10"/>
      <c r="O417" s="10"/>
      <c r="P417" s="10"/>
      <c r="Q417" s="10"/>
      <c r="R417" s="10"/>
      <c r="S417" s="10"/>
      <c r="T417" s="10"/>
      <c r="U417" s="10"/>
      <c r="V417" s="10"/>
    </row>
    <row r="418" spans="1:25" s="3" customFormat="1" ht="12.75">
      <c r="A418" s="87"/>
      <c r="J418" s="10"/>
      <c r="K418" s="10"/>
      <c r="L418" s="10"/>
      <c r="M418" s="10"/>
      <c r="N418" s="10"/>
      <c r="O418" s="10"/>
      <c r="P418" s="10"/>
      <c r="Q418" s="10"/>
      <c r="R418" s="10"/>
      <c r="S418" s="10"/>
      <c r="T418" s="10"/>
      <c r="U418" s="10"/>
      <c r="V418" s="10"/>
    </row>
    <row r="419" spans="1:25" s="3" customFormat="1" ht="12.75">
      <c r="A419" s="87"/>
      <c r="B419" s="8" t="s">
        <v>8</v>
      </c>
      <c r="J419" s="10"/>
      <c r="K419" s="10"/>
      <c r="L419" s="10"/>
      <c r="M419" s="10"/>
      <c r="N419" s="10"/>
      <c r="O419" s="10"/>
      <c r="P419" s="10"/>
      <c r="Q419" s="10"/>
      <c r="R419" s="10"/>
      <c r="S419" s="10"/>
      <c r="T419" s="10"/>
      <c r="U419" s="10"/>
      <c r="V419" s="10"/>
    </row>
    <row r="420" spans="1:25" s="3" customFormat="1" ht="12.75">
      <c r="A420" s="87"/>
      <c r="B420" s="3" t="s">
        <v>9</v>
      </c>
      <c r="H420" s="3" t="s">
        <v>32</v>
      </c>
      <c r="J420" s="9">
        <f>SUM(L420:S420)</f>
        <v>433873298.06598151</v>
      </c>
      <c r="K420" s="10"/>
      <c r="L420" s="9">
        <f>L344+L370</f>
        <v>0</v>
      </c>
      <c r="M420" s="9">
        <f t="shared" ref="M420:V420" si="57">M344+M370</f>
        <v>8791419.5600000024</v>
      </c>
      <c r="N420" s="9">
        <f t="shared" si="57"/>
        <v>166429996.20999995</v>
      </c>
      <c r="O420" s="9">
        <f t="shared" si="57"/>
        <v>151138144.63999999</v>
      </c>
      <c r="P420" s="9">
        <f t="shared" si="57"/>
        <v>0</v>
      </c>
      <c r="Q420" s="9">
        <f t="shared" si="57"/>
        <v>97956760.129999995</v>
      </c>
      <c r="R420" s="9">
        <f t="shared" si="57"/>
        <v>9556977.525981538</v>
      </c>
      <c r="S420" s="9">
        <f t="shared" si="57"/>
        <v>0</v>
      </c>
      <c r="T420" s="9">
        <f t="shared" si="57"/>
        <v>4858637.4713787911</v>
      </c>
      <c r="U420" s="45">
        <f t="shared" si="57"/>
        <v>0</v>
      </c>
      <c r="V420" s="9">
        <f t="shared" si="57"/>
        <v>0</v>
      </c>
      <c r="Y420" s="79" t="s">
        <v>268</v>
      </c>
    </row>
    <row r="421" spans="1:25" s="3" customFormat="1" ht="12.75">
      <c r="A421" s="87"/>
      <c r="B421" s="3" t="s">
        <v>10</v>
      </c>
      <c r="H421" s="3" t="s">
        <v>32</v>
      </c>
      <c r="J421" s="9">
        <f>SUM(L421:S421)</f>
        <v>19118331.698526666</v>
      </c>
      <c r="K421" s="10"/>
      <c r="L421" s="9">
        <f>L345+L371</f>
        <v>3321046.5</v>
      </c>
      <c r="M421" s="9">
        <f t="shared" ref="M421:V421" si="58">M345+M371</f>
        <v>0</v>
      </c>
      <c r="N421" s="9">
        <f t="shared" si="58"/>
        <v>547438.56319999998</v>
      </c>
      <c r="O421" s="9">
        <f t="shared" si="58"/>
        <v>906212.30845999997</v>
      </c>
      <c r="P421" s="9">
        <f t="shared" si="58"/>
        <v>2205049.6699999995</v>
      </c>
      <c r="Q421" s="9">
        <f t="shared" si="58"/>
        <v>5139266.841</v>
      </c>
      <c r="R421" s="9">
        <f t="shared" si="58"/>
        <v>93628.515866666668</v>
      </c>
      <c r="S421" s="9">
        <f t="shared" si="58"/>
        <v>6905689.2999999998</v>
      </c>
      <c r="T421" s="9">
        <f t="shared" si="58"/>
        <v>293626.12000000005</v>
      </c>
      <c r="U421" s="45">
        <f t="shared" si="58"/>
        <v>0</v>
      </c>
      <c r="V421" s="9">
        <f t="shared" si="58"/>
        <v>0</v>
      </c>
    </row>
    <row r="422" spans="1:25" s="3" customFormat="1" ht="12.75">
      <c r="A422" s="87"/>
      <c r="B422" s="3" t="s">
        <v>11</v>
      </c>
      <c r="H422" s="3" t="s">
        <v>32</v>
      </c>
      <c r="J422" s="9">
        <f>SUM(L422:S422)</f>
        <v>170256948.7557191</v>
      </c>
      <c r="K422" s="10"/>
      <c r="L422" s="9">
        <f>L346+L372-(SUM(L396:L397)+L407)</f>
        <v>631290.02999999991</v>
      </c>
      <c r="M422" s="9">
        <f t="shared" ref="M422:V422" si="59">M346+M372-(SUM(M396:M397)+M407)</f>
        <v>3752304.6399999992</v>
      </c>
      <c r="N422" s="9">
        <f t="shared" si="59"/>
        <v>59842414.471855506</v>
      </c>
      <c r="O422" s="9">
        <f t="shared" si="59"/>
        <v>69301641.914444119</v>
      </c>
      <c r="P422" s="9">
        <f t="shared" si="59"/>
        <v>438291.32999999996</v>
      </c>
      <c r="Q422" s="9">
        <f t="shared" si="59"/>
        <v>33294395.819419496</v>
      </c>
      <c r="R422" s="9">
        <f t="shared" si="59"/>
        <v>1509272.1400000001</v>
      </c>
      <c r="S422" s="9">
        <f t="shared" si="59"/>
        <v>1487338.4099999997</v>
      </c>
      <c r="T422" s="9">
        <f t="shared" si="59"/>
        <v>1802721.3586979506</v>
      </c>
      <c r="U422" s="45">
        <f t="shared" si="59"/>
        <v>0</v>
      </c>
      <c r="V422" s="9">
        <f t="shared" si="59"/>
        <v>0</v>
      </c>
    </row>
    <row r="423" spans="1:25" s="3" customFormat="1" ht="12.75">
      <c r="A423" s="87"/>
      <c r="B423" s="3" t="s">
        <v>12</v>
      </c>
      <c r="H423" s="3" t="s">
        <v>32</v>
      </c>
      <c r="J423" s="9">
        <f>SUM(L423:S423)</f>
        <v>0</v>
      </c>
      <c r="K423" s="10"/>
      <c r="L423" s="9">
        <f t="shared" ref="L423:V423" si="60">L347+L373</f>
        <v>0</v>
      </c>
      <c r="M423" s="9">
        <f t="shared" si="60"/>
        <v>0</v>
      </c>
      <c r="N423" s="9">
        <f t="shared" si="60"/>
        <v>0</v>
      </c>
      <c r="O423" s="9">
        <f t="shared" si="60"/>
        <v>0</v>
      </c>
      <c r="P423" s="9">
        <f t="shared" si="60"/>
        <v>0</v>
      </c>
      <c r="Q423" s="9">
        <f t="shared" si="60"/>
        <v>0</v>
      </c>
      <c r="R423" s="9">
        <f t="shared" si="60"/>
        <v>0</v>
      </c>
      <c r="S423" s="9">
        <f t="shared" si="60"/>
        <v>0</v>
      </c>
      <c r="T423" s="9">
        <f t="shared" si="60"/>
        <v>0</v>
      </c>
      <c r="U423" s="45">
        <f t="shared" si="60"/>
        <v>0</v>
      </c>
      <c r="V423" s="9">
        <f t="shared" si="60"/>
        <v>0</v>
      </c>
    </row>
    <row r="424" spans="1:25" s="3" customFormat="1" ht="12.75">
      <c r="A424" s="87"/>
      <c r="J424" s="10"/>
      <c r="K424" s="10"/>
      <c r="L424" s="10"/>
      <c r="M424" s="10"/>
      <c r="N424" s="10"/>
      <c r="O424" s="10"/>
      <c r="P424" s="10"/>
      <c r="Q424" s="10"/>
      <c r="R424" s="10"/>
      <c r="S424" s="10"/>
      <c r="T424" s="10"/>
      <c r="U424" s="10"/>
      <c r="V424" s="10"/>
    </row>
    <row r="425" spans="1:25" s="3" customFormat="1" ht="12.75">
      <c r="A425" s="87"/>
      <c r="B425" s="8" t="s">
        <v>13</v>
      </c>
      <c r="J425" s="10"/>
      <c r="K425" s="10"/>
      <c r="L425" s="10"/>
      <c r="M425" s="10"/>
      <c r="N425" s="10"/>
      <c r="O425" s="10"/>
      <c r="P425" s="10"/>
      <c r="Q425" s="10"/>
      <c r="R425" s="10"/>
      <c r="S425" s="10"/>
      <c r="T425" s="10"/>
      <c r="U425" s="10"/>
      <c r="V425" s="10"/>
    </row>
    <row r="426" spans="1:25" s="3" customFormat="1" ht="12.75">
      <c r="A426" s="87"/>
      <c r="B426" s="3" t="s">
        <v>14</v>
      </c>
      <c r="H426" s="3" t="s">
        <v>32</v>
      </c>
      <c r="J426" s="9">
        <f>SUM(L426:S426)</f>
        <v>759216811.39175451</v>
      </c>
      <c r="K426" s="10"/>
      <c r="L426" s="9">
        <f t="shared" ref="L426:V426" si="61">L350+L376-(L411-L410+L414+SUM(L398:L404))</f>
        <v>3913155.2940674508</v>
      </c>
      <c r="M426" s="9">
        <f t="shared" si="61"/>
        <v>20741945.149644524</v>
      </c>
      <c r="N426" s="9">
        <f t="shared" si="61"/>
        <v>206578554.85348314</v>
      </c>
      <c r="O426" s="9">
        <f t="shared" si="61"/>
        <v>334464141.8033011</v>
      </c>
      <c r="P426" s="9">
        <f t="shared" si="61"/>
        <v>2011806.79</v>
      </c>
      <c r="Q426" s="9">
        <f t="shared" si="61"/>
        <v>174837298.44527519</v>
      </c>
      <c r="R426" s="9">
        <f t="shared" si="61"/>
        <v>10338597.678975493</v>
      </c>
      <c r="S426" s="9">
        <f t="shared" si="61"/>
        <v>6331311.3770076968</v>
      </c>
      <c r="T426" s="9">
        <f t="shared" si="61"/>
        <v>6112949.0999999996</v>
      </c>
      <c r="U426" s="45">
        <f t="shared" si="61"/>
        <v>0</v>
      </c>
      <c r="V426" s="9">
        <f t="shared" si="61"/>
        <v>0</v>
      </c>
    </row>
    <row r="427" spans="1:25" s="3" customFormat="1" ht="12.75">
      <c r="A427" s="87"/>
      <c r="B427" s="3" t="s">
        <v>33</v>
      </c>
      <c r="H427" s="3" t="s">
        <v>32</v>
      </c>
      <c r="J427" s="9">
        <f>SUM(L427:S427)</f>
        <v>1329154.2823920669</v>
      </c>
      <c r="K427" s="10"/>
      <c r="L427" s="9">
        <f t="shared" ref="L427:V427" si="62">L351+L377</f>
        <v>6668</v>
      </c>
      <c r="M427" s="9">
        <f t="shared" si="62"/>
        <v>37220.699999999997</v>
      </c>
      <c r="N427" s="9">
        <f t="shared" si="62"/>
        <v>434554.80630178476</v>
      </c>
      <c r="O427" s="9">
        <f t="shared" si="62"/>
        <v>498522.66</v>
      </c>
      <c r="P427" s="9">
        <f t="shared" si="62"/>
        <v>6487.46</v>
      </c>
      <c r="Q427" s="9">
        <f t="shared" si="62"/>
        <v>308790.94751250098</v>
      </c>
      <c r="R427" s="9">
        <f t="shared" si="62"/>
        <v>20309.5145777814</v>
      </c>
      <c r="S427" s="9">
        <f t="shared" si="62"/>
        <v>16600.194</v>
      </c>
      <c r="T427" s="9">
        <f t="shared" si="62"/>
        <v>0</v>
      </c>
      <c r="U427" s="45">
        <f t="shared" si="62"/>
        <v>0</v>
      </c>
      <c r="V427" s="9">
        <f t="shared" si="62"/>
        <v>0</v>
      </c>
    </row>
    <row r="428" spans="1:25" s="3" customFormat="1" ht="12.75">
      <c r="A428" s="87"/>
      <c r="B428" s="3" t="s">
        <v>15</v>
      </c>
      <c r="H428" s="3" t="s">
        <v>32</v>
      </c>
      <c r="J428" s="9">
        <f>SUM(L428:S428)</f>
        <v>254626.56</v>
      </c>
      <c r="K428" s="10"/>
      <c r="L428" s="9">
        <f t="shared" ref="L428:V428" si="63">L352+L378</f>
        <v>0</v>
      </c>
      <c r="M428" s="9">
        <f t="shared" si="63"/>
        <v>0</v>
      </c>
      <c r="N428" s="9">
        <f t="shared" si="63"/>
        <v>0</v>
      </c>
      <c r="O428" s="9">
        <f t="shared" si="63"/>
        <v>0</v>
      </c>
      <c r="P428" s="9">
        <f t="shared" si="63"/>
        <v>254626.56</v>
      </c>
      <c r="Q428" s="9">
        <f t="shared" si="63"/>
        <v>0</v>
      </c>
      <c r="R428" s="9">
        <f t="shared" si="63"/>
        <v>0</v>
      </c>
      <c r="S428" s="9">
        <f t="shared" si="63"/>
        <v>0</v>
      </c>
      <c r="T428" s="9">
        <f t="shared" si="63"/>
        <v>0</v>
      </c>
      <c r="U428" s="45">
        <f t="shared" si="63"/>
        <v>0</v>
      </c>
      <c r="V428" s="9">
        <f t="shared" si="63"/>
        <v>995</v>
      </c>
    </row>
    <row r="429" spans="1:25" s="3" customFormat="1" ht="12.75">
      <c r="A429" s="87"/>
      <c r="J429" s="10"/>
      <c r="K429" s="10"/>
      <c r="L429" s="10"/>
      <c r="M429" s="10"/>
      <c r="N429" s="10"/>
      <c r="O429" s="10"/>
      <c r="P429" s="10"/>
      <c r="Q429" s="10"/>
      <c r="R429" s="10"/>
      <c r="S429" s="10"/>
      <c r="T429" s="10"/>
      <c r="U429" s="10"/>
      <c r="V429" s="10"/>
    </row>
    <row r="430" spans="1:25" s="3" customFormat="1" ht="12.75">
      <c r="A430" s="87"/>
      <c r="B430" s="8" t="s">
        <v>16</v>
      </c>
      <c r="J430" s="10"/>
      <c r="K430" s="10"/>
      <c r="L430" s="10"/>
      <c r="M430" s="10"/>
      <c r="N430" s="10"/>
      <c r="O430" s="10"/>
      <c r="P430" s="10"/>
      <c r="Q430" s="10"/>
      <c r="R430" s="10"/>
      <c r="S430" s="10"/>
      <c r="T430" s="10"/>
      <c r="U430" s="10"/>
      <c r="V430" s="10"/>
    </row>
    <row r="431" spans="1:25" s="3" customFormat="1" ht="12.75">
      <c r="A431" s="87"/>
      <c r="B431" s="3" t="s">
        <v>17</v>
      </c>
      <c r="H431" s="3" t="s">
        <v>32</v>
      </c>
      <c r="J431" s="9">
        <f>SUM(L431:S431)</f>
        <v>102713848.27891877</v>
      </c>
      <c r="K431" s="10"/>
      <c r="L431" s="9">
        <f t="shared" ref="L431:V431" si="64">L355+L381</f>
        <v>0</v>
      </c>
      <c r="M431" s="9">
        <f t="shared" si="64"/>
        <v>1555755</v>
      </c>
      <c r="N431" s="9">
        <f t="shared" si="64"/>
        <v>0</v>
      </c>
      <c r="O431" s="9">
        <f t="shared" si="64"/>
        <v>79523128.079999998</v>
      </c>
      <c r="P431" s="9">
        <f t="shared" si="64"/>
        <v>0</v>
      </c>
      <c r="Q431" s="9">
        <f t="shared" si="64"/>
        <v>21608574.178918783</v>
      </c>
      <c r="R431" s="9">
        <f t="shared" si="64"/>
        <v>26391.02</v>
      </c>
      <c r="S431" s="9">
        <f t="shared" si="64"/>
        <v>0</v>
      </c>
      <c r="T431" s="9">
        <f t="shared" si="64"/>
        <v>0</v>
      </c>
      <c r="U431" s="45">
        <f t="shared" si="64"/>
        <v>0</v>
      </c>
      <c r="V431" s="9">
        <f t="shared" si="64"/>
        <v>0</v>
      </c>
    </row>
    <row r="432" spans="1:25" s="3" customFormat="1" ht="12.75">
      <c r="A432" s="87"/>
      <c r="B432" s="3" t="s">
        <v>18</v>
      </c>
      <c r="H432" s="3" t="s">
        <v>32</v>
      </c>
      <c r="J432" s="9">
        <f>SUM(L432:S432)</f>
        <v>1688824.2463699791</v>
      </c>
      <c r="K432" s="10"/>
      <c r="L432" s="9">
        <f t="shared" ref="L432:V432" si="65">L356+L382</f>
        <v>2044.9297297297298</v>
      </c>
      <c r="M432" s="9">
        <f t="shared" si="65"/>
        <v>0</v>
      </c>
      <c r="N432" s="9">
        <f t="shared" si="65"/>
        <v>1686779.3166402495</v>
      </c>
      <c r="O432" s="9">
        <f t="shared" si="65"/>
        <v>0</v>
      </c>
      <c r="P432" s="9">
        <f t="shared" si="65"/>
        <v>0</v>
      </c>
      <c r="Q432" s="9">
        <f t="shared" si="65"/>
        <v>0</v>
      </c>
      <c r="R432" s="9">
        <f t="shared" si="65"/>
        <v>0</v>
      </c>
      <c r="S432" s="9">
        <f t="shared" si="65"/>
        <v>0</v>
      </c>
      <c r="T432" s="9">
        <f t="shared" si="65"/>
        <v>0</v>
      </c>
      <c r="U432" s="45">
        <f t="shared" si="65"/>
        <v>0</v>
      </c>
      <c r="V432" s="9">
        <f t="shared" si="65"/>
        <v>0</v>
      </c>
    </row>
    <row r="433" spans="1:25" s="3" customFormat="1" ht="12.75">
      <c r="A433" s="87"/>
      <c r="J433" s="10"/>
      <c r="K433" s="10"/>
      <c r="L433" s="10"/>
      <c r="M433" s="10"/>
      <c r="N433" s="10"/>
      <c r="O433" s="10"/>
      <c r="P433" s="10"/>
      <c r="Q433" s="10"/>
      <c r="R433" s="10"/>
      <c r="S433" s="10"/>
      <c r="T433" s="10"/>
      <c r="U433" s="10"/>
      <c r="V433" s="10"/>
    </row>
    <row r="434" spans="1:25" s="3" customFormat="1" ht="12.75">
      <c r="A434" s="87"/>
      <c r="B434" s="8" t="s">
        <v>19</v>
      </c>
      <c r="J434" s="10"/>
      <c r="K434" s="10"/>
      <c r="L434" s="10"/>
      <c r="M434" s="10"/>
      <c r="N434" s="10"/>
      <c r="O434" s="10"/>
      <c r="P434" s="10"/>
      <c r="Q434" s="10"/>
      <c r="R434" s="10"/>
      <c r="S434" s="10"/>
      <c r="T434" s="10"/>
      <c r="U434" s="10"/>
      <c r="V434" s="10"/>
    </row>
    <row r="435" spans="1:25" s="3" customFormat="1" ht="12.75">
      <c r="A435" s="87"/>
      <c r="B435" s="3" t="s">
        <v>20</v>
      </c>
      <c r="H435" s="3" t="s">
        <v>32</v>
      </c>
      <c r="J435" s="9">
        <f>SUM(L435:S435)</f>
        <v>6853735.8912426112</v>
      </c>
      <c r="K435" s="10"/>
      <c r="L435" s="9">
        <f t="shared" ref="L435:V435" si="66">L359+L385</f>
        <v>8387.82</v>
      </c>
      <c r="M435" s="9">
        <f t="shared" si="66"/>
        <v>0</v>
      </c>
      <c r="N435" s="9">
        <f t="shared" si="66"/>
        <v>4084896.4038601629</v>
      </c>
      <c r="O435" s="9">
        <f t="shared" si="66"/>
        <v>1311642.93</v>
      </c>
      <c r="P435" s="9">
        <f t="shared" si="66"/>
        <v>0</v>
      </c>
      <c r="Q435" s="9">
        <f t="shared" si="66"/>
        <v>1223423.0459824479</v>
      </c>
      <c r="R435" s="9">
        <f t="shared" si="66"/>
        <v>12215.88</v>
      </c>
      <c r="S435" s="9">
        <f t="shared" si="66"/>
        <v>213169.81140000001</v>
      </c>
      <c r="T435" s="9">
        <f t="shared" si="66"/>
        <v>0</v>
      </c>
      <c r="U435" s="45">
        <f t="shared" si="66"/>
        <v>0</v>
      </c>
      <c r="V435" s="9">
        <f t="shared" si="66"/>
        <v>0</v>
      </c>
    </row>
    <row r="436" spans="1:25" s="3" customFormat="1" ht="12.75">
      <c r="A436" s="87"/>
      <c r="B436" s="3" t="s">
        <v>21</v>
      </c>
      <c r="H436" s="3" t="s">
        <v>32</v>
      </c>
      <c r="J436" s="9">
        <f>SUM(L436:S436)</f>
        <v>1290133.4196464692</v>
      </c>
      <c r="K436" s="10"/>
      <c r="L436" s="9">
        <f t="shared" ref="L436:V436" si="67">L360+L386</f>
        <v>-173.01</v>
      </c>
      <c r="M436" s="9">
        <f t="shared" si="67"/>
        <v>0</v>
      </c>
      <c r="N436" s="9">
        <f t="shared" si="67"/>
        <v>1206133.4968159606</v>
      </c>
      <c r="O436" s="9">
        <f t="shared" si="67"/>
        <v>0</v>
      </c>
      <c r="P436" s="9">
        <f t="shared" si="67"/>
        <v>3620.94</v>
      </c>
      <c r="Q436" s="9">
        <f t="shared" si="67"/>
        <v>57114.1050908795</v>
      </c>
      <c r="R436" s="9">
        <f t="shared" si="67"/>
        <v>0</v>
      </c>
      <c r="S436" s="9">
        <f t="shared" si="67"/>
        <v>23437.887739629063</v>
      </c>
      <c r="T436" s="9">
        <f t="shared" si="67"/>
        <v>0</v>
      </c>
      <c r="U436" s="45">
        <f t="shared" si="67"/>
        <v>0</v>
      </c>
      <c r="V436" s="9">
        <f t="shared" si="67"/>
        <v>0</v>
      </c>
    </row>
    <row r="437" spans="1:25" s="3" customFormat="1" ht="12.75">
      <c r="A437" s="87"/>
      <c r="B437" s="3" t="s">
        <v>22</v>
      </c>
      <c r="H437" s="3" t="s">
        <v>32</v>
      </c>
      <c r="J437" s="9">
        <f>SUM(L437:S437)</f>
        <v>2581312.6533622276</v>
      </c>
      <c r="K437" s="10"/>
      <c r="L437" s="9">
        <f t="shared" ref="L437:V437" si="68">L361+L387</f>
        <v>824.12</v>
      </c>
      <c r="M437" s="9">
        <f t="shared" si="68"/>
        <v>148917.64444861509</v>
      </c>
      <c r="N437" s="9">
        <f t="shared" si="68"/>
        <v>899539.71584453096</v>
      </c>
      <c r="O437" s="9">
        <f t="shared" si="68"/>
        <v>1007992.2916745904</v>
      </c>
      <c r="P437" s="9">
        <f t="shared" si="68"/>
        <v>4435.88</v>
      </c>
      <c r="Q437" s="9">
        <f t="shared" si="68"/>
        <v>400446.09236658848</v>
      </c>
      <c r="R437" s="9">
        <f t="shared" si="68"/>
        <v>83110.539999999994</v>
      </c>
      <c r="S437" s="9">
        <f t="shared" si="68"/>
        <v>36046.369027902765</v>
      </c>
      <c r="T437" s="9">
        <f t="shared" si="68"/>
        <v>0</v>
      </c>
      <c r="U437" s="45">
        <f t="shared" si="68"/>
        <v>0</v>
      </c>
      <c r="V437" s="9">
        <f t="shared" si="68"/>
        <v>0</v>
      </c>
    </row>
    <row r="438" spans="1:25" s="3" customFormat="1" ht="12.75">
      <c r="A438" s="87"/>
      <c r="B438" s="3" t="s">
        <v>23</v>
      </c>
      <c r="H438" s="3" t="s">
        <v>32</v>
      </c>
      <c r="J438" s="9">
        <f>SUM(L438:S438)</f>
        <v>29742317.310290616</v>
      </c>
      <c r="K438" s="10"/>
      <c r="L438" s="9">
        <f t="shared" ref="L438:V438" si="69">L362+L388</f>
        <v>0</v>
      </c>
      <c r="M438" s="9">
        <f t="shared" si="69"/>
        <v>0</v>
      </c>
      <c r="N438" s="9">
        <f t="shared" si="69"/>
        <v>2445728.6950490172</v>
      </c>
      <c r="O438" s="9">
        <f t="shared" si="69"/>
        <v>16619999.029893739</v>
      </c>
      <c r="P438" s="9">
        <f t="shared" si="69"/>
        <v>10148.17</v>
      </c>
      <c r="Q438" s="9">
        <f t="shared" si="69"/>
        <v>10417398.218891213</v>
      </c>
      <c r="R438" s="9">
        <f t="shared" si="69"/>
        <v>490</v>
      </c>
      <c r="S438" s="9">
        <f t="shared" si="69"/>
        <v>248553.19645664634</v>
      </c>
      <c r="T438" s="9">
        <f t="shared" si="69"/>
        <v>0</v>
      </c>
      <c r="U438" s="45">
        <f t="shared" si="69"/>
        <v>0</v>
      </c>
      <c r="V438" s="9">
        <f t="shared" si="69"/>
        <v>0</v>
      </c>
    </row>
    <row r="439" spans="1:25" s="3" customFormat="1" ht="12.75">
      <c r="A439" s="87"/>
      <c r="J439" s="10"/>
      <c r="K439" s="12"/>
      <c r="L439" s="10"/>
      <c r="M439" s="10"/>
      <c r="N439" s="10"/>
      <c r="O439" s="10"/>
      <c r="P439" s="10"/>
      <c r="Q439" s="10"/>
      <c r="R439" s="10"/>
      <c r="S439" s="10"/>
      <c r="T439" s="10"/>
      <c r="U439" s="10"/>
    </row>
    <row r="440" spans="1:25" s="3" customFormat="1" ht="12.75">
      <c r="A440" s="87"/>
      <c r="J440" s="10"/>
      <c r="K440" s="12"/>
      <c r="L440" s="10"/>
      <c r="M440" s="10"/>
      <c r="N440" s="10"/>
      <c r="O440" s="10"/>
      <c r="P440" s="10"/>
      <c r="Q440" s="10"/>
      <c r="R440" s="10"/>
      <c r="S440" s="10"/>
      <c r="T440" s="10"/>
      <c r="U440" s="10"/>
    </row>
    <row r="441" spans="1:25" s="3" customFormat="1" ht="12.75">
      <c r="A441" s="87"/>
      <c r="B441" s="17" t="s">
        <v>240</v>
      </c>
      <c r="J441" s="23"/>
      <c r="K441" s="23"/>
      <c r="L441" s="38" t="s">
        <v>357</v>
      </c>
      <c r="M441" s="38" t="s">
        <v>59</v>
      </c>
      <c r="N441" s="38" t="s">
        <v>2</v>
      </c>
      <c r="O441" s="38" t="s">
        <v>3</v>
      </c>
      <c r="P441" s="38" t="s">
        <v>4</v>
      </c>
      <c r="Q441" s="38" t="s">
        <v>5</v>
      </c>
      <c r="R441" s="38" t="s">
        <v>6</v>
      </c>
      <c r="S441" s="23"/>
      <c r="T441" s="10"/>
      <c r="U441" s="23"/>
      <c r="Y441" s="3" t="s">
        <v>256</v>
      </c>
    </row>
    <row r="442" spans="1:25" s="3" customFormat="1" ht="12.75">
      <c r="A442" s="87"/>
      <c r="J442" s="23"/>
      <c r="K442" s="23"/>
      <c r="L442" s="23"/>
      <c r="M442" s="23"/>
      <c r="N442" s="23"/>
      <c r="O442" s="23"/>
      <c r="P442" s="23"/>
      <c r="Q442" s="23"/>
      <c r="R442" s="23"/>
      <c r="S442" s="23"/>
      <c r="T442" s="10"/>
      <c r="U442" s="23"/>
    </row>
    <row r="443" spans="1:25" s="3" customFormat="1" ht="12.75">
      <c r="A443" s="87"/>
      <c r="B443" s="8" t="s">
        <v>241</v>
      </c>
      <c r="J443" s="23"/>
      <c r="K443" s="23"/>
      <c r="L443" s="23"/>
      <c r="M443" s="23"/>
      <c r="N443" s="23"/>
      <c r="O443" s="23"/>
      <c r="P443" s="23"/>
      <c r="Q443" s="23"/>
      <c r="R443" s="23"/>
      <c r="S443" s="23"/>
      <c r="T443" s="10"/>
      <c r="U443" s="23"/>
    </row>
    <row r="444" spans="1:25" s="3" customFormat="1" ht="12.75">
      <c r="A444" s="87"/>
      <c r="B444" s="25" t="s">
        <v>148</v>
      </c>
      <c r="D444" s="25" t="s">
        <v>260</v>
      </c>
      <c r="H444" s="3" t="s">
        <v>32</v>
      </c>
      <c r="J444" s="9">
        <f t="shared" ref="J444:J446" si="70">SUM(L444:R444)</f>
        <v>971524045.26440775</v>
      </c>
      <c r="K444" s="23"/>
      <c r="L444" s="60">
        <f>SUM(L422:L423,L426:L428,L435:L438)</f>
        <v>4560152.2540674517</v>
      </c>
      <c r="M444" s="60">
        <f>SUM(M422:M423,M426:M428,M435:M438)</f>
        <v>24680388.134093139</v>
      </c>
      <c r="N444" s="60">
        <f>SUM(N422:N423,N426:N428,N435:N438)+SUM(S422:S423,S426:S428,S435:S438)-SUM(T422:T423,T426:T428,T435:T438)</f>
        <v>275932609.23014396</v>
      </c>
      <c r="O444" s="60">
        <f>SUM(O426:O428,O435:O438,O422:O423)+SUM(T426:T428,T435:T438,T422:T423)-SUM(V422:V423,V426:V428,V435:V438)</f>
        <v>431118616.08801156</v>
      </c>
      <c r="P444" s="60">
        <f>SUM(P422:P423,P426:P428,P435:P438)</f>
        <v>2729417.13</v>
      </c>
      <c r="Q444" s="60">
        <f>SUM(Q422:Q423,Q426:Q428,Q435:Q438)</f>
        <v>220538866.67453831</v>
      </c>
      <c r="R444" s="60">
        <f>SUM(R422:R423,R426:R428,R435:R438)</f>
        <v>11963995.753553275</v>
      </c>
      <c r="S444" s="23"/>
      <c r="T444" s="10"/>
      <c r="U444" s="23"/>
    </row>
    <row r="445" spans="1:25" s="3" customFormat="1" ht="12.75">
      <c r="A445" s="87"/>
      <c r="B445" s="25" t="s">
        <v>149</v>
      </c>
      <c r="H445" s="3" t="s">
        <v>32</v>
      </c>
      <c r="J445" s="9">
        <f t="shared" si="70"/>
        <v>445282663.53530109</v>
      </c>
      <c r="K445" s="12"/>
      <c r="L445" s="9">
        <f>SUM(L420:L421)</f>
        <v>3321046.5</v>
      </c>
      <c r="M445" s="9">
        <f>SUM(M420:M421)</f>
        <v>8791419.5600000024</v>
      </c>
      <c r="N445" s="9">
        <f>SUM(N420:N421)+SUM(S420:S421)-SUM(T420:T421)+N391</f>
        <v>162038366.07091805</v>
      </c>
      <c r="O445" s="9">
        <f>SUM(O420:O421)+SUM(T420:T421)+O391</f>
        <v>156180148.72153479</v>
      </c>
      <c r="P445" s="9">
        <f>SUM(P420:P421)</f>
        <v>2205049.6699999995</v>
      </c>
      <c r="Q445" s="9">
        <f>SUM(Q420:Q421)</f>
        <v>103096026.971</v>
      </c>
      <c r="R445" s="9">
        <f>SUM(R420:R421)</f>
        <v>9650606.041848205</v>
      </c>
      <c r="S445" s="23"/>
      <c r="T445" s="10"/>
      <c r="U445" s="23"/>
    </row>
    <row r="446" spans="1:25" s="3" customFormat="1" ht="12.75">
      <c r="A446" s="87"/>
      <c r="B446" s="25" t="s">
        <v>150</v>
      </c>
      <c r="D446" s="26"/>
      <c r="H446" s="3" t="s">
        <v>32</v>
      </c>
      <c r="J446" s="9">
        <f t="shared" si="70"/>
        <v>104402672.52528875</v>
      </c>
      <c r="K446" s="12"/>
      <c r="L446" s="9">
        <f>SUM(L431:L432)</f>
        <v>2044.9297297297298</v>
      </c>
      <c r="M446" s="9">
        <f>SUM(M431:M432)</f>
        <v>1555755</v>
      </c>
      <c r="N446" s="9">
        <f>SUM(N431:N432)+SUM(S431:S432)-SUM(T431:T432)</f>
        <v>1686779.3166402495</v>
      </c>
      <c r="O446" s="9">
        <f>SUM(O431:O432)+SUM(T431:T432)-SUM(V431:V432)</f>
        <v>79523128.079999998</v>
      </c>
      <c r="P446" s="9">
        <f>SUM(P431:P432)</f>
        <v>0</v>
      </c>
      <c r="Q446" s="9">
        <f>SUM(Q431:Q432)</f>
        <v>21608574.178918783</v>
      </c>
      <c r="R446" s="9">
        <f>SUM(R431:R432)</f>
        <v>26391.02</v>
      </c>
    </row>
    <row r="447" spans="1:25" s="3" customFormat="1" ht="12.75">
      <c r="A447" s="87"/>
      <c r="B447" s="25"/>
      <c r="D447" s="26"/>
      <c r="K447" s="12"/>
    </row>
    <row r="448" spans="1:25" s="3" customFormat="1" ht="12.75">
      <c r="A448" s="87"/>
      <c r="B448" s="8" t="s">
        <v>245</v>
      </c>
      <c r="J448" s="23"/>
      <c r="K448" s="23"/>
      <c r="L448" s="23"/>
      <c r="M448" s="23"/>
      <c r="N448" s="23"/>
      <c r="O448" s="23"/>
      <c r="P448" s="23"/>
      <c r="Q448" s="23"/>
      <c r="R448" s="23"/>
      <c r="S448" s="23"/>
      <c r="T448" s="10"/>
      <c r="U448" s="23"/>
    </row>
    <row r="449" spans="1:21" s="3" customFormat="1" ht="12.75">
      <c r="A449" s="87"/>
      <c r="B449" s="25" t="s">
        <v>148</v>
      </c>
      <c r="D449" s="25" t="s">
        <v>260</v>
      </c>
      <c r="H449" s="3" t="s">
        <v>32</v>
      </c>
      <c r="J449" s="9">
        <f>SUM(L449:R449)</f>
        <v>971525040.26440775</v>
      </c>
      <c r="K449" s="23"/>
      <c r="L449" s="9">
        <f>SUM(L422:L423,L426:L428,L435:L438)</f>
        <v>4560152.2540674517</v>
      </c>
      <c r="M449" s="9">
        <f>SUM(M422:M423,M426:M428,M435:M438)</f>
        <v>24680388.134093139</v>
      </c>
      <c r="N449" s="9">
        <f>SUM(N422:N423,N426:N428,N435:N438)+SUM(S422:S423,S426:S428,S435:S438)-SUM(T422:T423,T426:T428,T435:T438)</f>
        <v>275932609.23014396</v>
      </c>
      <c r="O449" s="9">
        <f>SUM(O422:O423,O426:O428,O435:O438)+SUM(T422:T423,T426:T428,T435:T438)</f>
        <v>431119611.08801156</v>
      </c>
      <c r="P449" s="9">
        <f>SUM(P422:P423,P426:P428,P435:P438)</f>
        <v>2729417.13</v>
      </c>
      <c r="Q449" s="9">
        <f>SUM(Q422:Q423,Q426:Q428,Q435:Q438)</f>
        <v>220538866.67453831</v>
      </c>
      <c r="R449" s="9">
        <f>SUM(R422:R423,R426:R428,R435:R438)</f>
        <v>11963995.753553275</v>
      </c>
      <c r="S449" s="23"/>
      <c r="T449" s="10"/>
      <c r="U449" s="23"/>
    </row>
    <row r="450" spans="1:21" s="3" customFormat="1" ht="12.75">
      <c r="B450" s="25"/>
      <c r="D450" s="26"/>
      <c r="K450" s="12"/>
    </row>
    <row r="451" spans="1:21" s="3" customFormat="1" ht="12.75"/>
    <row r="452" spans="1:21" s="3" customFormat="1" ht="12.75"/>
    <row r="453" spans="1:21" s="3" customFormat="1" ht="12.75"/>
    <row r="454" spans="1:21" s="3" customFormat="1" ht="12.75"/>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tabColor rgb="FFFFCCFF"/>
  </sheetPr>
  <dimension ref="A1:Y433"/>
  <sheetViews>
    <sheetView showGridLines="0" zoomScale="85" zoomScaleNormal="85" workbookViewId="0">
      <pane xSplit="8" ySplit="7" topLeftCell="I8" activePane="bottomRight" state="frozen"/>
      <selection pane="topRight" activeCell="F1" sqref="F1"/>
      <selection pane="bottomLeft" activeCell="A6" sqref="A6"/>
      <selection pane="bottomRight" activeCell="I8" sqref="I8"/>
    </sheetView>
  </sheetViews>
  <sheetFormatPr defaultRowHeight="14.25"/>
  <cols>
    <col min="1" max="1" width="2.28515625" style="114" customWidth="1"/>
    <col min="2" max="2" width="48.140625" style="114" customWidth="1"/>
    <col min="3" max="3" width="3.5703125" style="114" customWidth="1"/>
    <col min="4" max="4" width="21.7109375" style="114" customWidth="1"/>
    <col min="5" max="7" width="3.28515625" style="114" customWidth="1"/>
    <col min="8" max="8" width="14.42578125" style="114" bestFit="1" customWidth="1"/>
    <col min="9" max="9" width="3.140625" style="114" customWidth="1"/>
    <col min="10" max="10" width="16.28515625" style="114" customWidth="1"/>
    <col min="11" max="11" width="3.140625" style="114" customWidth="1"/>
    <col min="12" max="14" width="16.5703125" style="114" customWidth="1"/>
    <col min="15" max="15" width="18" style="114" customWidth="1"/>
    <col min="16" max="21" width="16.5703125" style="114" customWidth="1"/>
    <col min="22" max="22" width="18" style="114" customWidth="1"/>
    <col min="23" max="23" width="5.28515625" style="114" customWidth="1"/>
    <col min="24" max="16384" width="9.140625" style="114"/>
  </cols>
  <sheetData>
    <row r="1" spans="1:22">
      <c r="B1" s="3" t="s">
        <v>350</v>
      </c>
    </row>
    <row r="2" spans="1:22" s="1" customFormat="1" ht="18" customHeight="1">
      <c r="B2" s="2" t="s">
        <v>88</v>
      </c>
    </row>
    <row r="3" spans="1:22" s="3" customFormat="1" ht="12.75"/>
    <row r="4" spans="1:22" s="3" customFormat="1" ht="12.75">
      <c r="A4" s="87"/>
      <c r="B4" s="3" t="s">
        <v>263</v>
      </c>
    </row>
    <row r="5" spans="1:22" s="3" customFormat="1" ht="12.75">
      <c r="B5" s="3" t="s">
        <v>344</v>
      </c>
    </row>
    <row r="6" spans="1:22" s="3" customFormat="1" ht="12.75"/>
    <row r="7" spans="1:22" s="4" customFormat="1" ht="12.75">
      <c r="D7" s="4" t="s">
        <v>153</v>
      </c>
      <c r="H7" s="4" t="s">
        <v>0</v>
      </c>
      <c r="J7" s="4" t="s">
        <v>1</v>
      </c>
      <c r="L7" s="4" t="s">
        <v>357</v>
      </c>
      <c r="M7" s="4" t="s">
        <v>59</v>
      </c>
      <c r="N7" s="4" t="s">
        <v>2</v>
      </c>
      <c r="O7" s="4" t="s">
        <v>332</v>
      </c>
      <c r="P7" s="4" t="s">
        <v>229</v>
      </c>
      <c r="Q7" s="4" t="s">
        <v>230</v>
      </c>
      <c r="R7" s="4" t="s">
        <v>6</v>
      </c>
      <c r="S7" s="4" t="s">
        <v>26</v>
      </c>
      <c r="T7" s="4" t="s">
        <v>195</v>
      </c>
      <c r="U7" s="4" t="s">
        <v>231</v>
      </c>
      <c r="V7" s="4" t="s">
        <v>333</v>
      </c>
    </row>
    <row r="8" spans="1:22" s="3" customFormat="1" ht="12.75"/>
    <row r="9" spans="1:22" s="4" customFormat="1" ht="12.75">
      <c r="B9" s="4" t="s">
        <v>90</v>
      </c>
    </row>
    <row r="10" spans="1:22" s="3" customFormat="1" ht="12.75"/>
    <row r="11" spans="1:22" s="3" customFormat="1" ht="12.75">
      <c r="A11" s="87"/>
      <c r="B11" s="22" t="s">
        <v>216</v>
      </c>
      <c r="H11" s="3" t="s">
        <v>137</v>
      </c>
      <c r="J11" s="24">
        <v>6.2E-2</v>
      </c>
    </row>
    <row r="12" spans="1:22" s="3" customFormat="1" ht="12.75">
      <c r="A12" s="87"/>
      <c r="B12" s="22" t="s">
        <v>215</v>
      </c>
      <c r="H12" s="3" t="s">
        <v>137</v>
      </c>
      <c r="J12" s="24">
        <v>4.9000000000000002E-2</v>
      </c>
    </row>
    <row r="13" spans="1:22" s="3" customFormat="1" ht="12.75">
      <c r="A13" s="87"/>
      <c r="B13" s="22" t="s">
        <v>217</v>
      </c>
      <c r="H13" s="3" t="s">
        <v>137</v>
      </c>
      <c r="J13" s="24">
        <v>3.5999999999999997E-2</v>
      </c>
    </row>
    <row r="14" spans="1:22" s="3" customFormat="1" ht="12.75">
      <c r="A14" s="87"/>
    </row>
    <row r="15" spans="1:22" s="3" customFormat="1" ht="12.75">
      <c r="A15" s="87"/>
      <c r="B15" s="22"/>
    </row>
    <row r="16" spans="1:22" s="3" customFormat="1" ht="12.75">
      <c r="A16" s="87"/>
      <c r="B16" s="3" t="s">
        <v>138</v>
      </c>
      <c r="H16" s="3" t="s">
        <v>137</v>
      </c>
      <c r="J16" s="141">
        <v>4.4999999999999998E-2</v>
      </c>
    </row>
    <row r="17" spans="1:22" s="3" customFormat="1" ht="12.75">
      <c r="A17" s="87"/>
      <c r="B17" s="3" t="s">
        <v>139</v>
      </c>
      <c r="H17" s="3" t="s">
        <v>137</v>
      </c>
      <c r="J17" s="141">
        <v>0.03</v>
      </c>
    </row>
    <row r="18" spans="1:22" s="3" customFormat="1" ht="12.75"/>
    <row r="19" spans="1:22" s="3" customFormat="1" ht="12.75"/>
    <row r="20" spans="1:22" s="4" customFormat="1" ht="12.75">
      <c r="B20" s="4" t="s">
        <v>89</v>
      </c>
    </row>
    <row r="21" spans="1:22" s="3" customFormat="1" ht="12.75"/>
    <row r="22" spans="1:22" s="3" customFormat="1" ht="12.75">
      <c r="A22" s="87"/>
      <c r="B22" s="17" t="s">
        <v>91</v>
      </c>
      <c r="L22" s="14"/>
      <c r="M22" s="14"/>
      <c r="N22" s="94" t="s">
        <v>228</v>
      </c>
      <c r="O22" s="94" t="s">
        <v>304</v>
      </c>
      <c r="P22" s="14"/>
      <c r="Q22" s="14"/>
      <c r="R22" s="14"/>
      <c r="S22" s="14"/>
      <c r="T22" s="14"/>
      <c r="U22" s="14"/>
    </row>
    <row r="23" spans="1:22" s="3" customFormat="1" ht="12.75">
      <c r="A23" s="87"/>
    </row>
    <row r="24" spans="1:22" s="3" customFormat="1" ht="12.75">
      <c r="A24" s="87"/>
      <c r="B24" s="17" t="s">
        <v>92</v>
      </c>
    </row>
    <row r="25" spans="1:22" s="3" customFormat="1" ht="12.75">
      <c r="A25" s="87"/>
      <c r="B25" s="3" t="s">
        <v>93</v>
      </c>
      <c r="H25" s="3" t="s">
        <v>69</v>
      </c>
      <c r="J25" s="9">
        <f>SUM(L25:T25)</f>
        <v>0</v>
      </c>
      <c r="L25" s="21">
        <f>'GAW IMPORT'!L12</f>
        <v>0</v>
      </c>
      <c r="M25" s="21">
        <f>'GAW IMPORT'!M12</f>
        <v>0</v>
      </c>
      <c r="N25" s="21">
        <f>'GAW IMPORT'!N12</f>
        <v>0</v>
      </c>
      <c r="O25" s="21">
        <f>'GAW IMPORT'!O12</f>
        <v>0</v>
      </c>
      <c r="P25" s="21">
        <f>'GAW IMPORT'!P12</f>
        <v>0</v>
      </c>
      <c r="Q25" s="21">
        <f>'GAW IMPORT'!Q12</f>
        <v>0</v>
      </c>
      <c r="R25" s="21">
        <f>'GAW IMPORT'!R12</f>
        <v>0</v>
      </c>
      <c r="S25" s="21">
        <f>'GAW IMPORT'!S12</f>
        <v>0</v>
      </c>
      <c r="T25" s="21">
        <f>'GAW IMPORT'!U12</f>
        <v>0</v>
      </c>
      <c r="U25" s="21">
        <f>'GAW IMPORT'!V12</f>
        <v>0</v>
      </c>
      <c r="V25" s="21">
        <f>'GAW IMPORT'!W12</f>
        <v>0</v>
      </c>
    </row>
    <row r="26" spans="1:22" s="3" customFormat="1" ht="12.75">
      <c r="A26" s="87"/>
      <c r="B26" s="3" t="s">
        <v>94</v>
      </c>
      <c r="H26" s="3" t="s">
        <v>69</v>
      </c>
      <c r="J26" s="9">
        <f t="shared" ref="J26:J27" si="0">SUM(L26:T26)</f>
        <v>370205264.72168189</v>
      </c>
      <c r="L26" s="21">
        <f>'GAW IMPORT'!L13</f>
        <v>2343779.8701332882</v>
      </c>
      <c r="M26" s="21">
        <f>'GAW IMPORT'!M13</f>
        <v>9777971.3497460634</v>
      </c>
      <c r="N26" s="21">
        <f>'GAW IMPORT'!N13</f>
        <v>129382155.53805822</v>
      </c>
      <c r="O26" s="21">
        <f>'GAW IMPORT'!O13</f>
        <v>115816320.3470099</v>
      </c>
      <c r="P26" s="21">
        <f>'GAW IMPORT'!P13</f>
        <v>1847261.4322588902</v>
      </c>
      <c r="Q26" s="21">
        <f>'GAW IMPORT'!Q13</f>
        <v>97670253.989491433</v>
      </c>
      <c r="R26" s="21">
        <f>'GAW IMPORT'!R13</f>
        <v>3837280.1550218049</v>
      </c>
      <c r="S26" s="21">
        <f>'GAW IMPORT'!S13</f>
        <v>5882972.8179669036</v>
      </c>
      <c r="T26" s="21">
        <f>'GAW IMPORT'!U13</f>
        <v>3647269.2219953872</v>
      </c>
      <c r="U26" s="21">
        <f>'GAW IMPORT'!V13</f>
        <v>100536272.74171679</v>
      </c>
      <c r="V26" s="21">
        <f>'GAW IMPORT'!W13</f>
        <v>116163722.89412554</v>
      </c>
    </row>
    <row r="27" spans="1:22" s="3" customFormat="1" ht="12.75">
      <c r="A27" s="87"/>
      <c r="B27" s="3" t="s">
        <v>95</v>
      </c>
      <c r="H27" s="3" t="s">
        <v>69</v>
      </c>
      <c r="J27" s="9">
        <f t="shared" si="0"/>
        <v>6284652437.1782551</v>
      </c>
      <c r="L27" s="21">
        <f>'GAW IMPORT'!L14</f>
        <v>25087605.809630886</v>
      </c>
      <c r="M27" s="21">
        <f>'GAW IMPORT'!M14</f>
        <v>112495281.99330693</v>
      </c>
      <c r="N27" s="21">
        <f>'GAW IMPORT'!N14</f>
        <v>2093474995.6724801</v>
      </c>
      <c r="O27" s="21">
        <f>'GAW IMPORT'!O14</f>
        <v>2288258444.3762717</v>
      </c>
      <c r="P27" s="21">
        <f>'GAW IMPORT'!P14</f>
        <v>12573886.942943569</v>
      </c>
      <c r="Q27" s="21">
        <f>'GAW IMPORT'!Q14</f>
        <v>1556619985.4133365</v>
      </c>
      <c r="R27" s="21">
        <f>'GAW IMPORT'!R14</f>
        <v>76982958.73413071</v>
      </c>
      <c r="S27" s="21">
        <f>'GAW IMPORT'!S14</f>
        <v>60144440.471395873</v>
      </c>
      <c r="T27" s="21">
        <f>'GAW IMPORT'!U14</f>
        <v>59014837.764757976</v>
      </c>
      <c r="U27" s="21">
        <f>'GAW IMPORT'!V14</f>
        <v>1602297168.4455764</v>
      </c>
      <c r="V27" s="21">
        <f>'GAW IMPORT'!W14</f>
        <v>2295122302.6792579</v>
      </c>
    </row>
    <row r="28" spans="1:22" s="3" customFormat="1" ht="12.75">
      <c r="A28" s="87"/>
    </row>
    <row r="29" spans="1:22" s="3" customFormat="1" ht="12.75">
      <c r="A29" s="87"/>
      <c r="B29" s="17" t="s">
        <v>96</v>
      </c>
    </row>
    <row r="30" spans="1:22" s="3" customFormat="1" ht="12.75">
      <c r="A30" s="87"/>
      <c r="B30" s="3" t="s">
        <v>97</v>
      </c>
      <c r="H30" s="3" t="s">
        <v>69</v>
      </c>
      <c r="J30" s="9">
        <f>SUM(L30:T30)</f>
        <v>649800001.59035003</v>
      </c>
      <c r="L30" s="21">
        <f>'GAW IMPORT'!L17</f>
        <v>3879809</v>
      </c>
      <c r="M30" s="21">
        <f>'GAW IMPORT'!M17</f>
        <v>21683458.133099999</v>
      </c>
      <c r="N30" s="21">
        <f>'GAW IMPORT'!N17</f>
        <v>218232070.5321669</v>
      </c>
      <c r="O30" s="21">
        <f>'GAW IMPORT'!O17</f>
        <v>191852407.90066698</v>
      </c>
      <c r="P30" s="21">
        <f>'GAW IMPORT'!P17</f>
        <v>1513958.19</v>
      </c>
      <c r="Q30" s="21">
        <f>'GAW IMPORT'!Q17</f>
        <v>192084788.50516024</v>
      </c>
      <c r="R30" s="21">
        <f>'GAW IMPORT'!R17</f>
        <v>7311132.0886428747</v>
      </c>
      <c r="S30" s="21">
        <f>'GAW IMPORT'!S17</f>
        <v>7186733.5627800003</v>
      </c>
      <c r="T30" s="21">
        <f>'GAW IMPORT'!U17</f>
        <v>6055643.6778330859</v>
      </c>
      <c r="U30" s="21">
        <f>'GAW IMPORT'!V17</f>
        <v>192162981.66098002</v>
      </c>
      <c r="V30" s="21">
        <f>'GAW IMPORT'!W17</f>
        <v>191852407.90066698</v>
      </c>
    </row>
    <row r="31" spans="1:22" s="3" customFormat="1" ht="12.75">
      <c r="A31" s="87"/>
      <c r="B31" s="3" t="s">
        <v>87</v>
      </c>
      <c r="H31" s="3" t="s">
        <v>69</v>
      </c>
      <c r="J31" s="9">
        <f t="shared" ref="J31:J32" si="1">SUM(L31:T31)</f>
        <v>128834715.50032677</v>
      </c>
      <c r="L31" s="21">
        <f>'GAW IMPORT'!L18</f>
        <v>672327.44455746596</v>
      </c>
      <c r="M31" s="21">
        <f>'GAW IMPORT'!M18</f>
        <v>4331183.7941385573</v>
      </c>
      <c r="N31" s="21">
        <f>'GAW IMPORT'!N18</f>
        <v>54756596.644576967</v>
      </c>
      <c r="O31" s="21">
        <f>'GAW IMPORT'!O18</f>
        <v>28242530.681059711</v>
      </c>
      <c r="P31" s="21">
        <f>'GAW IMPORT'!P18</f>
        <v>882988.92063802795</v>
      </c>
      <c r="Q31" s="21">
        <f>'GAW IMPORT'!Q18</f>
        <v>32447768.650195464</v>
      </c>
      <c r="R31" s="21">
        <f>'GAW IMPORT'!R18</f>
        <v>4700510.8441525809</v>
      </c>
      <c r="S31" s="21">
        <f>'GAW IMPORT'!S18</f>
        <v>1568884.5334747354</v>
      </c>
      <c r="T31" s="21">
        <f>'GAW IMPORT'!U18</f>
        <v>1231923.9875332727</v>
      </c>
      <c r="U31" s="21">
        <f>'GAW IMPORT'!V18</f>
        <v>33547241.928423554</v>
      </c>
      <c r="V31" s="21">
        <f>'GAW IMPORT'!W18</f>
        <v>28282913.589619711</v>
      </c>
    </row>
    <row r="32" spans="1:22" s="3" customFormat="1" ht="12.75">
      <c r="A32" s="87"/>
      <c r="B32" s="3" t="s">
        <v>98</v>
      </c>
      <c r="H32" s="3" t="s">
        <v>69</v>
      </c>
      <c r="J32" s="9">
        <f t="shared" si="1"/>
        <v>4039051667.3354626</v>
      </c>
      <c r="L32" s="21">
        <f>'GAW IMPORT'!L19</f>
        <v>29270115.745521598</v>
      </c>
      <c r="M32" s="21">
        <f>'GAW IMPORT'!M19</f>
        <v>138468543.56900856</v>
      </c>
      <c r="N32" s="21">
        <f>'GAW IMPORT'!N19</f>
        <v>1264604025.1252794</v>
      </c>
      <c r="O32" s="21">
        <f>'GAW IMPORT'!O19</f>
        <v>1132969033.6083782</v>
      </c>
      <c r="P32" s="21">
        <f>'GAW IMPORT'!P19</f>
        <v>20720366.479009826</v>
      </c>
      <c r="Q32" s="21">
        <f>'GAW IMPORT'!Q19</f>
        <v>1197116063.0027897</v>
      </c>
      <c r="R32" s="21">
        <f>'GAW IMPORT'!R19</f>
        <v>167193758.77006823</v>
      </c>
      <c r="S32" s="21">
        <f>'GAW IMPORT'!S19</f>
        <v>39207894.689649515</v>
      </c>
      <c r="T32" s="21">
        <f>'GAW IMPORT'!U19</f>
        <v>49501866.345757455</v>
      </c>
      <c r="U32" s="21">
        <f>'GAW IMPORT'!V19</f>
        <v>1244891453.0362003</v>
      </c>
      <c r="V32" s="21">
        <f>'GAW IMPORT'!W19</f>
        <v>1134927604.6735382</v>
      </c>
    </row>
    <row r="33" spans="1:22" s="3" customFormat="1" ht="12.75">
      <c r="A33" s="87"/>
    </row>
    <row r="34" spans="1:22" s="3" customFormat="1" ht="12.75">
      <c r="A34" s="87"/>
      <c r="B34" s="17" t="s">
        <v>99</v>
      </c>
    </row>
    <row r="35" spans="1:22" s="3" customFormat="1" ht="12.75">
      <c r="A35" s="87"/>
      <c r="B35" s="3" t="s">
        <v>100</v>
      </c>
      <c r="H35" s="3" t="s">
        <v>69</v>
      </c>
      <c r="J35" s="9">
        <f>SUM(L35:T35)</f>
        <v>0</v>
      </c>
      <c r="L35" s="21">
        <f>'GAW IMPORT'!L22</f>
        <v>0</v>
      </c>
      <c r="M35" s="21">
        <f>'GAW IMPORT'!M22</f>
        <v>0</v>
      </c>
      <c r="N35" s="21">
        <f>'GAW IMPORT'!N22</f>
        <v>0</v>
      </c>
      <c r="O35" s="21">
        <f>'GAW IMPORT'!O22</f>
        <v>0</v>
      </c>
      <c r="P35" s="21">
        <f>'GAW IMPORT'!P22</f>
        <v>0</v>
      </c>
      <c r="Q35" s="21">
        <f>'GAW IMPORT'!Q22</f>
        <v>0</v>
      </c>
      <c r="R35" s="21">
        <f>'GAW IMPORT'!R22</f>
        <v>0</v>
      </c>
      <c r="S35" s="21">
        <f>'GAW IMPORT'!S22</f>
        <v>0</v>
      </c>
      <c r="T35" s="21">
        <f>'GAW IMPORT'!U22</f>
        <v>0</v>
      </c>
      <c r="U35" s="21">
        <f>'GAW IMPORT'!V22</f>
        <v>0</v>
      </c>
      <c r="V35" s="21">
        <f>'GAW IMPORT'!W22</f>
        <v>0</v>
      </c>
    </row>
    <row r="36" spans="1:22" s="3" customFormat="1" ht="12.75">
      <c r="A36" s="87"/>
      <c r="B36" s="3" t="s">
        <v>101</v>
      </c>
      <c r="H36" s="3" t="s">
        <v>69</v>
      </c>
      <c r="J36" s="9">
        <f t="shared" ref="J36:J37" si="2">SUM(L36:T36)</f>
        <v>658970.57593401696</v>
      </c>
      <c r="L36" s="21">
        <f>'GAW IMPORT'!L23</f>
        <v>0</v>
      </c>
      <c r="M36" s="21">
        <f>'GAW IMPORT'!M23</f>
        <v>0</v>
      </c>
      <c r="N36" s="21">
        <f>'GAW IMPORT'!N23</f>
        <v>0</v>
      </c>
      <c r="O36" s="21">
        <f>'GAW IMPORT'!O23</f>
        <v>0</v>
      </c>
      <c r="P36" s="21">
        <f>'GAW IMPORT'!P23</f>
        <v>658970.57593401696</v>
      </c>
      <c r="Q36" s="21">
        <f>'GAW IMPORT'!Q23</f>
        <v>0</v>
      </c>
      <c r="R36" s="21">
        <f>'GAW IMPORT'!R23</f>
        <v>0</v>
      </c>
      <c r="S36" s="21">
        <f>'GAW IMPORT'!S23</f>
        <v>0</v>
      </c>
      <c r="T36" s="21">
        <f>'GAW IMPORT'!U23</f>
        <v>0</v>
      </c>
      <c r="U36" s="21">
        <f>'GAW IMPORT'!V23</f>
        <v>0</v>
      </c>
      <c r="V36" s="21">
        <f>'GAW IMPORT'!W23</f>
        <v>0</v>
      </c>
    </row>
    <row r="37" spans="1:22" s="3" customFormat="1" ht="12.75">
      <c r="A37" s="87"/>
      <c r="B37" s="3" t="s">
        <v>102</v>
      </c>
      <c r="H37" s="3" t="s">
        <v>69</v>
      </c>
      <c r="J37" s="9">
        <f t="shared" si="2"/>
        <v>3953823.4556040894</v>
      </c>
      <c r="L37" s="21">
        <f>'GAW IMPORT'!L24</f>
        <v>-3.1470824857248278E-9</v>
      </c>
      <c r="M37" s="21">
        <f>'GAW IMPORT'!M24</f>
        <v>0</v>
      </c>
      <c r="N37" s="21">
        <f>'GAW IMPORT'!N24</f>
        <v>0</v>
      </c>
      <c r="O37" s="21">
        <f>'GAW IMPORT'!O24</f>
        <v>0</v>
      </c>
      <c r="P37" s="21">
        <f>'GAW IMPORT'!P24</f>
        <v>3953823.4556040927</v>
      </c>
      <c r="Q37" s="21">
        <f>'GAW IMPORT'!Q24</f>
        <v>0</v>
      </c>
      <c r="R37" s="21">
        <f>'GAW IMPORT'!R24</f>
        <v>0</v>
      </c>
      <c r="S37" s="21">
        <f>'GAW IMPORT'!S24</f>
        <v>0</v>
      </c>
      <c r="T37" s="21">
        <f>'GAW IMPORT'!U24</f>
        <v>0</v>
      </c>
      <c r="U37" s="21">
        <f>'GAW IMPORT'!V24</f>
        <v>0</v>
      </c>
      <c r="V37" s="21">
        <f>'GAW IMPORT'!W24</f>
        <v>0</v>
      </c>
    </row>
    <row r="38" spans="1:22" s="3" customFormat="1" ht="12.75">
      <c r="A38" s="87"/>
    </row>
    <row r="39" spans="1:22" s="3" customFormat="1" ht="12.75">
      <c r="A39" s="87"/>
      <c r="B39" s="17" t="s">
        <v>103</v>
      </c>
    </row>
    <row r="40" spans="1:22" s="3" customFormat="1" ht="12.75">
      <c r="A40" s="87"/>
      <c r="B40" s="3" t="s">
        <v>104</v>
      </c>
      <c r="D40" s="13"/>
      <c r="H40" s="3" t="s">
        <v>69</v>
      </c>
      <c r="J40" s="9">
        <f>SUM(L40:T40)</f>
        <v>0</v>
      </c>
      <c r="L40" s="21">
        <f>'GAW IMPORT'!L27</f>
        <v>0</v>
      </c>
      <c r="M40" s="21">
        <f>'GAW IMPORT'!M27</f>
        <v>0</v>
      </c>
      <c r="N40" s="21">
        <f>'GAW IMPORT'!N27</f>
        <v>0</v>
      </c>
      <c r="O40" s="21">
        <f>'GAW IMPORT'!O27</f>
        <v>0</v>
      </c>
      <c r="P40" s="21">
        <f>'GAW IMPORT'!P27</f>
        <v>0</v>
      </c>
      <c r="Q40" s="21">
        <f>'GAW IMPORT'!Q27</f>
        <v>0</v>
      </c>
      <c r="R40" s="21">
        <f>'GAW IMPORT'!R27</f>
        <v>0</v>
      </c>
      <c r="S40" s="21">
        <f>'GAW IMPORT'!S27</f>
        <v>0</v>
      </c>
      <c r="T40" s="21">
        <f>'GAW IMPORT'!U27</f>
        <v>0</v>
      </c>
      <c r="U40" s="21">
        <f>'GAW IMPORT'!V27</f>
        <v>0</v>
      </c>
      <c r="V40" s="21">
        <f>'GAW IMPORT'!W27</f>
        <v>0</v>
      </c>
    </row>
    <row r="41" spans="1:22" s="3" customFormat="1" ht="12.75">
      <c r="A41" s="87"/>
      <c r="B41" s="3" t="s">
        <v>105</v>
      </c>
      <c r="H41" s="3" t="s">
        <v>69</v>
      </c>
      <c r="J41" s="9">
        <f t="shared" ref="J41:J42" si="3">SUM(L41:T41)</f>
        <v>237357.45611694362</v>
      </c>
      <c r="L41" s="21">
        <f>'GAW IMPORT'!L28</f>
        <v>0</v>
      </c>
      <c r="M41" s="21">
        <f>'GAW IMPORT'!M28</f>
        <v>237357.45611694362</v>
      </c>
      <c r="N41" s="21">
        <f>'GAW IMPORT'!N28</f>
        <v>0</v>
      </c>
      <c r="O41" s="21">
        <f>'GAW IMPORT'!O28</f>
        <v>0</v>
      </c>
      <c r="P41" s="21">
        <f>'GAW IMPORT'!P28</f>
        <v>0</v>
      </c>
      <c r="Q41" s="21">
        <f>'GAW IMPORT'!Q28</f>
        <v>0</v>
      </c>
      <c r="R41" s="21">
        <f>'GAW IMPORT'!R28</f>
        <v>0</v>
      </c>
      <c r="S41" s="21">
        <f>'GAW IMPORT'!S28</f>
        <v>0</v>
      </c>
      <c r="T41" s="21">
        <f>'GAW IMPORT'!U28</f>
        <v>0</v>
      </c>
      <c r="U41" s="21">
        <f>'GAW IMPORT'!V28</f>
        <v>0</v>
      </c>
      <c r="V41" s="21">
        <f>'GAW IMPORT'!W28</f>
        <v>0</v>
      </c>
    </row>
    <row r="42" spans="1:22" s="3" customFormat="1" ht="12.75">
      <c r="A42" s="87"/>
      <c r="B42" s="3" t="s">
        <v>106</v>
      </c>
      <c r="H42" s="3" t="s">
        <v>69</v>
      </c>
      <c r="J42" s="9">
        <f t="shared" si="3"/>
        <v>9575662.6294525228</v>
      </c>
      <c r="L42" s="21">
        <f>'GAW IMPORT'!L29</f>
        <v>0</v>
      </c>
      <c r="M42" s="21">
        <f>'GAW IMPORT'!M29</f>
        <v>9575662.6294525228</v>
      </c>
      <c r="N42" s="21">
        <f>'GAW IMPORT'!N29</f>
        <v>0</v>
      </c>
      <c r="O42" s="21">
        <f>'GAW IMPORT'!O29</f>
        <v>0</v>
      </c>
      <c r="P42" s="21">
        <f>'GAW IMPORT'!P29</f>
        <v>0</v>
      </c>
      <c r="Q42" s="21">
        <f>'GAW IMPORT'!Q29</f>
        <v>0</v>
      </c>
      <c r="R42" s="21">
        <f>'GAW IMPORT'!R29</f>
        <v>0</v>
      </c>
      <c r="S42" s="21">
        <f>'GAW IMPORT'!S29</f>
        <v>0</v>
      </c>
      <c r="T42" s="21">
        <f>'GAW IMPORT'!U29</f>
        <v>0</v>
      </c>
      <c r="U42" s="21">
        <f>'GAW IMPORT'!V29</f>
        <v>0</v>
      </c>
      <c r="V42" s="21">
        <f>'GAW IMPORT'!W29</f>
        <v>0</v>
      </c>
    </row>
    <row r="43" spans="1:22" s="3" customFormat="1" ht="12.75">
      <c r="A43" s="87"/>
    </row>
    <row r="44" spans="1:22" s="3" customFormat="1" ht="12.75">
      <c r="A44" s="87"/>
      <c r="B44" s="17" t="s">
        <v>107</v>
      </c>
    </row>
    <row r="45" spans="1:22" s="3" customFormat="1" ht="12.75">
      <c r="A45" s="87"/>
      <c r="B45" s="3" t="s">
        <v>108</v>
      </c>
      <c r="H45" s="3" t="s">
        <v>69</v>
      </c>
      <c r="J45" s="9">
        <f>SUM(L45:T45)</f>
        <v>6392086.7999999998</v>
      </c>
      <c r="L45" s="21">
        <f>'GAW IMPORT'!L32</f>
        <v>0</v>
      </c>
      <c r="M45" s="21">
        <f>'GAW IMPORT'!M32</f>
        <v>1030000</v>
      </c>
      <c r="N45" s="21">
        <f>'GAW IMPORT'!N32</f>
        <v>279304.8</v>
      </c>
      <c r="O45" s="21">
        <f>'GAW IMPORT'!O32</f>
        <v>5082782</v>
      </c>
      <c r="P45" s="21">
        <f>'GAW IMPORT'!P32</f>
        <v>0</v>
      </c>
      <c r="Q45" s="21">
        <f>'GAW IMPORT'!Q32</f>
        <v>0</v>
      </c>
      <c r="R45" s="21">
        <f>'GAW IMPORT'!R32</f>
        <v>0</v>
      </c>
      <c r="S45" s="21">
        <f>'GAW IMPORT'!S32</f>
        <v>0</v>
      </c>
      <c r="T45" s="21">
        <f>'GAW IMPORT'!U32</f>
        <v>0</v>
      </c>
      <c r="U45" s="21">
        <f>'GAW IMPORT'!V32</f>
        <v>0</v>
      </c>
      <c r="V45" s="21">
        <f>'GAW IMPORT'!W32</f>
        <v>5082782</v>
      </c>
    </row>
    <row r="46" spans="1:22" s="3" customFormat="1" ht="12.75">
      <c r="A46" s="87"/>
      <c r="B46" s="3" t="s">
        <v>109</v>
      </c>
      <c r="H46" s="3" t="s">
        <v>69</v>
      </c>
      <c r="J46" s="9">
        <f t="shared" ref="J46:J47" si="4">SUM(L46:T46)</f>
        <v>1582403.5213139681</v>
      </c>
      <c r="L46" s="21">
        <f>'GAW IMPORT'!L33</f>
        <v>0</v>
      </c>
      <c r="M46" s="21">
        <f>'GAW IMPORT'!M33</f>
        <v>51500</v>
      </c>
      <c r="N46" s="21">
        <f>'GAW IMPORT'!N33</f>
        <v>4706.0959999999995</v>
      </c>
      <c r="O46" s="21">
        <f>'GAW IMPORT'!O33</f>
        <v>206283.21111111113</v>
      </c>
      <c r="P46" s="21">
        <f>'GAW IMPORT'!P33</f>
        <v>0</v>
      </c>
      <c r="Q46" s="21">
        <f>'GAW IMPORT'!Q33</f>
        <v>1319914.2142028571</v>
      </c>
      <c r="R46" s="21">
        <f>'GAW IMPORT'!R33</f>
        <v>0</v>
      </c>
      <c r="S46" s="21">
        <f>'GAW IMPORT'!S33</f>
        <v>0</v>
      </c>
      <c r="T46" s="21">
        <f>'GAW IMPORT'!U33</f>
        <v>0</v>
      </c>
      <c r="U46" s="21">
        <f>'GAW IMPORT'!V33</f>
        <v>1319914.2142028571</v>
      </c>
      <c r="V46" s="21">
        <f>'GAW IMPORT'!W33</f>
        <v>206283.21111111113</v>
      </c>
    </row>
    <row r="47" spans="1:22" s="3" customFormat="1" ht="12.75">
      <c r="A47" s="87"/>
      <c r="B47" s="3" t="s">
        <v>110</v>
      </c>
      <c r="H47" s="3" t="s">
        <v>69</v>
      </c>
      <c r="J47" s="9">
        <f t="shared" si="4"/>
        <v>26208726.171584606</v>
      </c>
      <c r="L47" s="21">
        <f>'GAW IMPORT'!L34</f>
        <v>0</v>
      </c>
      <c r="M47" s="21">
        <f>'GAW IMPORT'!M34</f>
        <v>978500</v>
      </c>
      <c r="N47" s="21">
        <f>'GAW IMPORT'!N34</f>
        <v>274598.70400000003</v>
      </c>
      <c r="O47" s="21">
        <f>'GAW IMPORT'!O34</f>
        <v>4876498.7888888884</v>
      </c>
      <c r="P47" s="21">
        <f>'GAW IMPORT'!P34</f>
        <v>0</v>
      </c>
      <c r="Q47" s="21">
        <f>'GAW IMPORT'!Q34</f>
        <v>20079128.678695716</v>
      </c>
      <c r="R47" s="21">
        <f>'GAW IMPORT'!R34</f>
        <v>0</v>
      </c>
      <c r="S47" s="21">
        <f>'GAW IMPORT'!S34</f>
        <v>0</v>
      </c>
      <c r="T47" s="21">
        <f>'GAW IMPORT'!U34</f>
        <v>0</v>
      </c>
      <c r="U47" s="21">
        <f>'GAW IMPORT'!V34</f>
        <v>20079128.678695716</v>
      </c>
      <c r="V47" s="21">
        <f>'GAW IMPORT'!W34</f>
        <v>4876498.7888888884</v>
      </c>
    </row>
    <row r="48" spans="1:22" s="3" customFormat="1" ht="12.75">
      <c r="A48" s="87"/>
    </row>
    <row r="49" spans="1:25" s="3" customFormat="1" ht="12.75">
      <c r="A49" s="87"/>
      <c r="L49" s="10"/>
      <c r="M49" s="10"/>
      <c r="N49" s="10"/>
      <c r="O49" s="10"/>
      <c r="P49" s="10"/>
      <c r="Q49" s="10"/>
      <c r="R49" s="10"/>
      <c r="S49" s="10"/>
      <c r="T49" s="10"/>
      <c r="U49" s="10"/>
      <c r="V49" s="10"/>
    </row>
    <row r="50" spans="1:25" s="83" customFormat="1" ht="12.75">
      <c r="A50" s="107"/>
      <c r="B50" s="108" t="s">
        <v>111</v>
      </c>
    </row>
    <row r="51" spans="1:25" s="3" customFormat="1" ht="12.75">
      <c r="A51" s="87"/>
    </row>
    <row r="52" spans="1:25" s="3" customFormat="1" ht="12.75">
      <c r="A52" s="87"/>
      <c r="B52" s="17" t="s">
        <v>112</v>
      </c>
    </row>
    <row r="53" spans="1:25" s="3" customFormat="1" ht="12.75">
      <c r="A53" s="87"/>
      <c r="B53" s="3" t="s">
        <v>87</v>
      </c>
      <c r="H53" s="3" t="s">
        <v>69</v>
      </c>
      <c r="J53" s="9">
        <f>SUM(L53:T53)</f>
        <v>500859741.19943964</v>
      </c>
      <c r="L53" s="9">
        <f t="shared" ref="L53:U53" si="5">L26+L31+L41+L46</f>
        <v>3016107.3146907543</v>
      </c>
      <c r="M53" s="9">
        <f t="shared" si="5"/>
        <v>14398012.600001566</v>
      </c>
      <c r="N53" s="9">
        <f t="shared" si="5"/>
        <v>184143458.27863517</v>
      </c>
      <c r="O53" s="9">
        <f t="shared" si="5"/>
        <v>144265134.23918071</v>
      </c>
      <c r="P53" s="9">
        <f t="shared" si="5"/>
        <v>2730250.3528969181</v>
      </c>
      <c r="Q53" s="9">
        <f t="shared" si="5"/>
        <v>131437936.85388975</v>
      </c>
      <c r="R53" s="9">
        <f t="shared" si="5"/>
        <v>8537790.9991743863</v>
      </c>
      <c r="S53" s="9">
        <f t="shared" si="5"/>
        <v>7451857.3514416385</v>
      </c>
      <c r="T53" s="9">
        <f t="shared" si="5"/>
        <v>4879193.2095286604</v>
      </c>
      <c r="U53" s="9">
        <f t="shared" si="5"/>
        <v>135403428.88434321</v>
      </c>
      <c r="V53" s="9">
        <f t="shared" ref="V53" si="6">V26+V31+V41+V46</f>
        <v>144652919.69485635</v>
      </c>
      <c r="Y53" s="79" t="s">
        <v>269</v>
      </c>
    </row>
    <row r="54" spans="1:25" s="3" customFormat="1" ht="12.75">
      <c r="A54" s="87"/>
      <c r="B54" s="3" t="s">
        <v>113</v>
      </c>
      <c r="D54" s="3" t="s">
        <v>226</v>
      </c>
      <c r="H54" s="3" t="s">
        <v>69</v>
      </c>
      <c r="J54" s="9">
        <f t="shared" ref="J54:J55" si="7">SUM(L54:T54)</f>
        <v>10359488493.314753</v>
      </c>
      <c r="L54" s="9">
        <f t="shared" ref="L54:U54" si="8">L27+L32+L42+L47</f>
        <v>54357721.555152483</v>
      </c>
      <c r="M54" s="9">
        <f t="shared" si="8"/>
        <v>261517988.19176802</v>
      </c>
      <c r="N54" s="9">
        <f t="shared" si="8"/>
        <v>3358353619.5017595</v>
      </c>
      <c r="O54" s="9">
        <f t="shared" si="8"/>
        <v>3426103976.7735386</v>
      </c>
      <c r="P54" s="9">
        <f t="shared" si="8"/>
        <v>33294253.421953395</v>
      </c>
      <c r="Q54" s="9">
        <f t="shared" si="8"/>
        <v>2773815177.0948219</v>
      </c>
      <c r="R54" s="9">
        <f t="shared" si="8"/>
        <v>244176717.50419894</v>
      </c>
      <c r="S54" s="9">
        <f t="shared" si="8"/>
        <v>99352335.161045387</v>
      </c>
      <c r="T54" s="9">
        <f t="shared" si="8"/>
        <v>108516704.11051543</v>
      </c>
      <c r="U54" s="9">
        <f t="shared" si="8"/>
        <v>2867267750.1604724</v>
      </c>
      <c r="V54" s="9">
        <f t="shared" ref="V54" si="9">V27+V32+V42+V47</f>
        <v>3434926406.141685</v>
      </c>
      <c r="Y54" s="79" t="s">
        <v>305</v>
      </c>
    </row>
    <row r="55" spans="1:25" s="3" customFormat="1" ht="12.75">
      <c r="A55" s="87"/>
      <c r="B55" s="3" t="s">
        <v>209</v>
      </c>
      <c r="D55" s="22" t="s">
        <v>173</v>
      </c>
      <c r="H55" s="3" t="s">
        <v>69</v>
      </c>
      <c r="J55" s="9">
        <f t="shared" si="7"/>
        <v>1143148027.7849538</v>
      </c>
      <c r="L55" s="9">
        <f t="shared" ref="L55:U55" si="10">L53+(L54*$J$11)</f>
        <v>6386286.051110208</v>
      </c>
      <c r="M55" s="9">
        <f t="shared" si="10"/>
        <v>30612127.867891185</v>
      </c>
      <c r="N55" s="9">
        <f t="shared" si="10"/>
        <v>392361382.68774426</v>
      </c>
      <c r="O55" s="9">
        <f t="shared" si="10"/>
        <v>356683580.7991401</v>
      </c>
      <c r="P55" s="9">
        <f t="shared" si="10"/>
        <v>4794494.0650580283</v>
      </c>
      <c r="Q55" s="9">
        <f t="shared" si="10"/>
        <v>303414477.83376873</v>
      </c>
      <c r="R55" s="9">
        <f t="shared" si="10"/>
        <v>23676747.48443472</v>
      </c>
      <c r="S55" s="9">
        <f t="shared" si="10"/>
        <v>13611702.131426454</v>
      </c>
      <c r="T55" s="9">
        <f t="shared" si="10"/>
        <v>11607228.864380617</v>
      </c>
      <c r="U55" s="9">
        <f t="shared" si="10"/>
        <v>313174029.39429247</v>
      </c>
      <c r="V55" s="9">
        <f t="shared" ref="V55" si="11">V53+(V54*$J$11)</f>
        <v>357618356.87564081</v>
      </c>
      <c r="Y55" s="79" t="s">
        <v>270</v>
      </c>
    </row>
    <row r="56" spans="1:25" s="23" customFormat="1" ht="12.75">
      <c r="A56" s="91"/>
    </row>
    <row r="57" spans="1:25" s="3" customFormat="1" ht="12.75">
      <c r="A57" s="87"/>
      <c r="B57" s="17" t="s">
        <v>115</v>
      </c>
    </row>
    <row r="58" spans="1:25" s="3" customFormat="1" ht="12.75">
      <c r="A58" s="87"/>
      <c r="L58" s="13"/>
    </row>
    <row r="59" spans="1:25" s="3" customFormat="1" ht="12.75">
      <c r="A59" s="87"/>
      <c r="B59" s="22" t="s">
        <v>140</v>
      </c>
      <c r="H59" s="3" t="s">
        <v>69</v>
      </c>
      <c r="J59" s="9">
        <f>SUM(L59:T59)</f>
        <v>13809861.001657523</v>
      </c>
      <c r="L59" s="21">
        <f>'Overige opbrengsten'!L13</f>
        <v>0</v>
      </c>
      <c r="M59" s="21">
        <f>'Overige opbrengsten'!M13</f>
        <v>1112704.3580969032</v>
      </c>
      <c r="N59" s="21">
        <f>'Overige opbrengsten'!N13</f>
        <v>2788000.2436363632</v>
      </c>
      <c r="O59" s="9">
        <f>'Overige opbrengsten'!O13-'Overige opbrengsten'!W13</f>
        <v>4296013.51</v>
      </c>
      <c r="P59" s="21">
        <f>'Overige opbrengsten'!P13</f>
        <v>0</v>
      </c>
      <c r="Q59" s="9">
        <f>'Overige opbrengsten'!Q13-'Overige opbrengsten'!V13</f>
        <v>5613142.889924258</v>
      </c>
      <c r="R59" s="21">
        <f>'Overige opbrengsten'!R13</f>
        <v>0</v>
      </c>
      <c r="S59" s="21">
        <f>'Overige opbrengsten'!S13</f>
        <v>0</v>
      </c>
      <c r="T59" s="21">
        <f>'Overige opbrengsten'!U13</f>
        <v>0</v>
      </c>
      <c r="U59" s="9">
        <f>'Overige opbrengsten'!Q13</f>
        <v>5613142.889924258</v>
      </c>
      <c r="V59" s="9">
        <f>'Overige opbrengsten'!O13</f>
        <v>4296013.51</v>
      </c>
    </row>
    <row r="60" spans="1:25" s="3" customFormat="1" ht="12.75">
      <c r="A60" s="87"/>
      <c r="B60" s="22" t="s">
        <v>214</v>
      </c>
      <c r="H60" s="3" t="s">
        <v>69</v>
      </c>
      <c r="J60" s="9">
        <f t="shared" ref="J60:J64" si="12">SUM(L60:T60)</f>
        <v>3761219.9105818495</v>
      </c>
      <c r="L60" s="21">
        <f>'Overige opbrengsten'!L29</f>
        <v>0</v>
      </c>
      <c r="M60" s="21">
        <f>'Overige opbrengsten'!M29</f>
        <v>200000</v>
      </c>
      <c r="N60" s="21">
        <f>'Overige opbrengsten'!N29</f>
        <v>487900.04263636383</v>
      </c>
      <c r="O60" s="9">
        <f>'Overige opbrengsten'!O29-'Overige opbrengsten'!W29</f>
        <v>1333245.5720689655</v>
      </c>
      <c r="P60" s="21">
        <f>'Overige opbrengsten'!P29</f>
        <v>0</v>
      </c>
      <c r="Q60" s="9">
        <f>'Overige opbrengsten'!Q29-'Overige opbrengsten'!V29</f>
        <v>1740074.29587652</v>
      </c>
      <c r="R60" s="21">
        <f>'Overige opbrengsten'!R29</f>
        <v>0</v>
      </c>
      <c r="S60" s="21">
        <f>'Overige opbrengsten'!S29</f>
        <v>0</v>
      </c>
      <c r="T60" s="21">
        <f>'Overige opbrengsten'!U29</f>
        <v>0</v>
      </c>
      <c r="U60" s="9">
        <f>'Overige opbrengsten'!Q29</f>
        <v>1740074.29587652</v>
      </c>
      <c r="V60" s="9">
        <f>'Overige opbrengsten'!O29</f>
        <v>1333245.5720689655</v>
      </c>
    </row>
    <row r="61" spans="1:25" s="3" customFormat="1" ht="12.75">
      <c r="A61" s="87"/>
      <c r="B61" s="3" t="s">
        <v>116</v>
      </c>
      <c r="D61" s="13"/>
      <c r="H61" s="3" t="s">
        <v>69</v>
      </c>
      <c r="J61" s="9">
        <f t="shared" si="12"/>
        <v>0</v>
      </c>
      <c r="L61" s="11"/>
      <c r="M61" s="11"/>
      <c r="N61" s="11"/>
      <c r="O61" s="11"/>
      <c r="P61" s="11"/>
      <c r="Q61" s="11"/>
      <c r="R61" s="11"/>
      <c r="S61" s="11"/>
      <c r="T61" s="11"/>
      <c r="U61" s="11"/>
      <c r="V61" s="11"/>
    </row>
    <row r="62" spans="1:25" s="3" customFormat="1" ht="12.75">
      <c r="A62" s="87"/>
      <c r="B62" s="3" t="s">
        <v>117</v>
      </c>
      <c r="H62" s="3" t="s">
        <v>69</v>
      </c>
      <c r="J62" s="9">
        <f t="shared" si="12"/>
        <v>20520.099999999999</v>
      </c>
      <c r="L62" s="21">
        <f>'Overige opbrengsten'!L62</f>
        <v>0</v>
      </c>
      <c r="M62" s="21">
        <f>'Overige opbrengsten'!M62</f>
        <v>0</v>
      </c>
      <c r="N62" s="21">
        <f>'Overige opbrengsten'!N62</f>
        <v>18200</v>
      </c>
      <c r="O62" s="9">
        <f>'Overige opbrengsten'!O62-'Overige opbrengsten'!W62</f>
        <v>0</v>
      </c>
      <c r="P62" s="21">
        <f>'Overige opbrengsten'!P62</f>
        <v>2320.1</v>
      </c>
      <c r="Q62" s="9">
        <f>'Overige opbrengsten'!Q62-'Overige opbrengsten'!V62</f>
        <v>0</v>
      </c>
      <c r="R62" s="21">
        <f>'Overige opbrengsten'!R62</f>
        <v>0</v>
      </c>
      <c r="S62" s="21">
        <f>'Overige opbrengsten'!S62</f>
        <v>0</v>
      </c>
      <c r="T62" s="21">
        <f>'Overige opbrengsten'!U62</f>
        <v>0</v>
      </c>
      <c r="U62" s="9">
        <f>'Overige opbrengsten'!Q62</f>
        <v>0</v>
      </c>
      <c r="V62" s="9">
        <f>'Overige opbrengsten'!O62</f>
        <v>0</v>
      </c>
    </row>
    <row r="63" spans="1:25" s="3" customFormat="1" ht="12.75">
      <c r="A63" s="87"/>
      <c r="B63" s="3" t="s">
        <v>118</v>
      </c>
      <c r="H63" s="3" t="s">
        <v>69</v>
      </c>
      <c r="J63" s="9">
        <f t="shared" si="12"/>
        <v>0</v>
      </c>
      <c r="L63" s="11"/>
      <c r="M63" s="11"/>
      <c r="N63" s="11"/>
      <c r="O63" s="11"/>
      <c r="P63" s="11"/>
      <c r="Q63" s="11"/>
      <c r="R63" s="11"/>
      <c r="S63" s="11"/>
      <c r="T63" s="11"/>
      <c r="U63" s="11"/>
      <c r="V63" s="11"/>
    </row>
    <row r="64" spans="1:25" s="3" customFormat="1" ht="12.75">
      <c r="A64" s="87"/>
      <c r="B64" s="22" t="s">
        <v>119</v>
      </c>
      <c r="H64" s="3" t="s">
        <v>69</v>
      </c>
      <c r="J64" s="9">
        <f t="shared" si="12"/>
        <v>10069161.191075675</v>
      </c>
      <c r="L64" s="9">
        <f>(L59-L60)+SUM(L61:L63)</f>
        <v>0</v>
      </c>
      <c r="M64" s="9">
        <f>(M59-M60)+SUM(M61:M63)</f>
        <v>912704.35809690319</v>
      </c>
      <c r="N64" s="9">
        <f>(N59-N60)+SUM(N61:N63)</f>
        <v>2318300.2009999994</v>
      </c>
      <c r="O64" s="9">
        <f t="shared" ref="O64:S64" si="13">(O59-O60)+SUM(O61:O63)</f>
        <v>2962767.9379310342</v>
      </c>
      <c r="P64" s="9">
        <f t="shared" si="13"/>
        <v>2320.1</v>
      </c>
      <c r="Q64" s="9">
        <f>(Q59-Q60)+SUM(Q61:Q63)</f>
        <v>3873068.5940477382</v>
      </c>
      <c r="R64" s="9">
        <f t="shared" si="13"/>
        <v>0</v>
      </c>
      <c r="S64" s="9">
        <f t="shared" si="13"/>
        <v>0</v>
      </c>
      <c r="T64" s="9">
        <f t="shared" ref="T64" si="14">(T59-T60)+SUM(T61:T63)</f>
        <v>0</v>
      </c>
      <c r="U64" s="9">
        <f>(U59-U60)+SUM(U61:U63)</f>
        <v>3873068.5940477382</v>
      </c>
      <c r="V64" s="9">
        <f t="shared" ref="V64" si="15">(V59-V60)+SUM(V61:V63)</f>
        <v>2962767.9379310342</v>
      </c>
    </row>
    <row r="65" spans="1:25" s="3" customFormat="1" ht="12.75">
      <c r="A65" s="87"/>
    </row>
    <row r="66" spans="1:25" s="3" customFormat="1" ht="12.75">
      <c r="A66" s="87"/>
    </row>
    <row r="67" spans="1:25" s="3" customFormat="1" ht="12.75">
      <c r="A67" s="87"/>
      <c r="B67" s="17" t="s">
        <v>120</v>
      </c>
    </row>
    <row r="68" spans="1:25" s="3" customFormat="1" ht="12.75">
      <c r="A68" s="87"/>
    </row>
    <row r="69" spans="1:25" s="3" customFormat="1" ht="12.75">
      <c r="A69" s="87"/>
      <c r="B69" s="22" t="s">
        <v>209</v>
      </c>
      <c r="C69" s="22"/>
      <c r="D69" s="22" t="s">
        <v>221</v>
      </c>
      <c r="H69" s="3" t="s">
        <v>69</v>
      </c>
      <c r="J69" s="9">
        <f>SUM(L69:T69)</f>
        <v>1133078866.5938785</v>
      </c>
      <c r="L69" s="9">
        <f t="shared" ref="L69:U69" si="16">L55-L64</f>
        <v>6386286.051110208</v>
      </c>
      <c r="M69" s="9">
        <f>M55-M64</f>
        <v>29699423.50979428</v>
      </c>
      <c r="N69" s="9">
        <f t="shared" si="16"/>
        <v>390043082.48674428</v>
      </c>
      <c r="O69" s="9">
        <f t="shared" si="16"/>
        <v>353720812.86120903</v>
      </c>
      <c r="P69" s="9">
        <f t="shared" si="16"/>
        <v>4792173.9650580287</v>
      </c>
      <c r="Q69" s="9">
        <f t="shared" si="16"/>
        <v>299541409.239721</v>
      </c>
      <c r="R69" s="9">
        <f t="shared" si="16"/>
        <v>23676747.48443472</v>
      </c>
      <c r="S69" s="9">
        <f t="shared" si="16"/>
        <v>13611702.131426454</v>
      </c>
      <c r="T69" s="9">
        <f t="shared" si="16"/>
        <v>11607228.864380617</v>
      </c>
      <c r="U69" s="9">
        <f t="shared" si="16"/>
        <v>309300960.80024475</v>
      </c>
      <c r="V69" s="9">
        <f t="shared" ref="V69" si="17">V55-V64</f>
        <v>354655588.93770975</v>
      </c>
      <c r="W69" s="79"/>
      <c r="Y69" s="79" t="s">
        <v>271</v>
      </c>
    </row>
    <row r="70" spans="1:25" s="3" customFormat="1" ht="12.75">
      <c r="A70" s="87"/>
    </row>
    <row r="71" spans="1:25" s="3" customFormat="1" ht="12.75">
      <c r="A71" s="87"/>
    </row>
    <row r="72" spans="1:25" s="3" customFormat="1" ht="12.75">
      <c r="A72" s="87"/>
      <c r="B72" s="38" t="s">
        <v>238</v>
      </c>
      <c r="L72" s="8" t="s">
        <v>357</v>
      </c>
      <c r="M72" s="8" t="s">
        <v>59</v>
      </c>
      <c r="N72" s="8" t="s">
        <v>2</v>
      </c>
      <c r="O72" s="8" t="s">
        <v>3</v>
      </c>
      <c r="P72" s="8" t="s">
        <v>4</v>
      </c>
      <c r="Q72" s="8" t="s">
        <v>5</v>
      </c>
      <c r="R72" s="8" t="s">
        <v>6</v>
      </c>
    </row>
    <row r="73" spans="1:25" s="3" customFormat="1" ht="12.75">
      <c r="A73" s="87"/>
      <c r="B73" s="38"/>
    </row>
    <row r="74" spans="1:25" s="3" customFormat="1" ht="12.75">
      <c r="A74" s="87"/>
      <c r="B74" s="25" t="s">
        <v>133</v>
      </c>
      <c r="D74" s="26" t="s">
        <v>134</v>
      </c>
      <c r="H74" s="3" t="s">
        <v>69</v>
      </c>
      <c r="J74" s="9">
        <f>SUM(L74:R74)</f>
        <v>1143773194.2309031</v>
      </c>
      <c r="L74" s="9">
        <f>L69</f>
        <v>6386286.051110208</v>
      </c>
      <c r="M74" s="9">
        <f>M69</f>
        <v>29699423.50979428</v>
      </c>
      <c r="N74" s="9">
        <f>N69+S69</f>
        <v>403654784.61817074</v>
      </c>
      <c r="O74" s="9">
        <f>V69+T69</f>
        <v>366262817.80209035</v>
      </c>
      <c r="P74" s="9">
        <f>P69</f>
        <v>4792173.9650580287</v>
      </c>
      <c r="Q74" s="9">
        <f>U69</f>
        <v>309300960.80024475</v>
      </c>
      <c r="R74" s="9">
        <f>R69</f>
        <v>23676747.48443472</v>
      </c>
      <c r="T74" s="140"/>
      <c r="W74" s="79"/>
      <c r="Y74" s="79" t="s">
        <v>271</v>
      </c>
    </row>
    <row r="75" spans="1:25" s="3" customFormat="1" ht="12.75"/>
    <row r="76" spans="1:25" s="3" customFormat="1" ht="12.75"/>
    <row r="77" spans="1:25" s="4" customFormat="1" ht="12.75">
      <c r="B77" s="4" t="s">
        <v>121</v>
      </c>
    </row>
    <row r="78" spans="1:25" s="3" customFormat="1" ht="12.75"/>
    <row r="79" spans="1:25" s="3" customFormat="1" ht="12.75">
      <c r="B79" s="17" t="s">
        <v>91</v>
      </c>
    </row>
    <row r="80" spans="1:25" s="3" customFormat="1" ht="12.75"/>
    <row r="81" spans="1:22" s="3" customFormat="1" ht="12.75">
      <c r="A81" s="87"/>
      <c r="B81" s="17" t="s">
        <v>92</v>
      </c>
    </row>
    <row r="82" spans="1:22" s="3" customFormat="1" ht="12.75">
      <c r="A82" s="87"/>
      <c r="B82" s="3" t="s">
        <v>93</v>
      </c>
      <c r="H82" s="3" t="s">
        <v>71</v>
      </c>
      <c r="J82" s="9">
        <f>SUM(L82:T82)</f>
        <v>0</v>
      </c>
      <c r="L82" s="21">
        <f>'GAW IMPORT'!L44</f>
        <v>0</v>
      </c>
      <c r="M82" s="21">
        <f>'GAW IMPORT'!M44</f>
        <v>0</v>
      </c>
      <c r="N82" s="21">
        <f>'GAW IMPORT'!N44</f>
        <v>0</v>
      </c>
      <c r="O82" s="21">
        <f>'GAW IMPORT'!O44</f>
        <v>0</v>
      </c>
      <c r="P82" s="21">
        <f>'GAW IMPORT'!P44</f>
        <v>0</v>
      </c>
      <c r="Q82" s="21">
        <f>'GAW IMPORT'!Q44</f>
        <v>0</v>
      </c>
      <c r="R82" s="21">
        <f>'GAW IMPORT'!R44</f>
        <v>0</v>
      </c>
      <c r="S82" s="21">
        <f>'GAW IMPORT'!S44</f>
        <v>0</v>
      </c>
      <c r="T82" s="21">
        <f>'GAW IMPORT'!U44</f>
        <v>0</v>
      </c>
      <c r="U82" s="21">
        <f>'GAW IMPORT'!V44</f>
        <v>0</v>
      </c>
      <c r="V82" s="21">
        <f>'GAW IMPORT'!W44</f>
        <v>0</v>
      </c>
    </row>
    <row r="83" spans="1:22" s="3" customFormat="1" ht="12.75">
      <c r="A83" s="87"/>
      <c r="B83" s="3" t="s">
        <v>94</v>
      </c>
      <c r="H83" s="3" t="s">
        <v>71</v>
      </c>
      <c r="J83" s="9">
        <f t="shared" ref="J83:J84" si="18">SUM(L83:T83)</f>
        <v>378719985.81028056</v>
      </c>
      <c r="L83" s="21">
        <f>'GAW IMPORT'!L45</f>
        <v>2397686.8071463536</v>
      </c>
      <c r="M83" s="21">
        <f>'GAW IMPORT'!M45</f>
        <v>10002864.690790221</v>
      </c>
      <c r="N83" s="21">
        <f>'GAW IMPORT'!N45</f>
        <v>132357945.11543353</v>
      </c>
      <c r="O83" s="21">
        <f>'GAW IMPORT'!O45</f>
        <v>118480095.71499111</v>
      </c>
      <c r="P83" s="21">
        <f>'GAW IMPORT'!P45</f>
        <v>1889748.4452008444</v>
      </c>
      <c r="Q83" s="21">
        <f>'GAW IMPORT'!Q45</f>
        <v>99916669.831249729</v>
      </c>
      <c r="R83" s="21">
        <f>'GAW IMPORT'!R45</f>
        <v>3925537.5985873058</v>
      </c>
      <c r="S83" s="21">
        <f>'GAW IMPORT'!S45</f>
        <v>6018281.1927801417</v>
      </c>
      <c r="T83" s="21">
        <f>'GAW IMPORT'!U45</f>
        <v>3731156.4141012807</v>
      </c>
      <c r="U83" s="21">
        <f>'GAW IMPORT'!V45</f>
        <v>102848607.01477626</v>
      </c>
      <c r="V83" s="21">
        <f>'GAW IMPORT'!W45</f>
        <v>118835488.52069041</v>
      </c>
    </row>
    <row r="84" spans="1:22" s="3" customFormat="1" ht="12.75">
      <c r="A84" s="87"/>
      <c r="B84" s="3" t="s">
        <v>95</v>
      </c>
      <c r="H84" s="3" t="s">
        <v>71</v>
      </c>
      <c r="J84" s="9">
        <f t="shared" si="18"/>
        <v>6050479457.4230738</v>
      </c>
      <c r="L84" s="21">
        <f>'GAW IMPORT'!L46</f>
        <v>23266933.936106041</v>
      </c>
      <c r="M84" s="21">
        <f>'GAW IMPORT'!M46</f>
        <v>105079808.78836276</v>
      </c>
      <c r="N84" s="21">
        <f>'GAW IMPORT'!N46</f>
        <v>2009266975.4575133</v>
      </c>
      <c r="O84" s="21">
        <f>'GAW IMPORT'!O46</f>
        <v>2222408292.8819346</v>
      </c>
      <c r="P84" s="21">
        <f>'GAW IMPORT'!P46</f>
        <v>10973337.897430426</v>
      </c>
      <c r="Q84" s="21">
        <f>'GAW IMPORT'!Q46</f>
        <v>1492505575.246593</v>
      </c>
      <c r="R84" s="21">
        <f>'GAW IMPORT'!R46</f>
        <v>74828029.186428398</v>
      </c>
      <c r="S84" s="21">
        <f>'GAW IMPORT'!S46</f>
        <v>55509481.409457818</v>
      </c>
      <c r="T84" s="21">
        <f>'GAW IMPORT'!U46</f>
        <v>56641022.619246133</v>
      </c>
      <c r="U84" s="21">
        <f>'GAW IMPORT'!V46</f>
        <v>1536301396.305048</v>
      </c>
      <c r="V84" s="21">
        <f>'GAW IMPORT'!W46</f>
        <v>2229074627.1201901</v>
      </c>
    </row>
    <row r="85" spans="1:22" s="3" customFormat="1" ht="12.75">
      <c r="A85" s="87"/>
    </row>
    <row r="86" spans="1:22" s="3" customFormat="1" ht="12.75">
      <c r="A86" s="87"/>
      <c r="B86" s="17" t="s">
        <v>96</v>
      </c>
    </row>
    <row r="87" spans="1:22" s="3" customFormat="1" ht="12.75">
      <c r="A87" s="87"/>
      <c r="B87" s="3" t="s">
        <v>97</v>
      </c>
      <c r="H87" s="3" t="s">
        <v>71</v>
      </c>
      <c r="J87" s="9">
        <f>SUM(L87:T87)</f>
        <v>608501316.65963066</v>
      </c>
      <c r="L87" s="21">
        <f>'GAW IMPORT'!L49</f>
        <v>7608374.4873325648</v>
      </c>
      <c r="M87" s="21">
        <f>'GAW IMPORT'!M49</f>
        <v>9746720.9813451823</v>
      </c>
      <c r="N87" s="21">
        <f>'GAW IMPORT'!N49</f>
        <v>206888598.07087275</v>
      </c>
      <c r="O87" s="21">
        <f>'GAW IMPORT'!O49</f>
        <v>184484095.49286264</v>
      </c>
      <c r="P87" s="21">
        <f>'GAW IMPORT'!P49</f>
        <v>1109372.43</v>
      </c>
      <c r="Q87" s="21">
        <f>'GAW IMPORT'!Q49</f>
        <v>175091944.24870622</v>
      </c>
      <c r="R87" s="21">
        <f>'GAW IMPORT'!R49</f>
        <v>6141909.7188744331</v>
      </c>
      <c r="S87" s="21">
        <f>'GAW IMPORT'!S49</f>
        <v>8465871.1864579692</v>
      </c>
      <c r="T87" s="21">
        <f>'GAW IMPORT'!U49</f>
        <v>8964430.0431788173</v>
      </c>
      <c r="U87" s="21">
        <f>'GAW IMPORT'!V49</f>
        <v>176291866.27000001</v>
      </c>
      <c r="V87" s="21">
        <f>'GAW IMPORT'!W49</f>
        <v>184775634.49286264</v>
      </c>
    </row>
    <row r="88" spans="1:22" s="3" customFormat="1" ht="12.75">
      <c r="A88" s="87"/>
      <c r="B88" s="3" t="s">
        <v>87</v>
      </c>
      <c r="H88" s="3" t="s">
        <v>71</v>
      </c>
      <c r="J88" s="9">
        <f t="shared" ref="J88:J89" si="19">SUM(L88:T88)</f>
        <v>149357005.08522376</v>
      </c>
      <c r="L88" s="21">
        <f>'GAW IMPORT'!L50</f>
        <v>807526.03343643702</v>
      </c>
      <c r="M88" s="21">
        <f>'GAW IMPORT'!M50</f>
        <v>4545322.2421729276</v>
      </c>
      <c r="N88" s="21">
        <f>'GAW IMPORT'!N50</f>
        <v>63370916.777514622</v>
      </c>
      <c r="O88" s="21">
        <f>'GAW IMPORT'!O50</f>
        <v>32252531.675323162</v>
      </c>
      <c r="P88" s="21">
        <f>'GAW IMPORT'!P50</f>
        <v>837406.57116566901</v>
      </c>
      <c r="Q88" s="21">
        <f>'GAW IMPORT'!Q50</f>
        <v>38738698.376937144</v>
      </c>
      <c r="R88" s="21">
        <f>'GAW IMPORT'!R50</f>
        <v>4973075.109152331</v>
      </c>
      <c r="S88" s="21">
        <f>'GAW IMPORT'!S50</f>
        <v>2389580.8515180824</v>
      </c>
      <c r="T88" s="21">
        <f>'GAW IMPORT'!U50</f>
        <v>1441947.448003401</v>
      </c>
      <c r="U88" s="21">
        <f>'GAW IMPORT'!V50</f>
        <v>39876854.516266257</v>
      </c>
      <c r="V88" s="21">
        <f>'GAW IMPORT'!W50</f>
        <v>32296758.780780043</v>
      </c>
    </row>
    <row r="89" spans="1:22" s="3" customFormat="1" ht="12.75">
      <c r="A89" s="87"/>
      <c r="B89" s="3" t="s">
        <v>98</v>
      </c>
      <c r="H89" s="3" t="s">
        <v>71</v>
      </c>
      <c r="J89" s="9">
        <f t="shared" si="19"/>
        <v>4591094167.258585</v>
      </c>
      <c r="L89" s="21">
        <f>'GAW IMPORT'!L51</f>
        <v>36744176.861564726</v>
      </c>
      <c r="M89" s="21">
        <f>'GAW IMPORT'!M51</f>
        <v>146854718.81026798</v>
      </c>
      <c r="N89" s="21">
        <f>'GAW IMPORT'!N51</f>
        <v>1437207598.9965189</v>
      </c>
      <c r="O89" s="21">
        <f>'GAW IMPORT'!O51</f>
        <v>1311258885.1989102</v>
      </c>
      <c r="P89" s="21">
        <f>'GAW IMPORT'!P51</f>
        <v>21468900.766861379</v>
      </c>
      <c r="Q89" s="21">
        <f>'GAW IMPORT'!Q51</f>
        <v>1361002978.3236229</v>
      </c>
      <c r="R89" s="21">
        <f>'GAW IMPORT'!R51</f>
        <v>172208049.83150187</v>
      </c>
      <c r="S89" s="21">
        <f>'GAW IMPORT'!S51</f>
        <v>46185966.602451339</v>
      </c>
      <c r="T89" s="21">
        <f>'GAW IMPORT'!U51</f>
        <v>58162891.86688529</v>
      </c>
      <c r="U89" s="21">
        <f>'GAW IMPORT'!V51</f>
        <v>1409938968.2097666</v>
      </c>
      <c r="V89" s="21">
        <f>'GAW IMPORT'!W51</f>
        <v>1313509815.2931118</v>
      </c>
    </row>
    <row r="90" spans="1:22" s="3" customFormat="1" ht="12.75">
      <c r="A90" s="87"/>
    </row>
    <row r="91" spans="1:22" s="3" customFormat="1" ht="12.75">
      <c r="A91" s="87"/>
      <c r="B91" s="17" t="s">
        <v>99</v>
      </c>
    </row>
    <row r="92" spans="1:22" s="3" customFormat="1" ht="12.75">
      <c r="A92" s="87"/>
      <c r="B92" s="3" t="s">
        <v>100</v>
      </c>
      <c r="H92" s="3" t="s">
        <v>71</v>
      </c>
      <c r="J92" s="9">
        <f>SUM(L92:T92)</f>
        <v>0</v>
      </c>
      <c r="L92" s="21">
        <f>'GAW IMPORT'!L54</f>
        <v>0</v>
      </c>
      <c r="M92" s="21">
        <f>'GAW IMPORT'!M54</f>
        <v>0</v>
      </c>
      <c r="N92" s="21">
        <f>'GAW IMPORT'!N54</f>
        <v>0</v>
      </c>
      <c r="O92" s="21">
        <f>'GAW IMPORT'!O54</f>
        <v>0</v>
      </c>
      <c r="P92" s="21">
        <f>'GAW IMPORT'!P54</f>
        <v>0</v>
      </c>
      <c r="Q92" s="21">
        <f>'GAW IMPORT'!Q54</f>
        <v>0</v>
      </c>
      <c r="R92" s="21">
        <f>'GAW IMPORT'!R54</f>
        <v>0</v>
      </c>
      <c r="S92" s="21">
        <f>'GAW IMPORT'!S54</f>
        <v>0</v>
      </c>
      <c r="T92" s="21">
        <f>'GAW IMPORT'!U54</f>
        <v>0</v>
      </c>
      <c r="U92" s="21">
        <f>'GAW IMPORT'!V54</f>
        <v>0</v>
      </c>
      <c r="V92" s="21">
        <f>'GAW IMPORT'!W54</f>
        <v>0</v>
      </c>
    </row>
    <row r="93" spans="1:22" s="3" customFormat="1" ht="12.75">
      <c r="A93" s="87"/>
      <c r="B93" s="3" t="s">
        <v>101</v>
      </c>
      <c r="H93" s="3" t="s">
        <v>71</v>
      </c>
      <c r="J93" s="9">
        <f t="shared" ref="J93:J94" si="20">SUM(L93:T93)</f>
        <v>674126.89918049925</v>
      </c>
      <c r="L93" s="21">
        <f>'GAW IMPORT'!L55</f>
        <v>0</v>
      </c>
      <c r="M93" s="21">
        <f>'GAW IMPORT'!M55</f>
        <v>0</v>
      </c>
      <c r="N93" s="21">
        <f>'GAW IMPORT'!N55</f>
        <v>0</v>
      </c>
      <c r="O93" s="21">
        <f>'GAW IMPORT'!O55</f>
        <v>0</v>
      </c>
      <c r="P93" s="21">
        <f>'GAW IMPORT'!P55</f>
        <v>674126.89918049925</v>
      </c>
      <c r="Q93" s="21">
        <f>'GAW IMPORT'!Q55</f>
        <v>0</v>
      </c>
      <c r="R93" s="21">
        <f>'GAW IMPORT'!R55</f>
        <v>0</v>
      </c>
      <c r="S93" s="21">
        <f>'GAW IMPORT'!S55</f>
        <v>0</v>
      </c>
      <c r="T93" s="21">
        <f>'GAW IMPORT'!U55</f>
        <v>0</v>
      </c>
      <c r="U93" s="21">
        <f>'GAW IMPORT'!V55</f>
        <v>0</v>
      </c>
      <c r="V93" s="21">
        <f>'GAW IMPORT'!W55</f>
        <v>0</v>
      </c>
    </row>
    <row r="94" spans="1:22" s="3" customFormat="1" ht="12.75">
      <c r="A94" s="87"/>
      <c r="B94" s="3" t="s">
        <v>102</v>
      </c>
      <c r="H94" s="3" t="s">
        <v>71</v>
      </c>
      <c r="J94" s="9">
        <f t="shared" si="20"/>
        <v>3370634.4959024838</v>
      </c>
      <c r="L94" s="21">
        <f>'GAW IMPORT'!L56</f>
        <v>-3.2194653828964982E-9</v>
      </c>
      <c r="M94" s="21">
        <f>'GAW IMPORT'!M56</f>
        <v>0</v>
      </c>
      <c r="N94" s="21">
        <f>'GAW IMPORT'!N56</f>
        <v>0</v>
      </c>
      <c r="O94" s="21">
        <f>'GAW IMPORT'!O56</f>
        <v>0</v>
      </c>
      <c r="P94" s="21">
        <f>'GAW IMPORT'!P56</f>
        <v>3370634.4959024871</v>
      </c>
      <c r="Q94" s="21">
        <f>'GAW IMPORT'!Q56</f>
        <v>0</v>
      </c>
      <c r="R94" s="21">
        <f>'GAW IMPORT'!R56</f>
        <v>0</v>
      </c>
      <c r="S94" s="21">
        <f>'GAW IMPORT'!S56</f>
        <v>0</v>
      </c>
      <c r="T94" s="21">
        <f>'GAW IMPORT'!U56</f>
        <v>0</v>
      </c>
      <c r="U94" s="21">
        <f>'GAW IMPORT'!V56</f>
        <v>0</v>
      </c>
      <c r="V94" s="21">
        <f>'GAW IMPORT'!W56</f>
        <v>0</v>
      </c>
    </row>
    <row r="95" spans="1:22" s="3" customFormat="1" ht="12.75">
      <c r="A95" s="87"/>
    </row>
    <row r="96" spans="1:22" s="3" customFormat="1" ht="12.75">
      <c r="A96" s="87"/>
      <c r="B96" s="17" t="s">
        <v>103</v>
      </c>
    </row>
    <row r="97" spans="1:25" s="3" customFormat="1" ht="12.75">
      <c r="A97" s="87"/>
      <c r="B97" s="3" t="s">
        <v>104</v>
      </c>
      <c r="H97" s="3" t="s">
        <v>71</v>
      </c>
      <c r="J97" s="9">
        <f>SUM(L97:T97)</f>
        <v>0</v>
      </c>
      <c r="L97" s="21">
        <f>'GAW IMPORT'!L59</f>
        <v>0</v>
      </c>
      <c r="M97" s="21">
        <f>'GAW IMPORT'!M59</f>
        <v>0</v>
      </c>
      <c r="N97" s="21">
        <f>'GAW IMPORT'!N59</f>
        <v>0</v>
      </c>
      <c r="O97" s="21">
        <f>'GAW IMPORT'!O59</f>
        <v>0</v>
      </c>
      <c r="P97" s="21">
        <f>'GAW IMPORT'!P59</f>
        <v>0</v>
      </c>
      <c r="Q97" s="21">
        <f>'GAW IMPORT'!Q59</f>
        <v>0</v>
      </c>
      <c r="R97" s="21">
        <f>'GAW IMPORT'!R59</f>
        <v>0</v>
      </c>
      <c r="S97" s="21">
        <f>'GAW IMPORT'!S59</f>
        <v>0</v>
      </c>
      <c r="T97" s="21">
        <f>'GAW IMPORT'!U59</f>
        <v>0</v>
      </c>
      <c r="U97" s="21">
        <f>'GAW IMPORT'!V59</f>
        <v>0</v>
      </c>
      <c r="V97" s="21">
        <f>'GAW IMPORT'!W59</f>
        <v>0</v>
      </c>
    </row>
    <row r="98" spans="1:25" s="3" customFormat="1" ht="12.75">
      <c r="A98" s="87"/>
      <c r="B98" s="3" t="s">
        <v>105</v>
      </c>
      <c r="H98" s="3" t="s">
        <v>71</v>
      </c>
      <c r="J98" s="9">
        <f t="shared" ref="J98:J99" si="21">SUM(L98:T98)</f>
        <v>242816.67760763335</v>
      </c>
      <c r="L98" s="21">
        <f>'GAW IMPORT'!L60</f>
        <v>0</v>
      </c>
      <c r="M98" s="21">
        <f>'GAW IMPORT'!M60</f>
        <v>242816.67760763335</v>
      </c>
      <c r="N98" s="21">
        <f>'GAW IMPORT'!N60</f>
        <v>0</v>
      </c>
      <c r="O98" s="21">
        <f>'GAW IMPORT'!O60</f>
        <v>0</v>
      </c>
      <c r="P98" s="21">
        <f>'GAW IMPORT'!P60</f>
        <v>0</v>
      </c>
      <c r="Q98" s="21">
        <f>'GAW IMPORT'!Q60</f>
        <v>0</v>
      </c>
      <c r="R98" s="21">
        <f>'GAW IMPORT'!R60</f>
        <v>0</v>
      </c>
      <c r="S98" s="21">
        <f>'GAW IMPORT'!S60</f>
        <v>0</v>
      </c>
      <c r="T98" s="21">
        <f>'GAW IMPORT'!U60</f>
        <v>0</v>
      </c>
      <c r="U98" s="21">
        <f>'GAW IMPORT'!V60</f>
        <v>0</v>
      </c>
      <c r="V98" s="21">
        <f>'GAW IMPORT'!W60</f>
        <v>0</v>
      </c>
    </row>
    <row r="99" spans="1:25" s="3" customFormat="1" ht="12.75">
      <c r="A99" s="87"/>
      <c r="B99" s="3" t="s">
        <v>106</v>
      </c>
      <c r="H99" s="3" t="s">
        <v>71</v>
      </c>
      <c r="J99" s="9">
        <f t="shared" si="21"/>
        <v>9553086.192322297</v>
      </c>
      <c r="L99" s="21">
        <f>'GAW IMPORT'!L61</f>
        <v>0</v>
      </c>
      <c r="M99" s="21">
        <f>'GAW IMPORT'!M61</f>
        <v>9553086.192322297</v>
      </c>
      <c r="N99" s="21">
        <f>'GAW IMPORT'!N61</f>
        <v>0</v>
      </c>
      <c r="O99" s="21">
        <f>'GAW IMPORT'!O61</f>
        <v>0</v>
      </c>
      <c r="P99" s="21">
        <f>'GAW IMPORT'!P61</f>
        <v>0</v>
      </c>
      <c r="Q99" s="21">
        <f>'GAW IMPORT'!Q61</f>
        <v>0</v>
      </c>
      <c r="R99" s="21">
        <f>'GAW IMPORT'!R61</f>
        <v>0</v>
      </c>
      <c r="S99" s="21">
        <f>'GAW IMPORT'!S61</f>
        <v>0</v>
      </c>
      <c r="T99" s="21">
        <f>'GAW IMPORT'!U61</f>
        <v>0</v>
      </c>
      <c r="U99" s="21">
        <f>'GAW IMPORT'!V61</f>
        <v>0</v>
      </c>
      <c r="V99" s="21">
        <f>'GAW IMPORT'!W61</f>
        <v>0</v>
      </c>
    </row>
    <row r="100" spans="1:25" s="3" customFormat="1" ht="12.75">
      <c r="A100" s="87"/>
    </row>
    <row r="101" spans="1:25" s="3" customFormat="1" ht="12.75">
      <c r="A101" s="87"/>
      <c r="B101" s="17" t="s">
        <v>107</v>
      </c>
    </row>
    <row r="102" spans="1:25" s="3" customFormat="1" ht="12.75">
      <c r="A102" s="87"/>
      <c r="B102" s="3" t="s">
        <v>108</v>
      </c>
      <c r="H102" s="3" t="s">
        <v>71</v>
      </c>
      <c r="J102" s="9">
        <f>SUM(L102:T102)</f>
        <v>0</v>
      </c>
      <c r="L102" s="21">
        <f>'GAW IMPORT'!L64</f>
        <v>0</v>
      </c>
      <c r="M102" s="21">
        <f>'GAW IMPORT'!M64</f>
        <v>0</v>
      </c>
      <c r="N102" s="21">
        <f>'GAW IMPORT'!N64</f>
        <v>0</v>
      </c>
      <c r="O102" s="21">
        <f>'GAW IMPORT'!O64</f>
        <v>0</v>
      </c>
      <c r="P102" s="21">
        <f>'GAW IMPORT'!P64</f>
        <v>0</v>
      </c>
      <c r="Q102" s="21">
        <f>'GAW IMPORT'!Q64</f>
        <v>0</v>
      </c>
      <c r="R102" s="21">
        <f>'GAW IMPORT'!R64</f>
        <v>0</v>
      </c>
      <c r="S102" s="21">
        <f>'GAW IMPORT'!S64</f>
        <v>0</v>
      </c>
      <c r="T102" s="21">
        <f>'GAW IMPORT'!U64</f>
        <v>0</v>
      </c>
      <c r="U102" s="21">
        <f>'GAW IMPORT'!V64</f>
        <v>0</v>
      </c>
      <c r="V102" s="21">
        <f>'GAW IMPORT'!W64</f>
        <v>0</v>
      </c>
    </row>
    <row r="103" spans="1:25" s="3" customFormat="1" ht="12.75">
      <c r="A103" s="87"/>
      <c r="B103" s="3" t="s">
        <v>109</v>
      </c>
      <c r="H103" s="3" t="s">
        <v>71</v>
      </c>
      <c r="J103" s="9">
        <f t="shared" ref="J103:J104" si="22">SUM(L103:T103)</f>
        <v>1887325.3634788559</v>
      </c>
      <c r="L103" s="21">
        <f>'GAW IMPORT'!L65</f>
        <v>0</v>
      </c>
      <c r="M103" s="21">
        <f>'GAW IMPORT'!M65</f>
        <v>105368.99999999999</v>
      </c>
      <c r="N103" s="21">
        <f>'GAW IMPORT'!N65</f>
        <v>9628.6724159999976</v>
      </c>
      <c r="O103" s="21">
        <f>'GAW IMPORT'!O65</f>
        <v>422055.44993333326</v>
      </c>
      <c r="P103" s="21">
        <f>'GAW IMPORT'!P65</f>
        <v>0</v>
      </c>
      <c r="Q103" s="21">
        <f>'GAW IMPORT'!Q65</f>
        <v>1350272.2411295227</v>
      </c>
      <c r="R103" s="21">
        <f>'GAW IMPORT'!R65</f>
        <v>0</v>
      </c>
      <c r="S103" s="21">
        <f>'GAW IMPORT'!S65</f>
        <v>0</v>
      </c>
      <c r="T103" s="21">
        <f>'GAW IMPORT'!U65</f>
        <v>0</v>
      </c>
      <c r="U103" s="21">
        <f>'GAW IMPORT'!V65</f>
        <v>1350272.2411295227</v>
      </c>
      <c r="V103" s="21">
        <f>'GAW IMPORT'!W65</f>
        <v>422055.44993333326</v>
      </c>
    </row>
    <row r="104" spans="1:25" s="3" customFormat="1" ht="12.75">
      <c r="A104" s="87"/>
      <c r="B104" s="3" t="s">
        <v>110</v>
      </c>
      <c r="H104" s="3" t="s">
        <v>71</v>
      </c>
      <c r="J104" s="9">
        <f t="shared" si="22"/>
        <v>24924201.510052189</v>
      </c>
      <c r="L104" s="21">
        <f>'GAW IMPORT'!L66</f>
        <v>0</v>
      </c>
      <c r="M104" s="21">
        <f>'GAW IMPORT'!M66</f>
        <v>895636.49999999988</v>
      </c>
      <c r="N104" s="21">
        <f>'GAW IMPORT'!N66</f>
        <v>271285.80177599995</v>
      </c>
      <c r="O104" s="21">
        <f>'GAW IMPORT'!O66</f>
        <v>4566602.8111000005</v>
      </c>
      <c r="P104" s="21">
        <f>'GAW IMPORT'!P66</f>
        <v>0</v>
      </c>
      <c r="Q104" s="21">
        <f>'GAW IMPORT'!Q66</f>
        <v>19190676.397176191</v>
      </c>
      <c r="R104" s="21">
        <f>'GAW IMPORT'!R66</f>
        <v>0</v>
      </c>
      <c r="S104" s="21">
        <f>'GAW IMPORT'!S66</f>
        <v>0</v>
      </c>
      <c r="T104" s="21">
        <f>'GAW IMPORT'!U66</f>
        <v>0</v>
      </c>
      <c r="U104" s="21">
        <f>'GAW IMPORT'!V66</f>
        <v>19190676.397176191</v>
      </c>
      <c r="V104" s="21">
        <f>'GAW IMPORT'!W66</f>
        <v>4566602.8111000005</v>
      </c>
    </row>
    <row r="105" spans="1:25" s="3" customFormat="1" ht="12.75">
      <c r="A105" s="87"/>
      <c r="L105" s="83"/>
      <c r="M105" s="83"/>
      <c r="N105" s="83"/>
      <c r="O105" s="83"/>
      <c r="P105" s="83"/>
      <c r="Q105" s="83"/>
      <c r="R105" s="83"/>
      <c r="S105" s="83"/>
      <c r="T105" s="83"/>
      <c r="U105" s="83"/>
      <c r="V105" s="83"/>
    </row>
    <row r="106" spans="1:25" s="3" customFormat="1" ht="12.75">
      <c r="A106" s="87"/>
      <c r="L106" s="83"/>
      <c r="M106" s="83"/>
      <c r="N106" s="83"/>
      <c r="O106" s="83"/>
      <c r="P106" s="83"/>
      <c r="Q106" s="83"/>
      <c r="R106" s="83"/>
      <c r="S106" s="83"/>
      <c r="T106" s="83"/>
      <c r="U106" s="83"/>
      <c r="V106" s="83"/>
    </row>
    <row r="107" spans="1:25" s="3" customFormat="1" ht="12.75">
      <c r="A107" s="87"/>
      <c r="B107" s="17" t="s">
        <v>111</v>
      </c>
    </row>
    <row r="108" spans="1:25" s="3" customFormat="1" ht="12.75">
      <c r="A108" s="87"/>
    </row>
    <row r="109" spans="1:25" s="3" customFormat="1" ht="12.75">
      <c r="A109" s="87"/>
      <c r="B109" s="17" t="s">
        <v>112</v>
      </c>
    </row>
    <row r="110" spans="1:25" s="3" customFormat="1" ht="12.75">
      <c r="A110" s="87"/>
      <c r="B110" s="3" t="s">
        <v>87</v>
      </c>
      <c r="H110" s="3" t="s">
        <v>71</v>
      </c>
      <c r="J110" s="9">
        <f>SUM(L110:T110)</f>
        <v>530207132.93659079</v>
      </c>
      <c r="L110" s="9">
        <f>L83+L88+L98+L103</f>
        <v>3205212.8405827908</v>
      </c>
      <c r="M110" s="9">
        <f t="shared" ref="M110:Q110" si="23">M83+M88+M98+M103</f>
        <v>14896372.610570781</v>
      </c>
      <c r="N110" s="9">
        <f t="shared" si="23"/>
        <v>195738490.56536415</v>
      </c>
      <c r="O110" s="9">
        <f t="shared" si="23"/>
        <v>151154682.8402476</v>
      </c>
      <c r="P110" s="9">
        <f t="shared" si="23"/>
        <v>2727155.0163665134</v>
      </c>
      <c r="Q110" s="9">
        <f t="shared" si="23"/>
        <v>140005640.44931638</v>
      </c>
      <c r="R110" s="9">
        <f>R83+R88+R98+R103</f>
        <v>8898612.7077396363</v>
      </c>
      <c r="S110" s="9">
        <f>S83+S88+S98+S103</f>
        <v>8407862.0442982242</v>
      </c>
      <c r="T110" s="9">
        <f>T83+T88+T98+T103</f>
        <v>5173103.8621046823</v>
      </c>
      <c r="U110" s="9">
        <f t="shared" ref="U110" si="24">U83+U88+U98+U103</f>
        <v>144075733.77217203</v>
      </c>
      <c r="V110" s="9">
        <f>V83+V88+V98+V103</f>
        <v>151554302.75140378</v>
      </c>
      <c r="Y110" s="79" t="s">
        <v>269</v>
      </c>
    </row>
    <row r="111" spans="1:25" s="3" customFormat="1" ht="12.75">
      <c r="A111" s="87"/>
      <c r="B111" s="3" t="s">
        <v>113</v>
      </c>
      <c r="D111" s="3" t="s">
        <v>226</v>
      </c>
      <c r="H111" s="3" t="s">
        <v>71</v>
      </c>
      <c r="J111" s="9">
        <f t="shared" ref="J111:J112" si="25">SUM(L111:T111)</f>
        <v>10676050912.384033</v>
      </c>
      <c r="L111" s="9">
        <f>L84+L89+L99+L104</f>
        <v>60011110.797670767</v>
      </c>
      <c r="M111" s="9">
        <f t="shared" ref="M111:S111" si="26">M84+M89+M99+M104</f>
        <v>262383250.29095301</v>
      </c>
      <c r="N111" s="9">
        <f t="shared" si="26"/>
        <v>3446745860.2558079</v>
      </c>
      <c r="O111" s="9">
        <f t="shared" si="26"/>
        <v>3538233780.8919449</v>
      </c>
      <c r="P111" s="9">
        <f t="shared" si="26"/>
        <v>32442238.664291807</v>
      </c>
      <c r="Q111" s="9">
        <f t="shared" si="26"/>
        <v>2872699229.9673924</v>
      </c>
      <c r="R111" s="9">
        <f>R84+R89+R99+R104</f>
        <v>247036079.01793027</v>
      </c>
      <c r="S111" s="9">
        <f t="shared" si="26"/>
        <v>101695448.01190916</v>
      </c>
      <c r="T111" s="9">
        <f t="shared" ref="T111:U111" si="27">T84+T89+T99+T104</f>
        <v>114803914.48613143</v>
      </c>
      <c r="U111" s="9">
        <f t="shared" si="27"/>
        <v>2965431040.9119906</v>
      </c>
      <c r="V111" s="9">
        <f>V84+V89+V99+V104</f>
        <v>3547151045.224402</v>
      </c>
      <c r="Y111" s="79" t="s">
        <v>305</v>
      </c>
    </row>
    <row r="112" spans="1:25" s="3" customFormat="1" ht="12.75">
      <c r="A112" s="87"/>
      <c r="B112" s="3" t="s">
        <v>169</v>
      </c>
      <c r="D112" s="22" t="s">
        <v>170</v>
      </c>
      <c r="H112" s="3" t="s">
        <v>71</v>
      </c>
      <c r="J112" s="9">
        <f t="shared" si="25"/>
        <v>1010629423.9938722</v>
      </c>
      <c r="L112" s="9">
        <f t="shared" ref="L112:T112" si="28">L110+(L111*$J$16)</f>
        <v>5905712.8264779747</v>
      </c>
      <c r="M112" s="9">
        <f t="shared" si="28"/>
        <v>26703618.873663664</v>
      </c>
      <c r="N112" s="9">
        <f t="shared" si="28"/>
        <v>350842054.2768755</v>
      </c>
      <c r="O112" s="9">
        <f t="shared" si="28"/>
        <v>310375202.98038512</v>
      </c>
      <c r="P112" s="9">
        <f t="shared" si="28"/>
        <v>4187055.7562596444</v>
      </c>
      <c r="Q112" s="9">
        <f t="shared" si="28"/>
        <v>269277105.79784906</v>
      </c>
      <c r="R112" s="9">
        <f t="shared" si="28"/>
        <v>20015236.263546497</v>
      </c>
      <c r="S112" s="9">
        <f t="shared" si="28"/>
        <v>12984157.204834137</v>
      </c>
      <c r="T112" s="9">
        <f t="shared" si="28"/>
        <v>10339280.013980597</v>
      </c>
      <c r="U112" s="9">
        <f t="shared" ref="U112:V112" si="29">U110+(U111*$J$16)</f>
        <v>277520130.61321163</v>
      </c>
      <c r="V112" s="9">
        <f t="shared" si="29"/>
        <v>311176099.78650188</v>
      </c>
      <c r="Y112" s="79" t="s">
        <v>270</v>
      </c>
    </row>
    <row r="113" spans="1:22" s="3" customFormat="1" ht="12.75">
      <c r="A113" s="87"/>
      <c r="B113" s="3" t="s">
        <v>172</v>
      </c>
      <c r="D113" s="22" t="s">
        <v>171</v>
      </c>
      <c r="H113" s="3" t="s">
        <v>71</v>
      </c>
      <c r="J113" s="9">
        <f>SUM(L113:T113)</f>
        <v>850488660.30811179</v>
      </c>
      <c r="L113" s="9">
        <f t="shared" ref="L113:S113" si="30">L110+(L111*$J$17)</f>
        <v>5005546.1645129137</v>
      </c>
      <c r="M113" s="9">
        <f t="shared" si="30"/>
        <v>22767870.119299371</v>
      </c>
      <c r="N113" s="9">
        <f t="shared" si="30"/>
        <v>299140866.37303841</v>
      </c>
      <c r="O113" s="9">
        <f t="shared" si="30"/>
        <v>257301696.26700595</v>
      </c>
      <c r="P113" s="9">
        <f t="shared" si="30"/>
        <v>3700422.1762952674</v>
      </c>
      <c r="Q113" s="9">
        <f t="shared" si="30"/>
        <v>226186617.34833816</v>
      </c>
      <c r="R113" s="9">
        <f t="shared" si="30"/>
        <v>16309695.078277543</v>
      </c>
      <c r="S113" s="9">
        <f t="shared" si="30"/>
        <v>11458725.484655499</v>
      </c>
      <c r="T113" s="9">
        <f t="shared" ref="T113:U113" si="31">T110+(T111*$J$17)</f>
        <v>8617221.2966886256</v>
      </c>
      <c r="U113" s="9">
        <f t="shared" si="31"/>
        <v>233038664.99953175</v>
      </c>
      <c r="V113" s="9">
        <f t="shared" ref="V113" si="32">V110+(V111*$J$17)</f>
        <v>257968834.10813582</v>
      </c>
    </row>
    <row r="114" spans="1:22" s="3" customFormat="1" ht="12.75">
      <c r="A114" s="87"/>
      <c r="B114" s="3" t="s">
        <v>209</v>
      </c>
      <c r="D114" s="22" t="s">
        <v>173</v>
      </c>
      <c r="H114" s="3" t="s">
        <v>71</v>
      </c>
      <c r="J114" s="9">
        <f t="shared" ref="J114:J115" si="33">SUM(L114:T114)</f>
        <v>1192122289.5044007</v>
      </c>
      <c r="L114" s="9">
        <f t="shared" ref="L114:S114" si="34">L110+(L111*$J$11)</f>
        <v>6925901.7100383788</v>
      </c>
      <c r="M114" s="9">
        <f t="shared" si="34"/>
        <v>31164134.128609866</v>
      </c>
      <c r="N114" s="9">
        <f t="shared" si="34"/>
        <v>409436733.90122426</v>
      </c>
      <c r="O114" s="9">
        <f t="shared" si="34"/>
        <v>370525177.25554818</v>
      </c>
      <c r="P114" s="9">
        <f t="shared" si="34"/>
        <v>4738573.813552605</v>
      </c>
      <c r="Q114" s="9">
        <f t="shared" si="34"/>
        <v>318112992.7072947</v>
      </c>
      <c r="R114" s="9">
        <f t="shared" si="34"/>
        <v>24214849.606851313</v>
      </c>
      <c r="S114" s="9">
        <f t="shared" si="34"/>
        <v>14712979.821036592</v>
      </c>
      <c r="T114" s="9">
        <f t="shared" ref="T114:U114" si="35">T110+(T111*$J$11)</f>
        <v>12290946.560244832</v>
      </c>
      <c r="U114" s="9">
        <f t="shared" si="35"/>
        <v>327932458.30871546</v>
      </c>
      <c r="V114" s="9">
        <f t="shared" ref="V114" si="36">V110+(V111*$J$11)</f>
        <v>371477667.55531669</v>
      </c>
    </row>
    <row r="115" spans="1:22" s="3" customFormat="1" ht="12.75">
      <c r="A115" s="87"/>
      <c r="B115" s="3" t="s">
        <v>210</v>
      </c>
      <c r="D115" s="22" t="s">
        <v>174</v>
      </c>
      <c r="H115" s="3" t="s">
        <v>71</v>
      </c>
      <c r="J115" s="9">
        <f t="shared" si="33"/>
        <v>1053333627.6434081</v>
      </c>
      <c r="L115" s="9">
        <f t="shared" ref="L115:U115" si="37">L110+(L111*$J$12)</f>
        <v>6145757.2696686583</v>
      </c>
      <c r="M115" s="9">
        <f t="shared" si="37"/>
        <v>27753151.874827478</v>
      </c>
      <c r="N115" s="9">
        <f t="shared" si="37"/>
        <v>364629037.71789873</v>
      </c>
      <c r="O115" s="9">
        <f t="shared" si="37"/>
        <v>324528138.10395288</v>
      </c>
      <c r="P115" s="9">
        <f t="shared" si="37"/>
        <v>4316824.7109168116</v>
      </c>
      <c r="Q115" s="9">
        <f t="shared" si="37"/>
        <v>280767902.7177186</v>
      </c>
      <c r="R115" s="9">
        <f t="shared" si="37"/>
        <v>21003380.579618219</v>
      </c>
      <c r="S115" s="9">
        <f t="shared" si="37"/>
        <v>13390938.996881772</v>
      </c>
      <c r="T115" s="9">
        <f t="shared" si="37"/>
        <v>10798495.671925124</v>
      </c>
      <c r="U115" s="9">
        <f t="shared" si="37"/>
        <v>289381854.77685958</v>
      </c>
      <c r="V115" s="9">
        <f t="shared" ref="V115" si="38">V110+(V111*$J$12)</f>
        <v>325364703.96739948</v>
      </c>
    </row>
    <row r="116" spans="1:22" s="23" customFormat="1" ht="12.75">
      <c r="A116" s="91"/>
    </row>
    <row r="117" spans="1:22" s="3" customFormat="1" ht="12.75">
      <c r="A117" s="87"/>
      <c r="B117" s="17" t="s">
        <v>114</v>
      </c>
    </row>
    <row r="118" spans="1:22" s="3" customFormat="1" ht="12.75">
      <c r="A118" s="87"/>
      <c r="B118" s="3" t="s">
        <v>87</v>
      </c>
      <c r="H118" s="3" t="s">
        <v>71</v>
      </c>
      <c r="J118" s="9">
        <f>SUM(L118:T118)</f>
        <v>674126.89918049925</v>
      </c>
      <c r="L118" s="9">
        <f>L93</f>
        <v>0</v>
      </c>
      <c r="M118" s="9">
        <f t="shared" ref="M118:S118" si="39">M93</f>
        <v>0</v>
      </c>
      <c r="N118" s="9">
        <f t="shared" si="39"/>
        <v>0</v>
      </c>
      <c r="O118" s="9">
        <f t="shared" si="39"/>
        <v>0</v>
      </c>
      <c r="P118" s="9">
        <f t="shared" si="39"/>
        <v>674126.89918049925</v>
      </c>
      <c r="Q118" s="9">
        <f t="shared" si="39"/>
        <v>0</v>
      </c>
      <c r="R118" s="9">
        <f t="shared" si="39"/>
        <v>0</v>
      </c>
      <c r="S118" s="9">
        <f t="shared" si="39"/>
        <v>0</v>
      </c>
      <c r="T118" s="9">
        <f t="shared" ref="T118:U118" si="40">T93</f>
        <v>0</v>
      </c>
      <c r="U118" s="9">
        <f t="shared" si="40"/>
        <v>0</v>
      </c>
      <c r="V118" s="9">
        <f t="shared" ref="V118" si="41">V93</f>
        <v>0</v>
      </c>
    </row>
    <row r="119" spans="1:22" s="3" customFormat="1" ht="12.75">
      <c r="A119" s="87"/>
      <c r="B119" s="3" t="s">
        <v>113</v>
      </c>
      <c r="D119" s="3" t="s">
        <v>226</v>
      </c>
      <c r="H119" s="3" t="s">
        <v>71</v>
      </c>
      <c r="J119" s="9">
        <f>SUM(L119:T119)</f>
        <v>3370634.4959024838</v>
      </c>
      <c r="L119" s="9">
        <f>L94</f>
        <v>-3.2194653828964982E-9</v>
      </c>
      <c r="M119" s="9">
        <f t="shared" ref="M119:U119" si="42">M94</f>
        <v>0</v>
      </c>
      <c r="N119" s="9">
        <f t="shared" si="42"/>
        <v>0</v>
      </c>
      <c r="O119" s="9">
        <f t="shared" si="42"/>
        <v>0</v>
      </c>
      <c r="P119" s="9">
        <f t="shared" si="42"/>
        <v>3370634.4959024871</v>
      </c>
      <c r="Q119" s="9">
        <f t="shared" si="42"/>
        <v>0</v>
      </c>
      <c r="R119" s="9">
        <f t="shared" si="42"/>
        <v>0</v>
      </c>
      <c r="S119" s="9">
        <f t="shared" si="42"/>
        <v>0</v>
      </c>
      <c r="T119" s="9">
        <f t="shared" si="42"/>
        <v>0</v>
      </c>
      <c r="U119" s="9">
        <f t="shared" si="42"/>
        <v>0</v>
      </c>
      <c r="V119" s="9">
        <f t="shared" ref="V119" si="43">V94</f>
        <v>0</v>
      </c>
    </row>
    <row r="120" spans="1:22" s="3" customFormat="1" ht="12.75">
      <c r="A120" s="87"/>
      <c r="B120" s="3" t="s">
        <v>224</v>
      </c>
      <c r="D120" s="22" t="s">
        <v>138</v>
      </c>
      <c r="H120" s="3" t="s">
        <v>71</v>
      </c>
      <c r="J120" s="9">
        <f t="shared" ref="J120:J121" si="44">SUM(L120:T120)</f>
        <v>825805.45149611111</v>
      </c>
      <c r="L120" s="9">
        <f t="shared" ref="L120:T120" si="45">L118+(L119*$J$16)</f>
        <v>-1.4487594223034242E-10</v>
      </c>
      <c r="M120" s="9">
        <f t="shared" si="45"/>
        <v>0</v>
      </c>
      <c r="N120" s="9">
        <f t="shared" si="45"/>
        <v>0</v>
      </c>
      <c r="O120" s="9">
        <f t="shared" si="45"/>
        <v>0</v>
      </c>
      <c r="P120" s="9">
        <f t="shared" si="45"/>
        <v>825805.45149611123</v>
      </c>
      <c r="Q120" s="9">
        <f t="shared" si="45"/>
        <v>0</v>
      </c>
      <c r="R120" s="9">
        <f t="shared" si="45"/>
        <v>0</v>
      </c>
      <c r="S120" s="9">
        <f t="shared" si="45"/>
        <v>0</v>
      </c>
      <c r="T120" s="9">
        <f t="shared" si="45"/>
        <v>0</v>
      </c>
      <c r="U120" s="9">
        <f t="shared" ref="U120:V120" si="46">U118+(U119*$J$16)</f>
        <v>0</v>
      </c>
      <c r="V120" s="9">
        <f t="shared" si="46"/>
        <v>0</v>
      </c>
    </row>
    <row r="121" spans="1:22" s="3" customFormat="1" ht="12.75">
      <c r="A121" s="87"/>
      <c r="B121" s="3" t="s">
        <v>225</v>
      </c>
      <c r="D121" s="3" t="s">
        <v>139</v>
      </c>
      <c r="H121" s="3" t="s">
        <v>71</v>
      </c>
      <c r="J121" s="9">
        <f t="shared" si="44"/>
        <v>775245.93405757379</v>
      </c>
      <c r="L121" s="9">
        <f t="shared" ref="L121:S121" si="47">L118+(L119*$J$17)</f>
        <v>-9.6583961486894945E-11</v>
      </c>
      <c r="M121" s="9">
        <f t="shared" si="47"/>
        <v>0</v>
      </c>
      <c r="N121" s="9">
        <f t="shared" si="47"/>
        <v>0</v>
      </c>
      <c r="O121" s="9">
        <f t="shared" si="47"/>
        <v>0</v>
      </c>
      <c r="P121" s="9">
        <f t="shared" si="47"/>
        <v>775245.9340575739</v>
      </c>
      <c r="Q121" s="9">
        <f t="shared" si="47"/>
        <v>0</v>
      </c>
      <c r="R121" s="9">
        <f t="shared" si="47"/>
        <v>0</v>
      </c>
      <c r="S121" s="9">
        <f t="shared" si="47"/>
        <v>0</v>
      </c>
      <c r="T121" s="9">
        <f t="shared" ref="T121:U121" si="48">T118+(T119*$J$17)</f>
        <v>0</v>
      </c>
      <c r="U121" s="9">
        <f t="shared" si="48"/>
        <v>0</v>
      </c>
      <c r="V121" s="9">
        <f t="shared" ref="V121" si="49">V118+(V119*$J$17)</f>
        <v>0</v>
      </c>
    </row>
    <row r="122" spans="1:22" s="3" customFormat="1" ht="12.75">
      <c r="A122" s="87"/>
    </row>
    <row r="123" spans="1:22" s="3" customFormat="1" ht="12.75">
      <c r="A123" s="87"/>
    </row>
    <row r="124" spans="1:22" s="3" customFormat="1" ht="12.75">
      <c r="A124" s="87"/>
      <c r="B124" s="17" t="s">
        <v>115</v>
      </c>
    </row>
    <row r="125" spans="1:22" s="3" customFormat="1" ht="12.75">
      <c r="A125" s="87"/>
    </row>
    <row r="126" spans="1:22" s="3" customFormat="1" ht="12.75">
      <c r="A126" s="87"/>
      <c r="B126" s="22" t="s">
        <v>140</v>
      </c>
      <c r="H126" s="3" t="s">
        <v>71</v>
      </c>
      <c r="J126" s="9">
        <f t="shared" ref="J126:J131" si="50">SUM(L126:T126)</f>
        <v>13345886.172005672</v>
      </c>
      <c r="L126" s="21">
        <f>'Overige opbrengsten'!L70</f>
        <v>0</v>
      </c>
      <c r="M126" s="21">
        <f>'Overige opbrengsten'!M70</f>
        <v>1253784.3078354821</v>
      </c>
      <c r="N126" s="9">
        <f>'Overige opbrengsten'!N70-'Overige opbrengsten'!U70</f>
        <v>2940941.7127272729</v>
      </c>
      <c r="O126" s="9">
        <f>'Overige opbrengsten'!O70-'Overige opbrengsten'!W70</f>
        <v>4062038</v>
      </c>
      <c r="P126" s="21">
        <f>'Overige opbrengsten'!P70</f>
        <v>0</v>
      </c>
      <c r="Q126" s="9">
        <f>'Overige opbrengsten'!Q70-'Overige opbrengsten'!V70</f>
        <v>5058704.5914429165</v>
      </c>
      <c r="R126" s="21">
        <f>'Overige opbrengsten'!R70</f>
        <v>0</v>
      </c>
      <c r="S126" s="21">
        <f>'Overige opbrengsten'!S70</f>
        <v>0</v>
      </c>
      <c r="T126" s="21">
        <f>'Overige opbrengsten'!U70</f>
        <v>30417.559999999987</v>
      </c>
      <c r="U126" s="9">
        <f>'Overige opbrengsten'!Q70</f>
        <v>5649272.759795581</v>
      </c>
      <c r="V126" s="9">
        <f>'Overige opbrengsten'!O70</f>
        <v>4062038</v>
      </c>
    </row>
    <row r="127" spans="1:22" s="3" customFormat="1" ht="12.75">
      <c r="A127" s="87"/>
      <c r="B127" s="22" t="s">
        <v>214</v>
      </c>
      <c r="H127" s="3" t="s">
        <v>71</v>
      </c>
      <c r="J127" s="9">
        <f t="shared" si="50"/>
        <v>3536591.8540025176</v>
      </c>
      <c r="L127" s="21">
        <f>'Overige opbrengsten'!L86</f>
        <v>0</v>
      </c>
      <c r="M127" s="21">
        <f>'Overige opbrengsten'!M86</f>
        <v>210000</v>
      </c>
      <c r="N127" s="9">
        <f>'Overige opbrengsten'!N86-'Overige opbrengsten'!U86</f>
        <v>594271.85454545461</v>
      </c>
      <c r="O127" s="9">
        <f>'Overige opbrengsten'!O86-'Overige opbrengsten'!W86</f>
        <v>1260633</v>
      </c>
      <c r="P127" s="21">
        <f>'Overige opbrengsten'!P86</f>
        <v>0</v>
      </c>
      <c r="Q127" s="9">
        <f>'Overige opbrengsten'!Q86-'Overige opbrengsten'!V86</f>
        <v>1471686.9994570634</v>
      </c>
      <c r="R127" s="21">
        <f>'Overige opbrengsten'!R86</f>
        <v>0</v>
      </c>
      <c r="S127" s="21">
        <f>'Overige opbrengsten'!S86</f>
        <v>0</v>
      </c>
      <c r="T127" s="21">
        <f>'Overige opbrengsten'!U86</f>
        <v>0</v>
      </c>
      <c r="U127" s="9">
        <f>'Overige opbrengsten'!Q86</f>
        <v>1794835.879706675</v>
      </c>
      <c r="V127" s="9">
        <f>'Overige opbrengsten'!O86</f>
        <v>1260633</v>
      </c>
    </row>
    <row r="128" spans="1:22" s="3" customFormat="1" ht="12.75">
      <c r="A128" s="87"/>
      <c r="B128" s="3" t="s">
        <v>116</v>
      </c>
      <c r="H128" s="3" t="s">
        <v>71</v>
      </c>
      <c r="J128" s="9">
        <f t="shared" si="50"/>
        <v>0</v>
      </c>
      <c r="L128" s="11"/>
      <c r="M128" s="11"/>
      <c r="N128" s="11"/>
      <c r="O128" s="11"/>
      <c r="P128" s="11"/>
      <c r="Q128" s="11"/>
      <c r="R128" s="11"/>
      <c r="S128" s="11"/>
      <c r="T128" s="11"/>
      <c r="U128" s="11"/>
      <c r="V128" s="11"/>
    </row>
    <row r="129" spans="1:25" s="3" customFormat="1" ht="12.75">
      <c r="A129" s="87"/>
      <c r="B129" s="3" t="s">
        <v>117</v>
      </c>
      <c r="H129" s="3" t="s">
        <v>71</v>
      </c>
      <c r="J129" s="9">
        <f t="shared" si="50"/>
        <v>68567.5</v>
      </c>
      <c r="L129" s="21">
        <f>'Overige opbrengsten'!L118</f>
        <v>0</v>
      </c>
      <c r="M129" s="21">
        <f>'Overige opbrengsten'!M118</f>
        <v>0</v>
      </c>
      <c r="N129" s="9">
        <f>'Overige opbrengsten'!N118-'Overige opbrengsten'!U118</f>
        <v>0</v>
      </c>
      <c r="O129" s="9">
        <f>'Overige opbrengsten'!O118-'Overige opbrengsten'!W118</f>
        <v>0</v>
      </c>
      <c r="P129" s="21">
        <f>'Overige opbrengsten'!P118</f>
        <v>3480.5899999999997</v>
      </c>
      <c r="Q129" s="9">
        <f>'Overige opbrengsten'!Q118-'Overige opbrengsten'!V118</f>
        <v>65086.909999999996</v>
      </c>
      <c r="R129" s="21">
        <f>'Overige opbrengsten'!R118</f>
        <v>0</v>
      </c>
      <c r="S129" s="21">
        <f>'Overige opbrengsten'!S118</f>
        <v>0</v>
      </c>
      <c r="T129" s="21">
        <f>'Overige opbrengsten'!U118</f>
        <v>0</v>
      </c>
      <c r="U129" s="9">
        <f>'Overige opbrengsten'!Q118</f>
        <v>65086.909999999996</v>
      </c>
      <c r="V129" s="9">
        <f>'Overige opbrengsten'!O118</f>
        <v>0</v>
      </c>
    </row>
    <row r="130" spans="1:25" s="3" customFormat="1" ht="12.75">
      <c r="A130" s="87"/>
      <c r="B130" s="3" t="s">
        <v>118</v>
      </c>
      <c r="H130" s="3" t="s">
        <v>71</v>
      </c>
      <c r="J130" s="9">
        <f t="shared" si="50"/>
        <v>0</v>
      </c>
      <c r="L130" s="11"/>
      <c r="M130" s="11"/>
      <c r="N130" s="11"/>
      <c r="O130" s="11"/>
      <c r="P130" s="11"/>
      <c r="Q130" s="11"/>
      <c r="R130" s="11"/>
      <c r="S130" s="11"/>
      <c r="T130" s="11"/>
      <c r="U130" s="11"/>
      <c r="V130" s="11"/>
    </row>
    <row r="131" spans="1:25" s="3" customFormat="1" ht="12.75">
      <c r="A131" s="87"/>
      <c r="B131" s="22" t="s">
        <v>119</v>
      </c>
      <c r="H131" s="3" t="s">
        <v>71</v>
      </c>
      <c r="J131" s="9">
        <f t="shared" si="50"/>
        <v>9877861.8180031534</v>
      </c>
      <c r="L131" s="9">
        <f>(L126-L127)+SUM(L128:L130)</f>
        <v>0</v>
      </c>
      <c r="M131" s="9">
        <f t="shared" ref="M131:R131" si="51">(M126-M127)+SUM(M128:M130)</f>
        <v>1043784.3078354821</v>
      </c>
      <c r="N131" s="9">
        <f t="shared" si="51"/>
        <v>2346669.8581818184</v>
      </c>
      <c r="O131" s="9">
        <f t="shared" si="51"/>
        <v>2801405</v>
      </c>
      <c r="P131" s="9">
        <f t="shared" si="51"/>
        <v>3480.5899999999997</v>
      </c>
      <c r="Q131" s="9">
        <f t="shared" si="51"/>
        <v>3652104.5019858535</v>
      </c>
      <c r="R131" s="9">
        <f t="shared" si="51"/>
        <v>0</v>
      </c>
      <c r="S131" s="9">
        <f>(S126-S127)+SUM(S128:S130)</f>
        <v>0</v>
      </c>
      <c r="T131" s="9">
        <f t="shared" ref="T131:U131" si="52">(T126-T127)+SUM(T128:T130)</f>
        <v>30417.559999999987</v>
      </c>
      <c r="U131" s="9">
        <f t="shared" si="52"/>
        <v>3919523.790088906</v>
      </c>
      <c r="V131" s="9">
        <f t="shared" ref="V131" si="53">(V126-V127)+SUM(V128:V130)</f>
        <v>2801405</v>
      </c>
    </row>
    <row r="132" spans="1:25" s="3" customFormat="1" ht="12.75">
      <c r="A132" s="87"/>
      <c r="S132" s="140"/>
    </row>
    <row r="133" spans="1:25" s="3" customFormat="1" ht="12.75">
      <c r="A133" s="87"/>
    </row>
    <row r="134" spans="1:25" s="3" customFormat="1" ht="12.75">
      <c r="A134" s="87"/>
      <c r="B134" s="17" t="s">
        <v>120</v>
      </c>
    </row>
    <row r="135" spans="1:25" s="3" customFormat="1" ht="12.75">
      <c r="A135" s="87"/>
    </row>
    <row r="136" spans="1:25" s="3" customFormat="1" ht="12.75">
      <c r="A136" s="87"/>
      <c r="B136" s="3" t="s">
        <v>169</v>
      </c>
      <c r="D136" s="22" t="s">
        <v>175</v>
      </c>
      <c r="H136" s="3" t="s">
        <v>71</v>
      </c>
      <c r="J136" s="9">
        <f>SUM(L136:T136)</f>
        <v>1000751562.175869</v>
      </c>
      <c r="L136" s="9">
        <f>L112-L131</f>
        <v>5905712.8264779747</v>
      </c>
      <c r="M136" s="9">
        <f>M112-M131</f>
        <v>25659834.565828182</v>
      </c>
      <c r="N136" s="9">
        <f t="shared" ref="N136:S136" si="54">N112-N131</f>
        <v>348495384.41869366</v>
      </c>
      <c r="O136" s="9">
        <f t="shared" si="54"/>
        <v>307573797.98038512</v>
      </c>
      <c r="P136" s="9">
        <f t="shared" si="54"/>
        <v>4183575.1662596446</v>
      </c>
      <c r="Q136" s="9">
        <f t="shared" si="54"/>
        <v>265625001.29586321</v>
      </c>
      <c r="R136" s="9">
        <f t="shared" si="54"/>
        <v>20015236.263546497</v>
      </c>
      <c r="S136" s="9">
        <f t="shared" si="54"/>
        <v>12984157.204834137</v>
      </c>
      <c r="T136" s="9">
        <f t="shared" ref="T136:U136" si="55">T112-T131</f>
        <v>10308862.453980597</v>
      </c>
      <c r="U136" s="9">
        <f t="shared" si="55"/>
        <v>273600606.82312274</v>
      </c>
      <c r="V136" s="9">
        <f t="shared" ref="V136" si="56">V112-V131</f>
        <v>308374694.78650188</v>
      </c>
      <c r="Y136" s="79" t="s">
        <v>271</v>
      </c>
    </row>
    <row r="137" spans="1:25" s="3" customFormat="1" ht="12.75">
      <c r="A137" s="87"/>
      <c r="B137" s="3" t="s">
        <v>172</v>
      </c>
      <c r="D137" s="22" t="s">
        <v>222</v>
      </c>
      <c r="H137" s="3" t="s">
        <v>71</v>
      </c>
      <c r="J137" s="9">
        <f>SUM(L137:T137)</f>
        <v>840610798.49010861</v>
      </c>
      <c r="L137" s="9">
        <f>L113-L131</f>
        <v>5005546.1645129137</v>
      </c>
      <c r="M137" s="9">
        <f t="shared" ref="M137:S137" si="57">M113-M131</f>
        <v>21724085.811463889</v>
      </c>
      <c r="N137" s="9">
        <f t="shared" si="57"/>
        <v>296794196.51485658</v>
      </c>
      <c r="O137" s="9">
        <f t="shared" si="57"/>
        <v>254500291.26700595</v>
      </c>
      <c r="P137" s="9">
        <f t="shared" si="57"/>
        <v>3696941.5862952676</v>
      </c>
      <c r="Q137" s="9">
        <f>Q113-Q131</f>
        <v>222534512.84635231</v>
      </c>
      <c r="R137" s="9">
        <f t="shared" si="57"/>
        <v>16309695.078277543</v>
      </c>
      <c r="S137" s="9">
        <f t="shared" si="57"/>
        <v>11458725.484655499</v>
      </c>
      <c r="T137" s="9">
        <f t="shared" ref="T137:U137" si="58">T113-T131</f>
        <v>8586803.7366886251</v>
      </c>
      <c r="U137" s="9">
        <f t="shared" si="58"/>
        <v>229119141.20944285</v>
      </c>
      <c r="V137" s="9">
        <f t="shared" ref="V137" si="59">V113-V131</f>
        <v>255167429.10813582</v>
      </c>
      <c r="Y137" s="79" t="s">
        <v>271</v>
      </c>
    </row>
    <row r="138" spans="1:25" s="3" customFormat="1" ht="12.75">
      <c r="A138" s="87"/>
      <c r="B138" s="3" t="s">
        <v>209</v>
      </c>
      <c r="D138" s="22" t="s">
        <v>221</v>
      </c>
      <c r="H138" s="3" t="s">
        <v>71</v>
      </c>
      <c r="J138" s="9">
        <f>SUM(L138:T138)</f>
        <v>1182244427.6863976</v>
      </c>
      <c r="L138" s="9">
        <f>L114-L131</f>
        <v>6925901.7100383788</v>
      </c>
      <c r="M138" s="9">
        <f t="shared" ref="M138:S138" si="60">M114-M131</f>
        <v>30120349.820774384</v>
      </c>
      <c r="N138" s="9">
        <f t="shared" si="60"/>
        <v>407090064.04304242</v>
      </c>
      <c r="O138" s="9">
        <f t="shared" si="60"/>
        <v>367723772.25554818</v>
      </c>
      <c r="P138" s="9">
        <f t="shared" si="60"/>
        <v>4735093.2235526051</v>
      </c>
      <c r="Q138" s="9">
        <f t="shared" si="60"/>
        <v>314460888.20530885</v>
      </c>
      <c r="R138" s="9">
        <f t="shared" si="60"/>
        <v>24214849.606851313</v>
      </c>
      <c r="S138" s="9">
        <f t="shared" si="60"/>
        <v>14712979.821036592</v>
      </c>
      <c r="T138" s="9">
        <f t="shared" ref="T138:U138" si="61">T114-T131</f>
        <v>12260529.000244832</v>
      </c>
      <c r="U138" s="9">
        <f t="shared" si="61"/>
        <v>324012934.51862657</v>
      </c>
      <c r="V138" s="9">
        <f t="shared" ref="V138" si="62">V114-V131</f>
        <v>368676262.55531669</v>
      </c>
      <c r="Y138" s="79" t="s">
        <v>271</v>
      </c>
    </row>
    <row r="139" spans="1:25" s="3" customFormat="1" ht="12.75">
      <c r="A139" s="87"/>
      <c r="B139" s="3" t="s">
        <v>210</v>
      </c>
      <c r="D139" s="22" t="s">
        <v>219</v>
      </c>
      <c r="H139" s="3" t="s">
        <v>71</v>
      </c>
      <c r="J139" s="9">
        <f>SUM(L139:T139)</f>
        <v>1043455765.8254051</v>
      </c>
      <c r="L139" s="9">
        <f>L115-L131</f>
        <v>6145757.2696686583</v>
      </c>
      <c r="M139" s="9">
        <f t="shared" ref="M139:S139" si="63">M115-M131</f>
        <v>26709367.566991996</v>
      </c>
      <c r="N139" s="9">
        <f t="shared" si="63"/>
        <v>362282367.85971689</v>
      </c>
      <c r="O139" s="9">
        <f t="shared" si="63"/>
        <v>321726733.10395288</v>
      </c>
      <c r="P139" s="9">
        <f t="shared" si="63"/>
        <v>4313344.1209168117</v>
      </c>
      <c r="Q139" s="9">
        <f t="shared" si="63"/>
        <v>277115798.21573275</v>
      </c>
      <c r="R139" s="9">
        <f t="shared" si="63"/>
        <v>21003380.579618219</v>
      </c>
      <c r="S139" s="9">
        <f t="shared" si="63"/>
        <v>13390938.996881772</v>
      </c>
      <c r="T139" s="9">
        <f t="shared" ref="T139:U139" si="64">T115-T131</f>
        <v>10768078.111925123</v>
      </c>
      <c r="U139" s="9">
        <f t="shared" si="64"/>
        <v>285462330.98677069</v>
      </c>
      <c r="V139" s="9">
        <f t="shared" ref="V139" si="65">V115-V131</f>
        <v>322563298.96739948</v>
      </c>
      <c r="Y139" s="79" t="s">
        <v>271</v>
      </c>
    </row>
    <row r="140" spans="1:25" s="3" customFormat="1" ht="12.75">
      <c r="A140" s="87"/>
    </row>
    <row r="141" spans="1:25" s="3" customFormat="1" ht="12.75">
      <c r="A141" s="87"/>
      <c r="B141" s="38" t="s">
        <v>232</v>
      </c>
      <c r="L141" s="8" t="s">
        <v>357</v>
      </c>
      <c r="M141" s="8" t="s">
        <v>59</v>
      </c>
      <c r="N141" s="8" t="s">
        <v>2</v>
      </c>
      <c r="O141" s="8" t="s">
        <v>3</v>
      </c>
      <c r="P141" s="8" t="s">
        <v>4</v>
      </c>
      <c r="Q141" s="8" t="s">
        <v>5</v>
      </c>
      <c r="R141" s="8" t="s">
        <v>6</v>
      </c>
    </row>
    <row r="142" spans="1:25" s="3" customFormat="1" ht="12.75">
      <c r="A142" s="87"/>
      <c r="C142" s="23"/>
      <c r="D142" s="23"/>
    </row>
    <row r="143" spans="1:25" s="3" customFormat="1" ht="12.75">
      <c r="A143" s="87"/>
      <c r="B143" s="25" t="s">
        <v>233</v>
      </c>
      <c r="D143" s="26" t="s">
        <v>131</v>
      </c>
      <c r="H143" s="3" t="s">
        <v>71</v>
      </c>
      <c r="J143" s="9">
        <f t="shared" ref="J143:J144" si="66">SUM(L143:R143)</f>
        <v>825805.45149611111</v>
      </c>
      <c r="L143" s="9">
        <f>L120</f>
        <v>-1.4487594223034242E-10</v>
      </c>
      <c r="M143" s="9">
        <f>M120</f>
        <v>0</v>
      </c>
      <c r="N143" s="9">
        <f>N120+S120</f>
        <v>0</v>
      </c>
      <c r="O143" s="9">
        <f>O120+T120</f>
        <v>0</v>
      </c>
      <c r="P143" s="9">
        <f>P120</f>
        <v>825805.45149611123</v>
      </c>
      <c r="Q143" s="9">
        <f>Q120</f>
        <v>0</v>
      </c>
      <c r="R143" s="9">
        <f>R119</f>
        <v>0</v>
      </c>
    </row>
    <row r="144" spans="1:25" s="3" customFormat="1" ht="12.75">
      <c r="A144" s="87"/>
      <c r="B144" s="25" t="s">
        <v>233</v>
      </c>
      <c r="D144" s="26" t="s">
        <v>132</v>
      </c>
      <c r="H144" s="3" t="s">
        <v>71</v>
      </c>
      <c r="J144" s="9">
        <f t="shared" si="66"/>
        <v>775245.93405757379</v>
      </c>
      <c r="L144" s="9">
        <f>L121</f>
        <v>-9.6583961486894945E-11</v>
      </c>
      <c r="M144" s="9">
        <f>M121</f>
        <v>0</v>
      </c>
      <c r="N144" s="9">
        <f>N121+S121</f>
        <v>0</v>
      </c>
      <c r="O144" s="9">
        <f>O121+T121</f>
        <v>0</v>
      </c>
      <c r="P144" s="9">
        <f>P121</f>
        <v>775245.9340575739</v>
      </c>
      <c r="Q144" s="9">
        <f>Q121</f>
        <v>0</v>
      </c>
      <c r="R144" s="9">
        <f>R120</f>
        <v>0</v>
      </c>
    </row>
    <row r="145" spans="1:18" s="3" customFormat="1" ht="12.75">
      <c r="A145" s="87"/>
    </row>
    <row r="146" spans="1:18" s="3" customFormat="1" ht="12.75">
      <c r="A146" s="87"/>
      <c r="B146" s="25" t="s">
        <v>143</v>
      </c>
      <c r="D146" s="26" t="s">
        <v>131</v>
      </c>
      <c r="H146" s="3" t="s">
        <v>71</v>
      </c>
      <c r="J146" s="9">
        <f t="shared" ref="J146:J147" si="67">SUM(L146:R146)</f>
        <v>1000751562.175869</v>
      </c>
      <c r="L146" s="9">
        <f>L136</f>
        <v>5905712.8264779747</v>
      </c>
      <c r="M146" s="9">
        <f>M136</f>
        <v>25659834.565828182</v>
      </c>
      <c r="N146" s="9">
        <f>N136+S136</f>
        <v>361479541.62352782</v>
      </c>
      <c r="O146" s="9">
        <f>O136+T136</f>
        <v>317882660.43436575</v>
      </c>
      <c r="P146" s="9">
        <f t="shared" ref="P146:R147" si="68">P136</f>
        <v>4183575.1662596446</v>
      </c>
      <c r="Q146" s="9">
        <f>Q136</f>
        <v>265625001.29586321</v>
      </c>
      <c r="R146" s="9">
        <f t="shared" si="68"/>
        <v>20015236.263546497</v>
      </c>
    </row>
    <row r="147" spans="1:18" s="3" customFormat="1" ht="12.75">
      <c r="A147" s="87"/>
      <c r="B147" s="25" t="s">
        <v>143</v>
      </c>
      <c r="D147" s="26" t="s">
        <v>132</v>
      </c>
      <c r="H147" s="3" t="s">
        <v>71</v>
      </c>
      <c r="J147" s="9">
        <f t="shared" si="67"/>
        <v>840610798.49010861</v>
      </c>
      <c r="L147" s="9">
        <f>L137</f>
        <v>5005546.1645129137</v>
      </c>
      <c r="M147" s="9">
        <f>M137</f>
        <v>21724085.811463889</v>
      </c>
      <c r="N147" s="9">
        <f>N137+S137</f>
        <v>308252921.99951208</v>
      </c>
      <c r="O147" s="9">
        <f>O137+T137</f>
        <v>263087095.00369456</v>
      </c>
      <c r="P147" s="9">
        <f t="shared" si="68"/>
        <v>3696941.5862952676</v>
      </c>
      <c r="Q147" s="9">
        <f t="shared" si="68"/>
        <v>222534512.84635231</v>
      </c>
      <c r="R147" s="9">
        <f t="shared" si="68"/>
        <v>16309695.078277543</v>
      </c>
    </row>
    <row r="148" spans="1:18" s="3" customFormat="1" ht="12.75">
      <c r="A148" s="87"/>
      <c r="B148" s="25"/>
      <c r="D148" s="26"/>
    </row>
    <row r="149" spans="1:18" s="3" customFormat="1" ht="12.75">
      <c r="A149" s="87"/>
      <c r="B149" s="25"/>
      <c r="D149" s="26"/>
    </row>
    <row r="150" spans="1:18" s="3" customFormat="1" ht="12.75">
      <c r="A150" s="87"/>
      <c r="B150" s="38" t="s">
        <v>238</v>
      </c>
      <c r="L150" s="8" t="s">
        <v>357</v>
      </c>
      <c r="M150" s="8" t="s">
        <v>59</v>
      </c>
      <c r="N150" s="8" t="s">
        <v>2</v>
      </c>
      <c r="O150" s="8" t="s">
        <v>3</v>
      </c>
      <c r="P150" s="8" t="s">
        <v>4</v>
      </c>
      <c r="Q150" s="8" t="s">
        <v>5</v>
      </c>
      <c r="R150" s="8" t="s">
        <v>6</v>
      </c>
    </row>
    <row r="151" spans="1:18" s="3" customFormat="1" ht="12.75">
      <c r="A151" s="87"/>
      <c r="B151" s="38"/>
    </row>
    <row r="152" spans="1:18" s="3" customFormat="1" ht="12.75">
      <c r="A152" s="87"/>
      <c r="B152" s="25" t="s">
        <v>143</v>
      </c>
      <c r="D152" s="26" t="s">
        <v>134</v>
      </c>
      <c r="H152" s="3" t="s">
        <v>71</v>
      </c>
      <c r="J152" s="9">
        <f t="shared" ref="J152:J156" si="69">SUM(L152:R152)</f>
        <v>1192748964.2994838</v>
      </c>
      <c r="L152" s="9">
        <f>L138</f>
        <v>6925901.7100383788</v>
      </c>
      <c r="M152" s="9">
        <f>M138</f>
        <v>30120349.820774384</v>
      </c>
      <c r="N152" s="9">
        <f>N138+S138</f>
        <v>421803043.864079</v>
      </c>
      <c r="O152" s="9">
        <f>V138+T138</f>
        <v>380936791.55556154</v>
      </c>
      <c r="P152" s="9">
        <f>P138</f>
        <v>4735093.2235526051</v>
      </c>
      <c r="Q152" s="9">
        <f>U138</f>
        <v>324012934.51862657</v>
      </c>
      <c r="R152" s="9">
        <f>R138</f>
        <v>24214849.606851313</v>
      </c>
    </row>
    <row r="153" spans="1:18" s="3" customFormat="1" ht="12.75">
      <c r="A153" s="87"/>
      <c r="B153" s="25"/>
      <c r="D153" s="26"/>
    </row>
    <row r="154" spans="1:18" s="3" customFormat="1" ht="12.75">
      <c r="A154" s="87"/>
      <c r="B154" s="38" t="s">
        <v>236</v>
      </c>
      <c r="L154" s="8" t="s">
        <v>357</v>
      </c>
      <c r="M154" s="8" t="s">
        <v>59</v>
      </c>
      <c r="N154" s="8" t="s">
        <v>2</v>
      </c>
      <c r="O154" s="8" t="s">
        <v>3</v>
      </c>
      <c r="P154" s="8" t="s">
        <v>4</v>
      </c>
      <c r="Q154" s="8" t="s">
        <v>5</v>
      </c>
      <c r="R154" s="8" t="s">
        <v>6</v>
      </c>
    </row>
    <row r="155" spans="1:18" s="3" customFormat="1" ht="12.75">
      <c r="A155" s="87"/>
      <c r="B155" s="38"/>
    </row>
    <row r="156" spans="1:18" s="3" customFormat="1" ht="12.75">
      <c r="A156" s="87"/>
      <c r="B156" s="3" t="s">
        <v>152</v>
      </c>
      <c r="D156" s="3" t="s">
        <v>135</v>
      </c>
      <c r="H156" s="3" t="s">
        <v>71</v>
      </c>
      <c r="J156" s="9">
        <f t="shared" si="69"/>
        <v>1052638864.4598897</v>
      </c>
      <c r="L156" s="9">
        <f>L139</f>
        <v>6145757.2696686583</v>
      </c>
      <c r="M156" s="9">
        <f>M139</f>
        <v>26709367.566991996</v>
      </c>
      <c r="N156" s="9">
        <f>N139+S139</f>
        <v>375673306.85659868</v>
      </c>
      <c r="O156" s="9">
        <f>V139+T139</f>
        <v>333331377.0793246</v>
      </c>
      <c r="P156" s="9">
        <f>P139</f>
        <v>4313344.1209168117</v>
      </c>
      <c r="Q156" s="9">
        <f>U139</f>
        <v>285462330.98677069</v>
      </c>
      <c r="R156" s="9">
        <f>R139</f>
        <v>21003380.579618219</v>
      </c>
    </row>
    <row r="157" spans="1:18" s="3" customFormat="1" ht="12.75"/>
    <row r="158" spans="1:18" s="3" customFormat="1" ht="12.75"/>
    <row r="159" spans="1:18" s="3" customFormat="1" ht="12.75"/>
    <row r="160" spans="1:18" s="4" customFormat="1" ht="12.75">
      <c r="B160" s="4" t="s">
        <v>122</v>
      </c>
    </row>
    <row r="161" spans="1:22" s="3" customFormat="1" ht="12.75"/>
    <row r="162" spans="1:22" s="3" customFormat="1" ht="12.75">
      <c r="B162" s="17" t="s">
        <v>91</v>
      </c>
    </row>
    <row r="163" spans="1:22" s="3" customFormat="1" ht="12.75"/>
    <row r="164" spans="1:22" s="3" customFormat="1" ht="12.75">
      <c r="A164" s="87"/>
      <c r="B164" s="17" t="s">
        <v>92</v>
      </c>
    </row>
    <row r="165" spans="1:22" s="3" customFormat="1" ht="12.75">
      <c r="A165" s="87"/>
      <c r="B165" s="3" t="s">
        <v>93</v>
      </c>
      <c r="H165" s="3" t="s">
        <v>72</v>
      </c>
      <c r="J165" s="9">
        <f>SUM(L165:T165)</f>
        <v>0</v>
      </c>
      <c r="L165" s="21">
        <f>'GAW IMPORT'!L76</f>
        <v>0</v>
      </c>
      <c r="M165" s="21">
        <f>'GAW IMPORT'!M76</f>
        <v>0</v>
      </c>
      <c r="N165" s="21">
        <f>'GAW IMPORT'!N76</f>
        <v>0</v>
      </c>
      <c r="O165" s="21">
        <f>'GAW IMPORT'!O76</f>
        <v>0</v>
      </c>
      <c r="P165" s="21">
        <f>'GAW IMPORT'!P76</f>
        <v>0</v>
      </c>
      <c r="Q165" s="21">
        <f>'GAW IMPORT'!Q76</f>
        <v>0</v>
      </c>
      <c r="R165" s="21">
        <f>'GAW IMPORT'!R76</f>
        <v>0</v>
      </c>
      <c r="S165" s="21">
        <f>'GAW IMPORT'!S76</f>
        <v>0</v>
      </c>
      <c r="T165" s="21">
        <f>'GAW IMPORT'!U76</f>
        <v>0</v>
      </c>
      <c r="U165" s="21">
        <f>'GAW IMPORT'!V76</f>
        <v>0</v>
      </c>
      <c r="V165" s="21">
        <f>'GAW IMPORT'!W76</f>
        <v>0</v>
      </c>
    </row>
    <row r="166" spans="1:22" s="3" customFormat="1" ht="12.75">
      <c r="A166" s="87"/>
      <c r="B166" s="3" t="s">
        <v>94</v>
      </c>
      <c r="H166" s="3" t="s">
        <v>72</v>
      </c>
      <c r="J166" s="9">
        <f t="shared" ref="J166:J167" si="70">SUM(L166:T166)</f>
        <v>389324145.41296834</v>
      </c>
      <c r="L166" s="21">
        <f>'GAW IMPORT'!L77</f>
        <v>2464822.0377464513</v>
      </c>
      <c r="M166" s="21">
        <f>'GAW IMPORT'!M77</f>
        <v>10282944.902132347</v>
      </c>
      <c r="N166" s="21">
        <f>'GAW IMPORT'!N77</f>
        <v>136063967.57866567</v>
      </c>
      <c r="O166" s="21">
        <f>'GAW IMPORT'!O77</f>
        <v>121797538.39501086</v>
      </c>
      <c r="P166" s="21">
        <f>'GAW IMPORT'!P77</f>
        <v>1942661.401666468</v>
      </c>
      <c r="Q166" s="21">
        <f>'GAW IMPORT'!Q77</f>
        <v>102714336.58652472</v>
      </c>
      <c r="R166" s="21">
        <f>'GAW IMPORT'!R77</f>
        <v>4035452.6513477503</v>
      </c>
      <c r="S166" s="21">
        <f>'GAW IMPORT'!S77</f>
        <v>6186793.0661779856</v>
      </c>
      <c r="T166" s="21">
        <f>'GAW IMPORT'!U77</f>
        <v>3835628.7936961167</v>
      </c>
      <c r="U166" s="21">
        <f>'GAW IMPORT'!V77</f>
        <v>105728368.01119</v>
      </c>
      <c r="V166" s="21">
        <f>'GAW IMPORT'!W77</f>
        <v>122162882.19926974</v>
      </c>
    </row>
    <row r="167" spans="1:22" s="3" customFormat="1" ht="12.75">
      <c r="A167" s="87"/>
      <c r="B167" s="3" t="s">
        <v>95</v>
      </c>
      <c r="H167" s="3" t="s">
        <v>72</v>
      </c>
      <c r="J167" s="9">
        <f t="shared" si="70"/>
        <v>5830568736.8179502</v>
      </c>
      <c r="L167" s="21">
        <f>'GAW IMPORT'!L78</f>
        <v>21453586.048570558</v>
      </c>
      <c r="M167" s="21">
        <f>'GAW IMPORT'!M78</f>
        <v>97739098.532304555</v>
      </c>
      <c r="N167" s="21">
        <f>'GAW IMPORT'!N78</f>
        <v>1929462483.1916583</v>
      </c>
      <c r="O167" s="21">
        <f>'GAW IMPORT'!O78</f>
        <v>2162838186.6876178</v>
      </c>
      <c r="P167" s="21">
        <f>'GAW IMPORT'!P78</f>
        <v>9337929.9568920098</v>
      </c>
      <c r="Q167" s="21">
        <f>'GAW IMPORT'!Q78</f>
        <v>1431581394.7669728</v>
      </c>
      <c r="R167" s="21">
        <f>'GAW IMPORT'!R78</f>
        <v>72887761.352300629</v>
      </c>
      <c r="S167" s="21">
        <f>'GAW IMPORT'!S78</f>
        <v>50876953.822744645</v>
      </c>
      <c r="T167" s="21">
        <f>'GAW IMPORT'!U78</f>
        <v>54391342.458888918</v>
      </c>
      <c r="U167" s="21">
        <f>'GAW IMPORT'!V78</f>
        <v>1473589467.3903992</v>
      </c>
      <c r="V167" s="21">
        <f>'GAW IMPORT'!W78</f>
        <v>2169325834.4802861</v>
      </c>
    </row>
    <row r="168" spans="1:22" s="3" customFormat="1" ht="12.75">
      <c r="A168" s="87"/>
    </row>
    <row r="169" spans="1:22" s="3" customFormat="1" ht="12.75">
      <c r="A169" s="87"/>
      <c r="B169" s="17" t="s">
        <v>96</v>
      </c>
    </row>
    <row r="170" spans="1:22" s="3" customFormat="1" ht="12.75">
      <c r="A170" s="87"/>
      <c r="B170" s="3" t="s">
        <v>97</v>
      </c>
      <c r="H170" s="3" t="s">
        <v>72</v>
      </c>
      <c r="J170" s="9">
        <f>SUM(L170:T170)</f>
        <v>564104761.39360154</v>
      </c>
      <c r="L170" s="21">
        <f>'GAW IMPORT'!L81</f>
        <v>2933540.8299999996</v>
      </c>
      <c r="M170" s="21">
        <f>'GAW IMPORT'!M81</f>
        <v>13559004.601679137</v>
      </c>
      <c r="N170" s="21">
        <f>'GAW IMPORT'!N81</f>
        <v>188369394.39301234</v>
      </c>
      <c r="O170" s="21">
        <f>'GAW IMPORT'!O81</f>
        <v>165071573.97249997</v>
      </c>
      <c r="P170" s="21">
        <f>'GAW IMPORT'!P81</f>
        <v>1182575.9099999997</v>
      </c>
      <c r="Q170" s="21">
        <f>'GAW IMPORT'!Q81</f>
        <v>178109375.14175653</v>
      </c>
      <c r="R170" s="21">
        <f>'GAW IMPORT'!R81</f>
        <v>5827422.8703785753</v>
      </c>
      <c r="S170" s="21">
        <f>'GAW IMPORT'!S81</f>
        <v>3602427.3792749993</v>
      </c>
      <c r="T170" s="21">
        <f>'GAW IMPORT'!U81</f>
        <v>5449446.2950000055</v>
      </c>
      <c r="U170" s="21">
        <f>'GAW IMPORT'!V81</f>
        <v>183014835.28539914</v>
      </c>
      <c r="V170" s="21">
        <f>'GAW IMPORT'!W81</f>
        <v>164334738.97249997</v>
      </c>
    </row>
    <row r="171" spans="1:22" s="3" customFormat="1" ht="12.75">
      <c r="A171" s="87"/>
      <c r="B171" s="3" t="s">
        <v>87</v>
      </c>
      <c r="H171" s="3" t="s">
        <v>72</v>
      </c>
      <c r="J171" s="9">
        <f t="shared" ref="J171:J172" si="71">SUM(L171:T171)</f>
        <v>170090916.48171443</v>
      </c>
      <c r="L171" s="21">
        <f>'GAW IMPORT'!L82</f>
        <v>941284.08031690284</v>
      </c>
      <c r="M171" s="21">
        <f>'GAW IMPORT'!M82</f>
        <v>5043147.1487070229</v>
      </c>
      <c r="N171" s="21">
        <f>'GAW IMPORT'!N82</f>
        <v>69195827.505268976</v>
      </c>
      <c r="O171" s="21">
        <f>'GAW IMPORT'!O82</f>
        <v>38070765.994870737</v>
      </c>
      <c r="P171" s="21">
        <f>'GAW IMPORT'!P82</f>
        <v>789843.13188888284</v>
      </c>
      <c r="Q171" s="21">
        <f>'GAW IMPORT'!Q82</f>
        <v>46159659.713606581</v>
      </c>
      <c r="R171" s="21">
        <f>'GAW IMPORT'!R82</f>
        <v>5316911.3393869009</v>
      </c>
      <c r="S171" s="21">
        <f>'GAW IMPORT'!S82</f>
        <v>2914749.2899352545</v>
      </c>
      <c r="T171" s="21">
        <f>'GAW IMPORT'!U82</f>
        <v>1658728.2777331586</v>
      </c>
      <c r="U171" s="21">
        <f>'GAW IMPORT'!V82</f>
        <v>47394067.309894077</v>
      </c>
      <c r="V171" s="21">
        <f>'GAW IMPORT'!W82</f>
        <v>38111860.130200408</v>
      </c>
    </row>
    <row r="172" spans="1:22" s="3" customFormat="1" ht="12.75">
      <c r="A172" s="87"/>
      <c r="B172" s="3" t="s">
        <v>98</v>
      </c>
      <c r="H172" s="3" t="s">
        <v>72</v>
      </c>
      <c r="J172" s="9">
        <f t="shared" si="71"/>
        <v>5113658648.8537121</v>
      </c>
      <c r="L172" s="21">
        <f>'GAW IMPORT'!L83</f>
        <v>39765270.563371629</v>
      </c>
      <c r="M172" s="21">
        <f>'GAW IMPORT'!M83</f>
        <v>159482508.38992763</v>
      </c>
      <c r="N172" s="21">
        <f>'GAW IMPORT'!N83</f>
        <v>1596622978.6561651</v>
      </c>
      <c r="O172" s="21">
        <f>'GAW IMPORT'!O83</f>
        <v>1474974941.9621089</v>
      </c>
      <c r="P172" s="21">
        <f>'GAW IMPORT'!P83</f>
        <v>22462762.76644462</v>
      </c>
      <c r="Q172" s="21">
        <f>'GAW IMPORT'!Q83</f>
        <v>1531060777.1448343</v>
      </c>
      <c r="R172" s="21">
        <f>'GAW IMPORT'!R83</f>
        <v>177540386.75777563</v>
      </c>
      <c r="S172" s="21">
        <f>'GAW IMPORT'!S83</f>
        <v>48166851.756659724</v>
      </c>
      <c r="T172" s="21">
        <f>'GAW IMPORT'!U83</f>
        <v>63582170.85642492</v>
      </c>
      <c r="U172" s="21">
        <f>'GAW IMPORT'!V83</f>
        <v>1585038027.295145</v>
      </c>
      <c r="V172" s="21">
        <f>'GAW IMPORT'!W83</f>
        <v>1476510968.9636188</v>
      </c>
    </row>
    <row r="173" spans="1:22" s="3" customFormat="1" ht="12.75">
      <c r="A173" s="87"/>
    </row>
    <row r="174" spans="1:22" s="3" customFormat="1" ht="12.75">
      <c r="A174" s="87"/>
      <c r="B174" s="17" t="s">
        <v>99</v>
      </c>
      <c r="L174" s="23"/>
      <c r="M174" s="23"/>
      <c r="N174" s="23"/>
      <c r="O174" s="23"/>
      <c r="P174" s="23"/>
      <c r="Q174" s="23"/>
      <c r="R174" s="23"/>
      <c r="S174" s="23"/>
      <c r="T174" s="23"/>
      <c r="U174" s="23"/>
      <c r="V174" s="23"/>
    </row>
    <row r="175" spans="1:22" s="3" customFormat="1" ht="12.75">
      <c r="A175" s="87"/>
      <c r="B175" s="3" t="s">
        <v>100</v>
      </c>
      <c r="H175" s="3" t="s">
        <v>72</v>
      </c>
      <c r="J175" s="9">
        <f>SUM(L175:T175)</f>
        <v>0</v>
      </c>
      <c r="L175" s="21">
        <f>'GAW IMPORT'!L86</f>
        <v>0</v>
      </c>
      <c r="M175" s="21">
        <f>'GAW IMPORT'!M86</f>
        <v>0</v>
      </c>
      <c r="N175" s="21">
        <f>'GAW IMPORT'!N86</f>
        <v>0</v>
      </c>
      <c r="O175" s="21">
        <f>'GAW IMPORT'!O86</f>
        <v>0</v>
      </c>
      <c r="P175" s="21">
        <f>'GAW IMPORT'!P86</f>
        <v>0</v>
      </c>
      <c r="Q175" s="21">
        <f>'GAW IMPORT'!Q86</f>
        <v>0</v>
      </c>
      <c r="R175" s="21">
        <f>'GAW IMPORT'!R86</f>
        <v>0</v>
      </c>
      <c r="S175" s="21">
        <f>'GAW IMPORT'!S86</f>
        <v>0</v>
      </c>
      <c r="T175" s="21">
        <f>'GAW IMPORT'!U86</f>
        <v>0</v>
      </c>
      <c r="U175" s="21">
        <f>'GAW IMPORT'!V86</f>
        <v>0</v>
      </c>
      <c r="V175" s="21">
        <f>'GAW IMPORT'!W86</f>
        <v>0</v>
      </c>
    </row>
    <row r="176" spans="1:22" s="3" customFormat="1" ht="12.75">
      <c r="A176" s="87"/>
      <c r="B176" s="3" t="s">
        <v>101</v>
      </c>
      <c r="H176" s="3" t="s">
        <v>72</v>
      </c>
      <c r="J176" s="9">
        <f t="shared" ref="J176:J177" si="72">SUM(L176:T176)</f>
        <v>693002.45235755329</v>
      </c>
      <c r="L176" s="21">
        <f>'GAW IMPORT'!L87</f>
        <v>0</v>
      </c>
      <c r="M176" s="21">
        <f>'GAW IMPORT'!M87</f>
        <v>0</v>
      </c>
      <c r="N176" s="21">
        <f>'GAW IMPORT'!N87</f>
        <v>0</v>
      </c>
      <c r="O176" s="21">
        <f>'GAW IMPORT'!O87</f>
        <v>0</v>
      </c>
      <c r="P176" s="21">
        <f>'GAW IMPORT'!P87</f>
        <v>693002.45235755329</v>
      </c>
      <c r="Q176" s="21">
        <f>'GAW IMPORT'!Q87</f>
        <v>0</v>
      </c>
      <c r="R176" s="21">
        <f>'GAW IMPORT'!R87</f>
        <v>0</v>
      </c>
      <c r="S176" s="21">
        <f>'GAW IMPORT'!S87</f>
        <v>0</v>
      </c>
      <c r="T176" s="21">
        <f>'GAW IMPORT'!U87</f>
        <v>0</v>
      </c>
      <c r="U176" s="21">
        <f>'GAW IMPORT'!V87</f>
        <v>0</v>
      </c>
      <c r="V176" s="21">
        <f>'GAW IMPORT'!W87</f>
        <v>0</v>
      </c>
    </row>
    <row r="177" spans="1:22" s="3" customFormat="1" ht="12.75">
      <c r="A177" s="87"/>
      <c r="B177" s="3" t="s">
        <v>102</v>
      </c>
      <c r="H177" s="3" t="s">
        <v>72</v>
      </c>
      <c r="J177" s="9">
        <f t="shared" si="72"/>
        <v>2772009.8094302001</v>
      </c>
      <c r="L177" s="21">
        <f>'GAW IMPORT'!L88</f>
        <v>-3.3096104136176E-9</v>
      </c>
      <c r="M177" s="21">
        <f>'GAW IMPORT'!M88</f>
        <v>0</v>
      </c>
      <c r="N177" s="21">
        <f>'GAW IMPORT'!N88</f>
        <v>0</v>
      </c>
      <c r="O177" s="21">
        <f>'GAW IMPORT'!O88</f>
        <v>0</v>
      </c>
      <c r="P177" s="21">
        <f>'GAW IMPORT'!P88</f>
        <v>2772009.8094302034</v>
      </c>
      <c r="Q177" s="21">
        <f>'GAW IMPORT'!Q88</f>
        <v>0</v>
      </c>
      <c r="R177" s="21">
        <f>'GAW IMPORT'!R88</f>
        <v>0</v>
      </c>
      <c r="S177" s="21">
        <f>'GAW IMPORT'!S88</f>
        <v>0</v>
      </c>
      <c r="T177" s="21">
        <f>'GAW IMPORT'!U88</f>
        <v>0</v>
      </c>
      <c r="U177" s="21">
        <f>'GAW IMPORT'!V88</f>
        <v>0</v>
      </c>
      <c r="V177" s="21">
        <f>'GAW IMPORT'!W88</f>
        <v>0</v>
      </c>
    </row>
    <row r="178" spans="1:22" s="3" customFormat="1" ht="12.75">
      <c r="A178" s="87"/>
    </row>
    <row r="179" spans="1:22" s="3" customFormat="1" ht="12.75">
      <c r="A179" s="87"/>
      <c r="B179" s="17" t="s">
        <v>103</v>
      </c>
    </row>
    <row r="180" spans="1:22" s="3" customFormat="1" ht="12.75">
      <c r="A180" s="87"/>
      <c r="B180" s="3" t="s">
        <v>104</v>
      </c>
      <c r="H180" s="3" t="s">
        <v>72</v>
      </c>
      <c r="J180" s="9">
        <f>SUM(L180:T180)</f>
        <v>0</v>
      </c>
      <c r="L180" s="21">
        <f>'GAW IMPORT'!L91</f>
        <v>0</v>
      </c>
      <c r="M180" s="21">
        <f>'GAW IMPORT'!M91</f>
        <v>0</v>
      </c>
      <c r="N180" s="21">
        <f>'GAW IMPORT'!N91</f>
        <v>0</v>
      </c>
      <c r="O180" s="21">
        <f>'GAW IMPORT'!O91</f>
        <v>0</v>
      </c>
      <c r="P180" s="21">
        <f>'GAW IMPORT'!P91</f>
        <v>0</v>
      </c>
      <c r="Q180" s="21">
        <f>'GAW IMPORT'!Q91</f>
        <v>0</v>
      </c>
      <c r="R180" s="21">
        <f>'GAW IMPORT'!R91</f>
        <v>0</v>
      </c>
      <c r="S180" s="21">
        <f>'GAW IMPORT'!S91</f>
        <v>0</v>
      </c>
      <c r="T180" s="21">
        <f>'GAW IMPORT'!U91</f>
        <v>0</v>
      </c>
      <c r="U180" s="21">
        <f>'GAW IMPORT'!V91</f>
        <v>0</v>
      </c>
      <c r="V180" s="21">
        <f>'GAW IMPORT'!W91</f>
        <v>0</v>
      </c>
    </row>
    <row r="181" spans="1:22" s="3" customFormat="1" ht="12.75">
      <c r="A181" s="87"/>
      <c r="B181" s="3" t="s">
        <v>105</v>
      </c>
      <c r="H181" s="3" t="s">
        <v>72</v>
      </c>
      <c r="J181" s="9">
        <f t="shared" ref="J181:J182" si="73">SUM(L181:T181)</f>
        <v>249615.54458064711</v>
      </c>
      <c r="L181" s="21">
        <f>'GAW IMPORT'!L92</f>
        <v>0</v>
      </c>
      <c r="M181" s="21">
        <f>'GAW IMPORT'!M92</f>
        <v>249615.54458064711</v>
      </c>
      <c r="N181" s="21">
        <f>'GAW IMPORT'!N92</f>
        <v>0</v>
      </c>
      <c r="O181" s="21">
        <f>'GAW IMPORT'!O92</f>
        <v>0</v>
      </c>
      <c r="P181" s="21">
        <f>'GAW IMPORT'!P92</f>
        <v>0</v>
      </c>
      <c r="Q181" s="21">
        <f>'GAW IMPORT'!Q92</f>
        <v>0</v>
      </c>
      <c r="R181" s="21">
        <f>'GAW IMPORT'!R92</f>
        <v>0</v>
      </c>
      <c r="S181" s="21">
        <f>'GAW IMPORT'!S92</f>
        <v>0</v>
      </c>
      <c r="T181" s="21">
        <f>'GAW IMPORT'!U92</f>
        <v>0</v>
      </c>
      <c r="U181" s="21">
        <f>'GAW IMPORT'!V92</f>
        <v>0</v>
      </c>
      <c r="V181" s="21">
        <f>'GAW IMPORT'!W92</f>
        <v>0</v>
      </c>
    </row>
    <row r="182" spans="1:22" s="3" customFormat="1" ht="12.75">
      <c r="A182" s="87"/>
      <c r="B182" s="3" t="s">
        <v>106</v>
      </c>
      <c r="H182" s="3" t="s">
        <v>72</v>
      </c>
      <c r="J182" s="9">
        <f t="shared" si="73"/>
        <v>9570957.0611266755</v>
      </c>
      <c r="L182" s="21">
        <f>'GAW IMPORT'!L93</f>
        <v>0</v>
      </c>
      <c r="M182" s="21">
        <f>'GAW IMPORT'!M93</f>
        <v>9570957.0611266755</v>
      </c>
      <c r="N182" s="21">
        <f>'GAW IMPORT'!N93</f>
        <v>0</v>
      </c>
      <c r="O182" s="21">
        <f>'GAW IMPORT'!O93</f>
        <v>0</v>
      </c>
      <c r="P182" s="21">
        <f>'GAW IMPORT'!P93</f>
        <v>0</v>
      </c>
      <c r="Q182" s="21">
        <f>'GAW IMPORT'!Q93</f>
        <v>0</v>
      </c>
      <c r="R182" s="21">
        <f>'GAW IMPORT'!R93</f>
        <v>0</v>
      </c>
      <c r="S182" s="21">
        <f>'GAW IMPORT'!S93</f>
        <v>0</v>
      </c>
      <c r="T182" s="21">
        <f>'GAW IMPORT'!U93</f>
        <v>0</v>
      </c>
      <c r="U182" s="21">
        <f>'GAW IMPORT'!V93</f>
        <v>0</v>
      </c>
      <c r="V182" s="21">
        <f>'GAW IMPORT'!W93</f>
        <v>0</v>
      </c>
    </row>
    <row r="183" spans="1:22" s="3" customFormat="1" ht="12.75">
      <c r="A183" s="87"/>
    </row>
    <row r="184" spans="1:22" s="3" customFormat="1" ht="12.75">
      <c r="A184" s="87"/>
      <c r="B184" s="17" t="s">
        <v>107</v>
      </c>
    </row>
    <row r="185" spans="1:22" s="3" customFormat="1" ht="12.75">
      <c r="A185" s="87"/>
      <c r="B185" s="3" t="s">
        <v>108</v>
      </c>
      <c r="H185" s="3" t="s">
        <v>72</v>
      </c>
      <c r="J185" s="9">
        <f>SUM(L185:T185)</f>
        <v>0</v>
      </c>
      <c r="L185" s="21">
        <f>'GAW IMPORT'!L96</f>
        <v>0</v>
      </c>
      <c r="M185" s="21">
        <f>'GAW IMPORT'!M96</f>
        <v>0</v>
      </c>
      <c r="N185" s="21">
        <f>'GAW IMPORT'!N96</f>
        <v>0</v>
      </c>
      <c r="O185" s="21">
        <f>'GAW IMPORT'!O96</f>
        <v>0</v>
      </c>
      <c r="P185" s="21">
        <f>'GAW IMPORT'!P96</f>
        <v>0</v>
      </c>
      <c r="Q185" s="21">
        <f>'GAW IMPORT'!Q96</f>
        <v>0</v>
      </c>
      <c r="R185" s="21">
        <f>'GAW IMPORT'!R96</f>
        <v>0</v>
      </c>
      <c r="S185" s="21">
        <f>'GAW IMPORT'!S96</f>
        <v>0</v>
      </c>
      <c r="T185" s="21">
        <f>'GAW IMPORT'!U96</f>
        <v>0</v>
      </c>
      <c r="U185" s="21">
        <f>'GAW IMPORT'!V96</f>
        <v>0</v>
      </c>
      <c r="V185" s="21">
        <f>'GAW IMPORT'!W96</f>
        <v>0</v>
      </c>
    </row>
    <row r="186" spans="1:22" s="3" customFormat="1" ht="12.75">
      <c r="A186" s="87"/>
      <c r="B186" s="3" t="s">
        <v>109</v>
      </c>
      <c r="H186" s="3" t="s">
        <v>72</v>
      </c>
      <c r="J186" s="9">
        <f t="shared" ref="J186:J187" si="74">SUM(L186:T186)</f>
        <v>1940170.4736562641</v>
      </c>
      <c r="L186" s="21">
        <f>'GAW IMPORT'!L97</f>
        <v>0</v>
      </c>
      <c r="M186" s="21">
        <f>'GAW IMPORT'!M97</f>
        <v>108319.33200000001</v>
      </c>
      <c r="N186" s="21">
        <f>'GAW IMPORT'!N97</f>
        <v>9898.2752436480005</v>
      </c>
      <c r="O186" s="21">
        <f>'GAW IMPORT'!O97</f>
        <v>433873.00253146666</v>
      </c>
      <c r="P186" s="21">
        <f>'GAW IMPORT'!P97</f>
        <v>0</v>
      </c>
      <c r="Q186" s="21">
        <f>'GAW IMPORT'!Q97</f>
        <v>1388079.8638811496</v>
      </c>
      <c r="R186" s="21">
        <f>'GAW IMPORT'!R97</f>
        <v>0</v>
      </c>
      <c r="S186" s="21">
        <f>'GAW IMPORT'!S97</f>
        <v>0</v>
      </c>
      <c r="T186" s="21">
        <f>'GAW IMPORT'!U97</f>
        <v>0</v>
      </c>
      <c r="U186" s="21">
        <f>'GAW IMPORT'!V97</f>
        <v>1388079.8638811496</v>
      </c>
      <c r="V186" s="21">
        <f>'GAW IMPORT'!W97</f>
        <v>433873.00253146666</v>
      </c>
    </row>
    <row r="187" spans="1:22" s="3" customFormat="1" ht="12.75">
      <c r="A187" s="87"/>
      <c r="B187" s="3" t="s">
        <v>110</v>
      </c>
      <c r="H187" s="3" t="s">
        <v>72</v>
      </c>
      <c r="J187" s="9">
        <f t="shared" si="74"/>
        <v>23681908.678677388</v>
      </c>
      <c r="L187" s="21">
        <f>'GAW IMPORT'!L98</f>
        <v>0</v>
      </c>
      <c r="M187" s="21">
        <f>'GAW IMPORT'!M98</f>
        <v>812394.99</v>
      </c>
      <c r="N187" s="21">
        <f>'GAW IMPORT'!N98</f>
        <v>268983.52898208005</v>
      </c>
      <c r="O187" s="21">
        <f>'GAW IMPORT'!O98</f>
        <v>4260594.6872793334</v>
      </c>
      <c r="P187" s="21">
        <f>'GAW IMPORT'!P98</f>
        <v>0</v>
      </c>
      <c r="Q187" s="21">
        <f>'GAW IMPORT'!Q98</f>
        <v>18339935.472415976</v>
      </c>
      <c r="R187" s="21">
        <f>'GAW IMPORT'!R98</f>
        <v>0</v>
      </c>
      <c r="S187" s="21">
        <f>'GAW IMPORT'!S98</f>
        <v>0</v>
      </c>
      <c r="T187" s="21">
        <f>'GAW IMPORT'!U98</f>
        <v>0</v>
      </c>
      <c r="U187" s="21">
        <f>'GAW IMPORT'!V98</f>
        <v>18339935.472415976</v>
      </c>
      <c r="V187" s="21">
        <f>'GAW IMPORT'!W98</f>
        <v>4260594.6872793334</v>
      </c>
    </row>
    <row r="188" spans="1:22" s="3" customFormat="1" ht="12.75">
      <c r="A188" s="87"/>
      <c r="L188" s="10"/>
      <c r="M188" s="10"/>
      <c r="N188" s="10"/>
      <c r="O188" s="10"/>
      <c r="P188" s="10"/>
      <c r="Q188" s="10"/>
      <c r="R188" s="10"/>
      <c r="S188" s="10"/>
      <c r="T188" s="10"/>
      <c r="U188" s="10"/>
      <c r="V188" s="10"/>
    </row>
    <row r="189" spans="1:22" s="3" customFormat="1" ht="12.75">
      <c r="A189" s="87"/>
      <c r="L189" s="10"/>
      <c r="M189" s="10"/>
      <c r="N189" s="10"/>
      <c r="O189" s="10"/>
      <c r="P189" s="10"/>
      <c r="Q189" s="10"/>
      <c r="R189" s="10"/>
      <c r="S189" s="10"/>
      <c r="T189" s="10"/>
      <c r="U189" s="10"/>
      <c r="V189" s="10"/>
    </row>
    <row r="190" spans="1:22" s="3" customFormat="1" ht="12.75">
      <c r="A190" s="87"/>
      <c r="B190" s="17" t="s">
        <v>111</v>
      </c>
    </row>
    <row r="191" spans="1:22" s="3" customFormat="1" ht="12.75">
      <c r="A191" s="87"/>
    </row>
    <row r="192" spans="1:22" s="3" customFormat="1" ht="12.75">
      <c r="A192" s="87"/>
      <c r="B192" s="17" t="s">
        <v>112</v>
      </c>
    </row>
    <row r="193" spans="1:25" s="3" customFormat="1" ht="12.75">
      <c r="A193" s="87"/>
      <c r="B193" s="3" t="s">
        <v>87</v>
      </c>
      <c r="H193" s="3" t="s">
        <v>72</v>
      </c>
      <c r="J193" s="9">
        <f>SUM(L193:T193)</f>
        <v>561604847.91291976</v>
      </c>
      <c r="L193" s="9">
        <f>L166+L171+L181+L186</f>
        <v>3406106.1180633539</v>
      </c>
      <c r="M193" s="9">
        <f t="shared" ref="M193:S193" si="75">M166+M171+M181+M186</f>
        <v>15684026.927420018</v>
      </c>
      <c r="N193" s="9">
        <f t="shared" si="75"/>
        <v>205269693.3591783</v>
      </c>
      <c r="O193" s="9">
        <f t="shared" si="75"/>
        <v>160302177.39241308</v>
      </c>
      <c r="P193" s="9">
        <f t="shared" si="75"/>
        <v>2732504.5335553507</v>
      </c>
      <c r="Q193" s="9">
        <f t="shared" si="75"/>
        <v>150262076.16401246</v>
      </c>
      <c r="R193" s="9">
        <f t="shared" si="75"/>
        <v>9352363.9907346517</v>
      </c>
      <c r="S193" s="9">
        <f t="shared" si="75"/>
        <v>9101542.3561132401</v>
      </c>
      <c r="T193" s="9">
        <f t="shared" ref="T193:U193" si="76">T166+T171+T181+T186</f>
        <v>5494357.071429275</v>
      </c>
      <c r="U193" s="9">
        <f t="shared" si="76"/>
        <v>154510515.18496522</v>
      </c>
      <c r="V193" s="9">
        <f t="shared" ref="V193" si="77">V166+V171+V181+V186</f>
        <v>160708615.33200163</v>
      </c>
      <c r="Y193" s="79" t="s">
        <v>269</v>
      </c>
    </row>
    <row r="194" spans="1:25" s="3" customFormat="1" ht="12.75">
      <c r="A194" s="87"/>
      <c r="B194" s="3" t="s">
        <v>113</v>
      </c>
      <c r="D194" s="3" t="s">
        <v>226</v>
      </c>
      <c r="H194" s="3" t="s">
        <v>72</v>
      </c>
      <c r="J194" s="9">
        <f t="shared" ref="J194:J195" si="78">SUM(L194:T194)</f>
        <v>10977480251.411467</v>
      </c>
      <c r="L194" s="9">
        <f>L167+L172+L182+L187</f>
        <v>61218856.611942187</v>
      </c>
      <c r="M194" s="9">
        <f t="shared" ref="M194:S194" si="79">M167+M172+M182+M187</f>
        <v>267604958.97335887</v>
      </c>
      <c r="N194" s="9">
        <f t="shared" si="79"/>
        <v>3526354445.3768053</v>
      </c>
      <c r="O194" s="9">
        <f t="shared" si="79"/>
        <v>3642073723.3370061</v>
      </c>
      <c r="P194" s="9">
        <f t="shared" si="79"/>
        <v>31800692.72333663</v>
      </c>
      <c r="Q194" s="9">
        <f t="shared" si="79"/>
        <v>2980982107.384223</v>
      </c>
      <c r="R194" s="9">
        <f t="shared" si="79"/>
        <v>250428148.11007625</v>
      </c>
      <c r="S194" s="9">
        <f t="shared" si="79"/>
        <v>99043805.579404369</v>
      </c>
      <c r="T194" s="9">
        <f t="shared" ref="T194:U194" si="80">T167+T172+T182+T187</f>
        <v>117973513.31531385</v>
      </c>
      <c r="U194" s="9">
        <f t="shared" si="80"/>
        <v>3076967430.1579599</v>
      </c>
      <c r="V194" s="9">
        <f t="shared" ref="V194" si="81">V167+V172+V182+V187</f>
        <v>3650097398.1311841</v>
      </c>
      <c r="Y194" s="79" t="s">
        <v>305</v>
      </c>
    </row>
    <row r="195" spans="1:25" s="3" customFormat="1" ht="12.75">
      <c r="A195" s="87"/>
      <c r="B195" s="3" t="s">
        <v>169</v>
      </c>
      <c r="D195" s="22" t="s">
        <v>170</v>
      </c>
      <c r="H195" s="3" t="s">
        <v>72</v>
      </c>
      <c r="J195" s="9">
        <f t="shared" si="78"/>
        <v>1055591459.2264357</v>
      </c>
      <c r="L195" s="9">
        <f t="shared" ref="L195:T195" si="82">L193+(L194*$J$16)</f>
        <v>6160954.6656007525</v>
      </c>
      <c r="M195" s="9">
        <f t="shared" si="82"/>
        <v>27726250.081221167</v>
      </c>
      <c r="N195" s="9">
        <f t="shared" si="82"/>
        <v>363955643.40113455</v>
      </c>
      <c r="O195" s="9">
        <f t="shared" si="82"/>
        <v>324195494.94257832</v>
      </c>
      <c r="P195" s="9">
        <f t="shared" si="82"/>
        <v>4163535.7061054991</v>
      </c>
      <c r="Q195" s="9">
        <f t="shared" si="82"/>
        <v>284406270.99630249</v>
      </c>
      <c r="R195" s="9">
        <f t="shared" si="82"/>
        <v>20621630.655688085</v>
      </c>
      <c r="S195" s="9">
        <f t="shared" si="82"/>
        <v>13558513.607186437</v>
      </c>
      <c r="T195" s="9">
        <f t="shared" si="82"/>
        <v>10803165.170618398</v>
      </c>
      <c r="U195" s="9">
        <f t="shared" ref="U195:V195" si="83">U193+(U194*$J$16)</f>
        <v>292974049.54207343</v>
      </c>
      <c r="V195" s="9">
        <f t="shared" si="83"/>
        <v>324962998.2479049</v>
      </c>
      <c r="Y195" s="79" t="s">
        <v>270</v>
      </c>
    </row>
    <row r="196" spans="1:25" s="3" customFormat="1" ht="12.75">
      <c r="A196" s="87"/>
      <c r="B196" s="3" t="s">
        <v>172</v>
      </c>
      <c r="D196" s="22" t="s">
        <v>171</v>
      </c>
      <c r="H196" s="3" t="s">
        <v>72</v>
      </c>
      <c r="J196" s="9">
        <f>SUM(L196:T196)</f>
        <v>890929255.45526373</v>
      </c>
      <c r="L196" s="9">
        <f t="shared" ref="L196:S196" si="84">L193+(L194*$J$17)</f>
        <v>5242671.8164216196</v>
      </c>
      <c r="M196" s="9">
        <f t="shared" si="84"/>
        <v>23712175.696620785</v>
      </c>
      <c r="N196" s="9">
        <f t="shared" si="84"/>
        <v>311060326.72048247</v>
      </c>
      <c r="O196" s="9">
        <f t="shared" si="84"/>
        <v>269564389.09252328</v>
      </c>
      <c r="P196" s="9">
        <f t="shared" si="84"/>
        <v>3686525.3152554496</v>
      </c>
      <c r="Q196" s="9">
        <f t="shared" si="84"/>
        <v>239691539.38553914</v>
      </c>
      <c r="R196" s="9">
        <f t="shared" si="84"/>
        <v>16865208.43403694</v>
      </c>
      <c r="S196" s="9">
        <f t="shared" si="84"/>
        <v>12072856.523495371</v>
      </c>
      <c r="T196" s="9">
        <f t="shared" ref="T196:U196" si="85">T193+(T194*$J$17)</f>
        <v>9033562.4708886892</v>
      </c>
      <c r="U196" s="9">
        <f t="shared" si="85"/>
        <v>246819538.08970404</v>
      </c>
      <c r="V196" s="9">
        <f t="shared" ref="V196" si="86">V193+(V194*$J$17)</f>
        <v>270211537.27593714</v>
      </c>
    </row>
    <row r="197" spans="1:25" s="3" customFormat="1" ht="12.75">
      <c r="A197" s="87"/>
      <c r="B197" s="3" t="s">
        <v>210</v>
      </c>
      <c r="D197" s="22" t="s">
        <v>174</v>
      </c>
      <c r="H197" s="3" t="s">
        <v>72</v>
      </c>
      <c r="J197" s="9">
        <f t="shared" ref="J197:J198" si="87">SUM(L197:T197)</f>
        <v>1099501380.2320814</v>
      </c>
      <c r="L197" s="9">
        <f>L193+(L194*$J$12)</f>
        <v>6405830.0920485212</v>
      </c>
      <c r="M197" s="9">
        <f t="shared" ref="M197:U197" si="88">M193+(M194*$J$12)</f>
        <v>28796669.917114604</v>
      </c>
      <c r="N197" s="9">
        <f t="shared" si="88"/>
        <v>378061061.18264174</v>
      </c>
      <c r="O197" s="9">
        <f t="shared" si="88"/>
        <v>338763789.83592641</v>
      </c>
      <c r="P197" s="9">
        <f t="shared" si="88"/>
        <v>4290738.4769988451</v>
      </c>
      <c r="Q197" s="9">
        <f t="shared" si="88"/>
        <v>296330199.42583942</v>
      </c>
      <c r="R197" s="9">
        <f t="shared" si="88"/>
        <v>21623343.248128388</v>
      </c>
      <c r="S197" s="9">
        <f t="shared" si="88"/>
        <v>13954688.829504054</v>
      </c>
      <c r="T197" s="9">
        <f t="shared" si="88"/>
        <v>11275059.223879654</v>
      </c>
      <c r="U197" s="9">
        <f t="shared" si="88"/>
        <v>305281919.26270527</v>
      </c>
      <c r="V197" s="9">
        <f t="shared" ref="V197" si="89">V193+(V194*$J$12)</f>
        <v>339563387.84042966</v>
      </c>
    </row>
    <row r="198" spans="1:25" s="3" customFormat="1" ht="12.75">
      <c r="A198" s="87"/>
      <c r="B198" s="3" t="s">
        <v>218</v>
      </c>
      <c r="D198" s="22" t="s">
        <v>223</v>
      </c>
      <c r="H198" s="3" t="s">
        <v>72</v>
      </c>
      <c r="J198" s="9">
        <f t="shared" si="87"/>
        <v>956794136.96373248</v>
      </c>
      <c r="L198" s="9">
        <f>L193+(L194*$J$13)</f>
        <v>5609984.9560932722</v>
      </c>
      <c r="M198" s="9">
        <f t="shared" ref="M198:U198" si="90">M193+(M194*$J$13)</f>
        <v>25317805.450460937</v>
      </c>
      <c r="N198" s="9">
        <f t="shared" si="90"/>
        <v>332218453.39274329</v>
      </c>
      <c r="O198" s="9">
        <f t="shared" si="90"/>
        <v>291416831.4325453</v>
      </c>
      <c r="P198" s="9">
        <f t="shared" si="90"/>
        <v>3877329.4715954694</v>
      </c>
      <c r="Q198" s="9">
        <f t="shared" si="90"/>
        <v>257577432.02984446</v>
      </c>
      <c r="R198" s="9">
        <f t="shared" si="90"/>
        <v>18367777.322697394</v>
      </c>
      <c r="S198" s="9">
        <f t="shared" si="90"/>
        <v>12667119.356971797</v>
      </c>
      <c r="T198" s="9">
        <f t="shared" si="90"/>
        <v>9741403.550780572</v>
      </c>
      <c r="U198" s="9">
        <f t="shared" si="90"/>
        <v>265281342.67065179</v>
      </c>
      <c r="V198" s="9">
        <f t="shared" ref="V198" si="91">V193+(V194*$J$13)</f>
        <v>292112121.66472423</v>
      </c>
    </row>
    <row r="199" spans="1:25" s="3" customFormat="1" ht="12.75">
      <c r="A199" s="87"/>
    </row>
    <row r="200" spans="1:25" s="3" customFormat="1" ht="12.75">
      <c r="A200" s="87"/>
      <c r="B200" s="17" t="s">
        <v>114</v>
      </c>
    </row>
    <row r="201" spans="1:25" s="3" customFormat="1" ht="12.75">
      <c r="A201" s="87"/>
      <c r="B201" s="3" t="s">
        <v>87</v>
      </c>
      <c r="H201" s="3" t="s">
        <v>72</v>
      </c>
      <c r="J201" s="9">
        <f>SUM(L201:T201)</f>
        <v>693002.45235755329</v>
      </c>
      <c r="L201" s="9">
        <f>L176</f>
        <v>0</v>
      </c>
      <c r="M201" s="9">
        <f t="shared" ref="M201:S201" si="92">M176</f>
        <v>0</v>
      </c>
      <c r="N201" s="9">
        <f t="shared" si="92"/>
        <v>0</v>
      </c>
      <c r="O201" s="9">
        <f t="shared" si="92"/>
        <v>0</v>
      </c>
      <c r="P201" s="9">
        <f t="shared" si="92"/>
        <v>693002.45235755329</v>
      </c>
      <c r="Q201" s="9">
        <f t="shared" si="92"/>
        <v>0</v>
      </c>
      <c r="R201" s="9">
        <f t="shared" si="92"/>
        <v>0</v>
      </c>
      <c r="S201" s="9">
        <f t="shared" si="92"/>
        <v>0</v>
      </c>
      <c r="T201" s="9">
        <f t="shared" ref="T201:U201" si="93">T176</f>
        <v>0</v>
      </c>
      <c r="U201" s="9">
        <f t="shared" si="93"/>
        <v>0</v>
      </c>
      <c r="V201" s="9">
        <f t="shared" ref="V201" si="94">V176</f>
        <v>0</v>
      </c>
    </row>
    <row r="202" spans="1:25" s="3" customFormat="1" ht="12.75">
      <c r="A202" s="87"/>
      <c r="B202" s="3" t="s">
        <v>113</v>
      </c>
      <c r="D202" s="3" t="s">
        <v>226</v>
      </c>
      <c r="H202" s="3" t="s">
        <v>72</v>
      </c>
      <c r="J202" s="9">
        <f>SUM(L202:T202)</f>
        <v>2772009.8094302001</v>
      </c>
      <c r="L202" s="9">
        <f>L177</f>
        <v>-3.3096104136176E-9</v>
      </c>
      <c r="M202" s="9">
        <f t="shared" ref="M202:U202" si="95">M177</f>
        <v>0</v>
      </c>
      <c r="N202" s="9">
        <f t="shared" si="95"/>
        <v>0</v>
      </c>
      <c r="O202" s="9">
        <f t="shared" si="95"/>
        <v>0</v>
      </c>
      <c r="P202" s="9">
        <f t="shared" si="95"/>
        <v>2772009.8094302034</v>
      </c>
      <c r="Q202" s="9">
        <f t="shared" si="95"/>
        <v>0</v>
      </c>
      <c r="R202" s="9">
        <f t="shared" si="95"/>
        <v>0</v>
      </c>
      <c r="S202" s="9">
        <f t="shared" si="95"/>
        <v>0</v>
      </c>
      <c r="T202" s="9">
        <f t="shared" si="95"/>
        <v>0</v>
      </c>
      <c r="U202" s="9">
        <f t="shared" si="95"/>
        <v>0</v>
      </c>
      <c r="V202" s="9">
        <f t="shared" ref="V202" si="96">V177</f>
        <v>0</v>
      </c>
    </row>
    <row r="203" spans="1:25" s="3" customFormat="1" ht="12.75">
      <c r="A203" s="87"/>
      <c r="B203" s="3" t="s">
        <v>224</v>
      </c>
      <c r="D203" s="22" t="s">
        <v>138</v>
      </c>
      <c r="H203" s="3" t="s">
        <v>72</v>
      </c>
      <c r="J203" s="9">
        <f t="shared" ref="J203:J204" si="97">SUM(L203:T203)</f>
        <v>817742.89378191228</v>
      </c>
      <c r="L203" s="9">
        <f t="shared" ref="L203:T203" si="98">L201+(L202*$J$16)</f>
        <v>-1.4893246861279199E-10</v>
      </c>
      <c r="M203" s="9">
        <f t="shared" si="98"/>
        <v>0</v>
      </c>
      <c r="N203" s="9">
        <f t="shared" si="98"/>
        <v>0</v>
      </c>
      <c r="O203" s="9">
        <f t="shared" si="98"/>
        <v>0</v>
      </c>
      <c r="P203" s="9">
        <f t="shared" si="98"/>
        <v>817742.8937819124</v>
      </c>
      <c r="Q203" s="9">
        <f t="shared" si="98"/>
        <v>0</v>
      </c>
      <c r="R203" s="9">
        <f t="shared" si="98"/>
        <v>0</v>
      </c>
      <c r="S203" s="9">
        <f t="shared" si="98"/>
        <v>0</v>
      </c>
      <c r="T203" s="9">
        <f t="shared" si="98"/>
        <v>0</v>
      </c>
      <c r="U203" s="9">
        <f t="shared" ref="U203:V203" si="99">U201+(U202*$J$16)</f>
        <v>0</v>
      </c>
      <c r="V203" s="9">
        <f t="shared" si="99"/>
        <v>0</v>
      </c>
    </row>
    <row r="204" spans="1:25" s="3" customFormat="1" ht="12.75">
      <c r="A204" s="87"/>
      <c r="B204" s="3" t="s">
        <v>225</v>
      </c>
      <c r="D204" s="3" t="s">
        <v>139</v>
      </c>
      <c r="H204" s="3" t="s">
        <v>72</v>
      </c>
      <c r="J204" s="9">
        <f t="shared" si="97"/>
        <v>776162.74664045929</v>
      </c>
      <c r="L204" s="9">
        <f t="shared" ref="L204:S204" si="100">L201+(L202*$J$17)</f>
        <v>-9.9288312408527995E-11</v>
      </c>
      <c r="M204" s="9">
        <f t="shared" si="100"/>
        <v>0</v>
      </c>
      <c r="N204" s="9">
        <f t="shared" si="100"/>
        <v>0</v>
      </c>
      <c r="O204" s="9">
        <f t="shared" si="100"/>
        <v>0</v>
      </c>
      <c r="P204" s="9">
        <f t="shared" si="100"/>
        <v>776162.7466404594</v>
      </c>
      <c r="Q204" s="9">
        <f t="shared" si="100"/>
        <v>0</v>
      </c>
      <c r="R204" s="9">
        <f t="shared" si="100"/>
        <v>0</v>
      </c>
      <c r="S204" s="9">
        <f t="shared" si="100"/>
        <v>0</v>
      </c>
      <c r="T204" s="9">
        <f t="shared" ref="T204:U204" si="101">T201+(T202*$J$17)</f>
        <v>0</v>
      </c>
      <c r="U204" s="9">
        <f t="shared" si="101"/>
        <v>0</v>
      </c>
      <c r="V204" s="9">
        <f t="shared" ref="V204" si="102">V201+(V202*$J$17)</f>
        <v>0</v>
      </c>
    </row>
    <row r="205" spans="1:25" s="3" customFormat="1" ht="12.75">
      <c r="A205" s="87"/>
      <c r="L205" s="18"/>
      <c r="M205" s="18"/>
      <c r="N205" s="18"/>
      <c r="O205" s="18"/>
      <c r="P205" s="18"/>
      <c r="Q205" s="18"/>
      <c r="R205" s="18"/>
      <c r="S205" s="18"/>
      <c r="T205" s="18"/>
      <c r="U205" s="18"/>
      <c r="V205" s="18"/>
    </row>
    <row r="206" spans="1:25" s="3" customFormat="1" ht="12.75">
      <c r="A206" s="87"/>
    </row>
    <row r="207" spans="1:25" s="3" customFormat="1" ht="12.75">
      <c r="A207" s="87"/>
      <c r="B207" s="17" t="s">
        <v>115</v>
      </c>
    </row>
    <row r="208" spans="1:25" s="3" customFormat="1" ht="12.75">
      <c r="A208" s="87"/>
    </row>
    <row r="209" spans="1:25" s="3" customFormat="1" ht="12.75">
      <c r="A209" s="87"/>
      <c r="B209" s="22" t="s">
        <v>140</v>
      </c>
      <c r="H209" s="3" t="s">
        <v>72</v>
      </c>
      <c r="J209" s="9">
        <f>SUM(L209:T209)</f>
        <v>11981270.117111068</v>
      </c>
      <c r="L209" s="21">
        <f>'Overige opbrengsten'!L126</f>
        <v>0</v>
      </c>
      <c r="M209" s="21">
        <f>'Overige opbrengsten'!M126</f>
        <v>1135135.8145454545</v>
      </c>
      <c r="N209" s="9">
        <f>'Overige opbrengsten'!N126-'Overige opbrengsten'!U126</f>
        <v>2224963.4472727268</v>
      </c>
      <c r="O209" s="9">
        <f>'Overige opbrengsten'!O126-'Overige opbrengsten'!W126</f>
        <v>2647313.7433959399</v>
      </c>
      <c r="P209" s="21">
        <f>'Overige opbrengsten'!P126</f>
        <v>0</v>
      </c>
      <c r="Q209" s="9">
        <f>'Overige opbrengsten'!Q126-'Overige opbrengsten'!V126</f>
        <v>4968776.5118969474</v>
      </c>
      <c r="R209" s="21">
        <f>'Overige opbrengsten'!R126</f>
        <v>0</v>
      </c>
      <c r="S209" s="21">
        <f>'Overige opbrengsten'!S126</f>
        <v>0</v>
      </c>
      <c r="T209" s="21">
        <f>'Overige opbrengsten'!U126</f>
        <v>1005080.6</v>
      </c>
      <c r="U209" s="9">
        <f>'Overige opbrengsten'!Q126</f>
        <v>5568392.1600000011</v>
      </c>
      <c r="V209" s="9">
        <f>'Overige opbrengsten'!O126</f>
        <v>2647313.7433959399</v>
      </c>
    </row>
    <row r="210" spans="1:25" s="3" customFormat="1" ht="12.75">
      <c r="A210" s="87"/>
      <c r="B210" s="22" t="s">
        <v>214</v>
      </c>
      <c r="H210" s="3" t="s">
        <v>72</v>
      </c>
      <c r="J210" s="9">
        <f t="shared" ref="J210:J211" si="103">SUM(L210:T210)</f>
        <v>3104531.1487733596</v>
      </c>
      <c r="L210" s="21">
        <f>'Overige opbrengsten'!L142</f>
        <v>0</v>
      </c>
      <c r="M210" s="21">
        <f>'Overige opbrengsten'!M142</f>
        <v>200000</v>
      </c>
      <c r="N210" s="9">
        <f>'Overige opbrengsten'!N142-'Overige opbrengsten'!U142</f>
        <v>-359071.7905454546</v>
      </c>
      <c r="O210" s="9">
        <f>'Overige opbrengsten'!O142-'Overige opbrengsten'!W142</f>
        <v>821580.12726080895</v>
      </c>
      <c r="P210" s="21">
        <f>'Overige opbrengsten'!P142</f>
        <v>0</v>
      </c>
      <c r="Q210" s="9">
        <f>'Overige opbrengsten'!Q142-'Overige opbrengsten'!V142</f>
        <v>1436942.2120580049</v>
      </c>
      <c r="R210" s="21">
        <f>'Overige opbrengsten'!R142</f>
        <v>0</v>
      </c>
      <c r="S210" s="21">
        <f>'Overige opbrengsten'!S142</f>
        <v>0</v>
      </c>
      <c r="T210" s="21">
        <f>'Overige opbrengsten'!U142</f>
        <v>1005080.6</v>
      </c>
      <c r="U210" s="9">
        <f>'Overige opbrengsten'!Q142</f>
        <v>1769139.2265872813</v>
      </c>
      <c r="V210" s="9">
        <f>'Overige opbrengsten'!O142</f>
        <v>821580.12726080895</v>
      </c>
    </row>
    <row r="211" spans="1:25" s="3" customFormat="1" ht="12.75">
      <c r="A211" s="87"/>
      <c r="B211" s="3" t="s">
        <v>116</v>
      </c>
      <c r="H211" s="3" t="s">
        <v>72</v>
      </c>
      <c r="J211" s="9">
        <f t="shared" si="103"/>
        <v>0</v>
      </c>
      <c r="L211" s="11"/>
      <c r="M211" s="11"/>
      <c r="N211" s="11"/>
      <c r="O211" s="11"/>
      <c r="P211" s="11"/>
      <c r="Q211" s="11"/>
      <c r="R211" s="11"/>
      <c r="S211" s="11"/>
      <c r="T211" s="11"/>
      <c r="U211" s="11"/>
      <c r="V211" s="11"/>
    </row>
    <row r="212" spans="1:25" s="3" customFormat="1" ht="12.75">
      <c r="A212" s="87"/>
      <c r="B212" s="3" t="s">
        <v>117</v>
      </c>
      <c r="H212" s="3" t="s">
        <v>72</v>
      </c>
      <c r="J212" s="9">
        <f>SUM(L212:T212)</f>
        <v>21322.4833984375</v>
      </c>
      <c r="L212" s="21">
        <f>'Overige opbrengsten'!L174</f>
        <v>0</v>
      </c>
      <c r="M212" s="21">
        <f>'Overige opbrengsten'!M174</f>
        <v>0</v>
      </c>
      <c r="N212" s="9">
        <f>'Overige opbrengsten'!N174-'Overige opbrengsten'!U174</f>
        <v>0</v>
      </c>
      <c r="O212" s="9">
        <f>'Overige opbrengsten'!O174-'Overige opbrengsten'!W174</f>
        <v>0</v>
      </c>
      <c r="P212" s="21">
        <f>'Overige opbrengsten'!P174</f>
        <v>2452.7099609375</v>
      </c>
      <c r="Q212" s="9">
        <f>'Overige opbrengsten'!Q174-'Overige opbrengsten'!V174</f>
        <v>18869.7734375</v>
      </c>
      <c r="R212" s="21">
        <f>'Overige opbrengsten'!R174</f>
        <v>0</v>
      </c>
      <c r="S212" s="21">
        <f>'Overige opbrengsten'!S174</f>
        <v>0</v>
      </c>
      <c r="T212" s="21">
        <f>'Overige opbrengsten'!U174</f>
        <v>0</v>
      </c>
      <c r="U212" s="9">
        <f>'Overige opbrengsten'!Q174</f>
        <v>18869.7734375</v>
      </c>
      <c r="V212" s="9">
        <f>'Overige opbrengsten'!O174</f>
        <v>0</v>
      </c>
    </row>
    <row r="213" spans="1:25" s="3" customFormat="1" ht="12.75">
      <c r="A213" s="87"/>
      <c r="B213" s="3" t="s">
        <v>118</v>
      </c>
      <c r="H213" s="3" t="s">
        <v>72</v>
      </c>
      <c r="J213" s="9">
        <f t="shared" ref="J213:J214" si="104">SUM(L213:T213)</f>
        <v>0</v>
      </c>
      <c r="L213" s="11"/>
      <c r="M213" s="11"/>
      <c r="N213" s="11"/>
      <c r="O213" s="11"/>
      <c r="P213" s="11"/>
      <c r="Q213" s="11"/>
      <c r="R213" s="11"/>
      <c r="S213" s="11"/>
      <c r="T213" s="11"/>
      <c r="U213" s="11"/>
      <c r="V213" s="11"/>
    </row>
    <row r="214" spans="1:25" s="3" customFormat="1" ht="12.75">
      <c r="A214" s="87"/>
      <c r="B214" s="22" t="s">
        <v>119</v>
      </c>
      <c r="H214" s="3" t="s">
        <v>72</v>
      </c>
      <c r="J214" s="9">
        <f t="shared" si="104"/>
        <v>8898061.4517361484</v>
      </c>
      <c r="L214" s="9">
        <f>(L209-L210)+SUM(L211:L213)</f>
        <v>0</v>
      </c>
      <c r="M214" s="9">
        <f t="shared" ref="M214:S214" si="105">(M209-M210)+SUM(M211:M213)</f>
        <v>935135.81454545446</v>
      </c>
      <c r="N214" s="9">
        <f t="shared" si="105"/>
        <v>2584035.2378181815</v>
      </c>
      <c r="O214" s="9">
        <f t="shared" si="105"/>
        <v>1825733.6161351311</v>
      </c>
      <c r="P214" s="9">
        <f t="shared" si="105"/>
        <v>2452.7099609375</v>
      </c>
      <c r="Q214" s="9">
        <f t="shared" si="105"/>
        <v>3550704.0732764425</v>
      </c>
      <c r="R214" s="9">
        <f t="shared" si="105"/>
        <v>0</v>
      </c>
      <c r="S214" s="9">
        <f t="shared" si="105"/>
        <v>0</v>
      </c>
      <c r="T214" s="9">
        <f t="shared" ref="T214:U214" si="106">(T209-T210)+SUM(T211:T213)</f>
        <v>0</v>
      </c>
      <c r="U214" s="9">
        <f t="shared" si="106"/>
        <v>3818122.7068502195</v>
      </c>
      <c r="V214" s="9">
        <f t="shared" ref="V214" si="107">(V209-V210)+SUM(V211:V213)</f>
        <v>1825733.6161351311</v>
      </c>
    </row>
    <row r="215" spans="1:25" s="3" customFormat="1" ht="12.75">
      <c r="A215" s="87"/>
    </row>
    <row r="216" spans="1:25" s="3" customFormat="1" ht="12.75">
      <c r="A216" s="87"/>
    </row>
    <row r="217" spans="1:25" s="3" customFormat="1" ht="12.75">
      <c r="A217" s="87"/>
      <c r="B217" s="17" t="s">
        <v>120</v>
      </c>
    </row>
    <row r="218" spans="1:25" s="3" customFormat="1" ht="12.75">
      <c r="A218" s="87"/>
    </row>
    <row r="219" spans="1:25" s="3" customFormat="1" ht="12.75">
      <c r="A219" s="87"/>
      <c r="B219" s="3" t="s">
        <v>169</v>
      </c>
      <c r="D219" s="22" t="s">
        <v>175</v>
      </c>
      <c r="H219" s="3" t="s">
        <v>72</v>
      </c>
      <c r="J219" s="9">
        <f>SUM(L219:T219)</f>
        <v>1046693397.7746994</v>
      </c>
      <c r="L219" s="9">
        <f>L195-L214</f>
        <v>6160954.6656007525</v>
      </c>
      <c r="M219" s="9">
        <f>M195-M214</f>
        <v>26791114.266675711</v>
      </c>
      <c r="N219" s="9">
        <f t="shared" ref="N219:S219" si="108">N195-N214</f>
        <v>361371608.16331637</v>
      </c>
      <c r="O219" s="9">
        <f t="shared" si="108"/>
        <v>322369761.3264432</v>
      </c>
      <c r="P219" s="9">
        <f t="shared" si="108"/>
        <v>4161082.9961445616</v>
      </c>
      <c r="Q219" s="9">
        <f t="shared" si="108"/>
        <v>280855566.92302603</v>
      </c>
      <c r="R219" s="9">
        <f t="shared" si="108"/>
        <v>20621630.655688085</v>
      </c>
      <c r="S219" s="9">
        <f t="shared" si="108"/>
        <v>13558513.607186437</v>
      </c>
      <c r="T219" s="9">
        <f t="shared" ref="T219:U219" si="109">T195-T214</f>
        <v>10803165.170618398</v>
      </c>
      <c r="U219" s="9">
        <f t="shared" si="109"/>
        <v>289155926.8352232</v>
      </c>
      <c r="V219" s="9">
        <f t="shared" ref="V219" si="110">V195-V214</f>
        <v>323137264.63176978</v>
      </c>
      <c r="Y219" s="79" t="s">
        <v>271</v>
      </c>
    </row>
    <row r="220" spans="1:25" s="3" customFormat="1" ht="12.75">
      <c r="A220" s="87"/>
      <c r="B220" s="3" t="s">
        <v>172</v>
      </c>
      <c r="D220" s="22" t="s">
        <v>222</v>
      </c>
      <c r="H220" s="3" t="s">
        <v>72</v>
      </c>
      <c r="J220" s="9">
        <f>SUM(L220:T220)</f>
        <v>882031194.00352764</v>
      </c>
      <c r="L220" s="9">
        <f>L196-L214</f>
        <v>5242671.8164216196</v>
      </c>
      <c r="M220" s="9">
        <f t="shared" ref="M220:S220" si="111">M196-M214</f>
        <v>22777039.882075332</v>
      </c>
      <c r="N220" s="9">
        <f t="shared" si="111"/>
        <v>308476291.48266429</v>
      </c>
      <c r="O220" s="9">
        <f t="shared" si="111"/>
        <v>267738655.47638816</v>
      </c>
      <c r="P220" s="9">
        <f t="shared" si="111"/>
        <v>3684072.6052945121</v>
      </c>
      <c r="Q220" s="9">
        <f t="shared" si="111"/>
        <v>236140835.31226271</v>
      </c>
      <c r="R220" s="9">
        <f t="shared" si="111"/>
        <v>16865208.43403694</v>
      </c>
      <c r="S220" s="9">
        <f t="shared" si="111"/>
        <v>12072856.523495371</v>
      </c>
      <c r="T220" s="9">
        <f t="shared" ref="T220:U220" si="112">T196-T214</f>
        <v>9033562.4708886892</v>
      </c>
      <c r="U220" s="9">
        <f t="shared" si="112"/>
        <v>243001415.38285381</v>
      </c>
      <c r="V220" s="9">
        <f t="shared" ref="V220" si="113">V196-V214</f>
        <v>268385803.65980202</v>
      </c>
      <c r="Y220" s="79" t="s">
        <v>271</v>
      </c>
    </row>
    <row r="221" spans="1:25" s="3" customFormat="1" ht="12.75">
      <c r="A221" s="87"/>
      <c r="B221" s="3" t="s">
        <v>210</v>
      </c>
      <c r="D221" s="22" t="s">
        <v>219</v>
      </c>
      <c r="H221" s="3" t="s">
        <v>72</v>
      </c>
      <c r="J221" s="9">
        <f t="shared" ref="J221:J222" si="114">SUM(L221:T221)</f>
        <v>1090603318.7803454</v>
      </c>
      <c r="L221" s="9">
        <f t="shared" ref="L221:U221" si="115">L197-L214</f>
        <v>6405830.0920485212</v>
      </c>
      <c r="M221" s="9">
        <f t="shared" si="115"/>
        <v>27861534.102569148</v>
      </c>
      <c r="N221" s="9">
        <f t="shared" si="115"/>
        <v>375477025.94482356</v>
      </c>
      <c r="O221" s="9">
        <f t="shared" si="115"/>
        <v>336938056.21979129</v>
      </c>
      <c r="P221" s="9">
        <f t="shared" si="115"/>
        <v>4288285.7670379076</v>
      </c>
      <c r="Q221" s="9">
        <f t="shared" si="115"/>
        <v>292779495.35256296</v>
      </c>
      <c r="R221" s="9">
        <f t="shared" si="115"/>
        <v>21623343.248128388</v>
      </c>
      <c r="S221" s="9">
        <f t="shared" si="115"/>
        <v>13954688.829504054</v>
      </c>
      <c r="T221" s="9">
        <f t="shared" si="115"/>
        <v>11275059.223879654</v>
      </c>
      <c r="U221" s="9">
        <f t="shared" si="115"/>
        <v>301463796.55585504</v>
      </c>
      <c r="V221" s="9">
        <f t="shared" ref="V221" si="116">V197-V214</f>
        <v>337737654.22429454</v>
      </c>
      <c r="Y221" s="79" t="s">
        <v>271</v>
      </c>
    </row>
    <row r="222" spans="1:25" s="3" customFormat="1" ht="12.75">
      <c r="A222" s="87"/>
      <c r="B222" s="3" t="s">
        <v>218</v>
      </c>
      <c r="D222" s="22" t="s">
        <v>220</v>
      </c>
      <c r="H222" s="3" t="s">
        <v>72</v>
      </c>
      <c r="J222" s="9">
        <f t="shared" si="114"/>
        <v>947896075.51199627</v>
      </c>
      <c r="L222" s="9">
        <f>L198-L214</f>
        <v>5609984.9560932722</v>
      </c>
      <c r="M222" s="9">
        <f t="shared" ref="M222:S222" si="117">M198-M214</f>
        <v>24382669.635915481</v>
      </c>
      <c r="N222" s="9">
        <f t="shared" si="117"/>
        <v>329634418.15492511</v>
      </c>
      <c r="O222" s="9">
        <f t="shared" si="117"/>
        <v>289591097.81641018</v>
      </c>
      <c r="P222" s="9">
        <f t="shared" si="117"/>
        <v>3874876.7616345319</v>
      </c>
      <c r="Q222" s="9">
        <f t="shared" si="117"/>
        <v>254026727.95656803</v>
      </c>
      <c r="R222" s="9">
        <f t="shared" si="117"/>
        <v>18367777.322697394</v>
      </c>
      <c r="S222" s="9">
        <f t="shared" si="117"/>
        <v>12667119.356971797</v>
      </c>
      <c r="T222" s="9">
        <f t="shared" ref="T222:U222" si="118">T198-T214</f>
        <v>9741403.550780572</v>
      </c>
      <c r="U222" s="9">
        <f t="shared" si="118"/>
        <v>261463219.96380156</v>
      </c>
      <c r="V222" s="9">
        <f t="shared" ref="V222" si="119">V198-V214</f>
        <v>290286388.04858911</v>
      </c>
      <c r="Y222" s="79" t="s">
        <v>271</v>
      </c>
    </row>
    <row r="223" spans="1:25" s="3" customFormat="1" ht="12.75">
      <c r="A223" s="87"/>
    </row>
    <row r="224" spans="1:25" s="3" customFormat="1" ht="12.75">
      <c r="A224" s="87"/>
      <c r="B224" s="38" t="s">
        <v>232</v>
      </c>
      <c r="L224" s="8" t="s">
        <v>357</v>
      </c>
      <c r="M224" s="8" t="s">
        <v>59</v>
      </c>
      <c r="N224" s="8" t="s">
        <v>2</v>
      </c>
      <c r="O224" s="8" t="s">
        <v>3</v>
      </c>
      <c r="P224" s="8" t="s">
        <v>4</v>
      </c>
      <c r="Q224" s="8" t="s">
        <v>5</v>
      </c>
      <c r="R224" s="8" t="s">
        <v>6</v>
      </c>
    </row>
    <row r="225" spans="1:25" s="3" customFormat="1" ht="12.75">
      <c r="A225" s="87"/>
      <c r="C225" s="23"/>
      <c r="D225" s="23"/>
    </row>
    <row r="226" spans="1:25" s="3" customFormat="1" ht="12.75">
      <c r="A226" s="87"/>
      <c r="B226" s="25" t="s">
        <v>237</v>
      </c>
      <c r="D226" s="26" t="s">
        <v>131</v>
      </c>
      <c r="H226" s="3" t="s">
        <v>72</v>
      </c>
      <c r="J226" s="9">
        <f t="shared" ref="J226:J227" si="120">SUM(L226:R226)</f>
        <v>817742.89378191228</v>
      </c>
      <c r="L226" s="9">
        <f>L203</f>
        <v>-1.4893246861279199E-10</v>
      </c>
      <c r="M226" s="9">
        <f>M203</f>
        <v>0</v>
      </c>
      <c r="N226" s="9">
        <f>N203+S203</f>
        <v>0</v>
      </c>
      <c r="O226" s="9">
        <f>O203+T203</f>
        <v>0</v>
      </c>
      <c r="P226" s="9">
        <f t="shared" ref="P226:R227" si="121">P203</f>
        <v>817742.8937819124</v>
      </c>
      <c r="Q226" s="9">
        <f t="shared" si="121"/>
        <v>0</v>
      </c>
      <c r="R226" s="9">
        <f t="shared" si="121"/>
        <v>0</v>
      </c>
    </row>
    <row r="227" spans="1:25" s="3" customFormat="1" ht="12.75">
      <c r="A227" s="87"/>
      <c r="B227" s="25" t="s">
        <v>237</v>
      </c>
      <c r="D227" s="26" t="s">
        <v>132</v>
      </c>
      <c r="H227" s="3" t="s">
        <v>72</v>
      </c>
      <c r="J227" s="9">
        <f t="shared" si="120"/>
        <v>776162.74664045929</v>
      </c>
      <c r="L227" s="9">
        <f>L204</f>
        <v>-9.9288312408527995E-11</v>
      </c>
      <c r="M227" s="9">
        <f>M204</f>
        <v>0</v>
      </c>
      <c r="N227" s="9">
        <f>N204+S204</f>
        <v>0</v>
      </c>
      <c r="O227" s="9">
        <f>O204+T204</f>
        <v>0</v>
      </c>
      <c r="P227" s="9">
        <f t="shared" si="121"/>
        <v>776162.7466404594</v>
      </c>
      <c r="Q227" s="9">
        <f t="shared" si="121"/>
        <v>0</v>
      </c>
      <c r="R227" s="9">
        <f t="shared" si="121"/>
        <v>0</v>
      </c>
    </row>
    <row r="228" spans="1:25" s="3" customFormat="1" ht="12.75">
      <c r="A228" s="87"/>
    </row>
    <row r="229" spans="1:25" s="3" customFormat="1" ht="12.75">
      <c r="A229" s="87"/>
      <c r="B229" s="25" t="s">
        <v>147</v>
      </c>
      <c r="D229" s="26" t="s">
        <v>131</v>
      </c>
      <c r="H229" s="3" t="s">
        <v>72</v>
      </c>
      <c r="J229" s="9">
        <f t="shared" ref="J229:J230" si="122">SUM(L229:R229)</f>
        <v>1046693397.7746994</v>
      </c>
      <c r="L229" s="9">
        <f>L219</f>
        <v>6160954.6656007525</v>
      </c>
      <c r="M229" s="9">
        <f>M219</f>
        <v>26791114.266675711</v>
      </c>
      <c r="N229" s="9">
        <f>N219+S219</f>
        <v>374930121.77050281</v>
      </c>
      <c r="O229" s="9">
        <f>O219+T219</f>
        <v>333172926.49706161</v>
      </c>
      <c r="P229" s="9">
        <f t="shared" ref="P229:R230" si="123">P219</f>
        <v>4161082.9961445616</v>
      </c>
      <c r="Q229" s="9">
        <f t="shared" si="123"/>
        <v>280855566.92302603</v>
      </c>
      <c r="R229" s="9">
        <f t="shared" si="123"/>
        <v>20621630.655688085</v>
      </c>
      <c r="Y229" s="79"/>
    </row>
    <row r="230" spans="1:25" s="3" customFormat="1" ht="12.75">
      <c r="A230" s="87"/>
      <c r="B230" s="25" t="s">
        <v>147</v>
      </c>
      <c r="D230" s="26" t="s">
        <v>132</v>
      </c>
      <c r="H230" s="3" t="s">
        <v>72</v>
      </c>
      <c r="J230" s="9">
        <f t="shared" si="122"/>
        <v>882031194.00352764</v>
      </c>
      <c r="L230" s="9">
        <f>L220</f>
        <v>5242671.8164216196</v>
      </c>
      <c r="M230" s="9">
        <f>M220</f>
        <v>22777039.882075332</v>
      </c>
      <c r="N230" s="9">
        <f>N220+S220</f>
        <v>320549148.00615966</v>
      </c>
      <c r="O230" s="9">
        <f>O220+T220</f>
        <v>276772217.94727683</v>
      </c>
      <c r="P230" s="9">
        <f t="shared" si="123"/>
        <v>3684072.6052945121</v>
      </c>
      <c r="Q230" s="9">
        <f t="shared" si="123"/>
        <v>236140835.31226271</v>
      </c>
      <c r="R230" s="9">
        <f t="shared" si="123"/>
        <v>16865208.43403694</v>
      </c>
    </row>
    <row r="231" spans="1:25" s="3" customFormat="1" ht="12.75">
      <c r="A231" s="87"/>
      <c r="B231" s="25"/>
      <c r="D231" s="26"/>
    </row>
    <row r="232" spans="1:25" s="3" customFormat="1" ht="12.75">
      <c r="A232" s="87"/>
      <c r="B232" s="25"/>
      <c r="D232" s="26"/>
    </row>
    <row r="233" spans="1:25" s="3" customFormat="1" ht="12.75">
      <c r="A233" s="87"/>
      <c r="B233" s="38" t="s">
        <v>236</v>
      </c>
      <c r="L233" s="8" t="s">
        <v>357</v>
      </c>
      <c r="M233" s="8" t="s">
        <v>59</v>
      </c>
      <c r="N233" s="8" t="s">
        <v>2</v>
      </c>
      <c r="O233" s="8" t="s">
        <v>3</v>
      </c>
      <c r="P233" s="8" t="s">
        <v>4</v>
      </c>
      <c r="Q233" s="8" t="s">
        <v>5</v>
      </c>
      <c r="R233" s="8" t="s">
        <v>6</v>
      </c>
    </row>
    <row r="234" spans="1:25" s="3" customFormat="1" ht="12.75">
      <c r="A234" s="87"/>
      <c r="B234" s="38"/>
    </row>
    <row r="235" spans="1:25" s="3" customFormat="1" ht="12.75">
      <c r="A235" s="87"/>
      <c r="B235" s="25" t="s">
        <v>147</v>
      </c>
      <c r="D235" s="3" t="s">
        <v>135</v>
      </c>
      <c r="H235" s="3" t="s">
        <v>72</v>
      </c>
      <c r="J235" s="9">
        <f t="shared" ref="J235" si="124">SUM(L235:R235)</f>
        <v>1100087217.9881408</v>
      </c>
      <c r="L235" s="9">
        <f>L221</f>
        <v>6405830.0920485212</v>
      </c>
      <c r="M235" s="9">
        <f>M221</f>
        <v>27861534.102569148</v>
      </c>
      <c r="N235" s="9">
        <f>N221+S221</f>
        <v>389431714.77432764</v>
      </c>
      <c r="O235" s="9">
        <f>V221+T221</f>
        <v>349012713.44817418</v>
      </c>
      <c r="P235" s="9">
        <f>P221</f>
        <v>4288285.7670379076</v>
      </c>
      <c r="Q235" s="9">
        <f>U221</f>
        <v>301463796.55585504</v>
      </c>
      <c r="R235" s="9">
        <f>R221</f>
        <v>21623343.248128388</v>
      </c>
      <c r="Y235" s="79"/>
    </row>
    <row r="236" spans="1:25" s="3" customFormat="1" ht="12.75">
      <c r="A236" s="87"/>
    </row>
    <row r="237" spans="1:25" s="3" customFormat="1" ht="12.75">
      <c r="A237" s="87"/>
      <c r="B237" s="38" t="s">
        <v>234</v>
      </c>
      <c r="L237" s="8" t="s">
        <v>357</v>
      </c>
      <c r="M237" s="8" t="s">
        <v>59</v>
      </c>
      <c r="N237" s="8" t="s">
        <v>2</v>
      </c>
      <c r="O237" s="8" t="s">
        <v>3</v>
      </c>
      <c r="P237" s="8" t="s">
        <v>4</v>
      </c>
      <c r="Q237" s="8" t="s">
        <v>5</v>
      </c>
      <c r="R237" s="8" t="s">
        <v>6</v>
      </c>
    </row>
    <row r="238" spans="1:25" s="3" customFormat="1" ht="12.75">
      <c r="A238" s="87"/>
      <c r="B238" s="38"/>
    </row>
    <row r="239" spans="1:25" s="3" customFormat="1" ht="12.75">
      <c r="A239" s="87"/>
      <c r="B239" s="25" t="s">
        <v>147</v>
      </c>
      <c r="D239" s="3" t="s">
        <v>227</v>
      </c>
      <c r="H239" s="3" t="s">
        <v>72</v>
      </c>
      <c r="J239" s="9">
        <f t="shared" ref="J239" si="125">SUM(L239:R239)</f>
        <v>948591365.74417543</v>
      </c>
      <c r="L239" s="9">
        <f>L222</f>
        <v>5609984.9560932722</v>
      </c>
      <c r="M239" s="9">
        <f>M222</f>
        <v>24382669.635915481</v>
      </c>
      <c r="N239" s="9">
        <f>N222+S222</f>
        <v>342301537.51189691</v>
      </c>
      <c r="O239" s="9">
        <f>V222+T222</f>
        <v>300027791.5993697</v>
      </c>
      <c r="P239" s="9">
        <f>P222</f>
        <v>3874876.7616345319</v>
      </c>
      <c r="Q239" s="9">
        <f>Q222</f>
        <v>254026727.95656803</v>
      </c>
      <c r="R239" s="9">
        <f>R222</f>
        <v>18367777.322697394</v>
      </c>
      <c r="Y239" s="79"/>
    </row>
    <row r="240" spans="1:25" s="3" customFormat="1" ht="12.75"/>
    <row r="241" spans="1:22" s="3" customFormat="1" ht="12.75"/>
    <row r="242" spans="1:22" s="3" customFormat="1" ht="12.75"/>
    <row r="243" spans="1:22" s="4" customFormat="1" ht="12.75">
      <c r="B243" s="4" t="s">
        <v>123</v>
      </c>
    </row>
    <row r="244" spans="1:22" s="3" customFormat="1" ht="12.75"/>
    <row r="245" spans="1:22" s="3" customFormat="1" ht="12.75">
      <c r="B245" s="17" t="s">
        <v>91</v>
      </c>
    </row>
    <row r="246" spans="1:22" s="3" customFormat="1" ht="12.75"/>
    <row r="247" spans="1:22" s="3" customFormat="1" ht="12.75">
      <c r="A247" s="87"/>
      <c r="B247" s="17" t="s">
        <v>92</v>
      </c>
    </row>
    <row r="248" spans="1:22" s="3" customFormat="1" ht="12.75">
      <c r="A248" s="87"/>
      <c r="B248" s="3" t="s">
        <v>93</v>
      </c>
      <c r="H248" s="3" t="s">
        <v>73</v>
      </c>
      <c r="J248" s="9">
        <f>SUM(L248:T248)</f>
        <v>0</v>
      </c>
      <c r="L248" s="21">
        <f>'GAW IMPORT'!L108</f>
        <v>0</v>
      </c>
      <c r="M248" s="21">
        <f>'GAW IMPORT'!M108</f>
        <v>0</v>
      </c>
      <c r="N248" s="21">
        <f>'GAW IMPORT'!N108</f>
        <v>0</v>
      </c>
      <c r="O248" s="21">
        <f>'GAW IMPORT'!O108</f>
        <v>0</v>
      </c>
      <c r="P248" s="21">
        <f>'GAW IMPORT'!P108</f>
        <v>0</v>
      </c>
      <c r="Q248" s="21">
        <f>'GAW IMPORT'!Q108</f>
        <v>0</v>
      </c>
      <c r="R248" s="21">
        <f>'GAW IMPORT'!R108</f>
        <v>0</v>
      </c>
      <c r="S248" s="21">
        <f>'GAW IMPORT'!S108</f>
        <v>0</v>
      </c>
      <c r="T248" s="21">
        <f>'GAW IMPORT'!U108</f>
        <v>0</v>
      </c>
      <c r="U248" s="21">
        <f>'GAW IMPORT'!V108</f>
        <v>0</v>
      </c>
      <c r="V248" s="21">
        <f>'GAW IMPORT'!W108</f>
        <v>0</v>
      </c>
    </row>
    <row r="249" spans="1:22" s="3" customFormat="1" ht="12.75">
      <c r="A249" s="87"/>
      <c r="B249" s="3" t="s">
        <v>94</v>
      </c>
      <c r="H249" s="3" t="s">
        <v>73</v>
      </c>
      <c r="J249" s="9">
        <f t="shared" ref="J249:J250" si="126">SUM(L249:T249)</f>
        <v>393217386.86709797</v>
      </c>
      <c r="L249" s="21">
        <f>'GAW IMPORT'!L109</f>
        <v>2489470.2581239156</v>
      </c>
      <c r="M249" s="21">
        <f>'GAW IMPORT'!M109</f>
        <v>10385774.351153672</v>
      </c>
      <c r="N249" s="21">
        <f>'GAW IMPORT'!N109</f>
        <v>137424607.25445232</v>
      </c>
      <c r="O249" s="21">
        <f>'GAW IMPORT'!O109</f>
        <v>123015513.77896096</v>
      </c>
      <c r="P249" s="21">
        <f>'GAW IMPORT'!P109</f>
        <v>1962088.0156831327</v>
      </c>
      <c r="Q249" s="21">
        <f>'GAW IMPORT'!Q109</f>
        <v>103741479.95238997</v>
      </c>
      <c r="R249" s="21">
        <f>'GAW IMPORT'!R109</f>
        <v>4075807.1778612281</v>
      </c>
      <c r="S249" s="21">
        <f>'GAW IMPORT'!S109</f>
        <v>6248660.9968397655</v>
      </c>
      <c r="T249" s="21">
        <f>'GAW IMPORT'!U109</f>
        <v>3873985.0816330775</v>
      </c>
      <c r="U249" s="21">
        <f>'GAW IMPORT'!V109</f>
        <v>106785651.69130188</v>
      </c>
      <c r="V249" s="21">
        <f>'GAW IMPORT'!W109</f>
        <v>123384511.02126244</v>
      </c>
    </row>
    <row r="250" spans="1:22" s="3" customFormat="1" ht="12.75">
      <c r="A250" s="87"/>
      <c r="B250" s="3" t="s">
        <v>95</v>
      </c>
      <c r="H250" s="3" t="s">
        <v>73</v>
      </c>
      <c r="J250" s="9">
        <f t="shared" si="126"/>
        <v>5495657037.3190308</v>
      </c>
      <c r="L250" s="21">
        <f>'GAW IMPORT'!L110</f>
        <v>19178651.650932346</v>
      </c>
      <c r="M250" s="21">
        <f>'GAW IMPORT'!M110</f>
        <v>88330715.16647391</v>
      </c>
      <c r="N250" s="21">
        <f>'GAW IMPORT'!N110</f>
        <v>1811332500.7691226</v>
      </c>
      <c r="O250" s="21">
        <f>'GAW IMPORT'!O110</f>
        <v>2061451054.775533</v>
      </c>
      <c r="P250" s="21">
        <f>'GAW IMPORT'!P110</f>
        <v>7469221.2407777961</v>
      </c>
      <c r="Q250" s="21">
        <f>'GAW IMPORT'!Q110</f>
        <v>1342155728.7622526</v>
      </c>
      <c r="R250" s="21">
        <f>'GAW IMPORT'!R110</f>
        <v>69540831.787962407</v>
      </c>
      <c r="S250" s="21">
        <f>'GAW IMPORT'!S110</f>
        <v>45137062.364132322</v>
      </c>
      <c r="T250" s="21">
        <f>'GAW IMPORT'!U110</f>
        <v>51061270.801844738</v>
      </c>
      <c r="U250" s="21">
        <f>'GAW IMPORT'!V110</f>
        <v>1381539710.3730013</v>
      </c>
      <c r="V250" s="21">
        <f>'GAW IMPORT'!W110</f>
        <v>2067634581.8038268</v>
      </c>
    </row>
    <row r="251" spans="1:22" s="3" customFormat="1" ht="12.75">
      <c r="A251" s="87"/>
    </row>
    <row r="252" spans="1:22" s="3" customFormat="1" ht="12.75">
      <c r="A252" s="87"/>
      <c r="B252" s="17" t="s">
        <v>96</v>
      </c>
    </row>
    <row r="253" spans="1:22" s="3" customFormat="1" ht="12.75">
      <c r="A253" s="87"/>
      <c r="B253" s="3" t="s">
        <v>97</v>
      </c>
      <c r="H253" s="3" t="s">
        <v>73</v>
      </c>
      <c r="J253" s="9">
        <f>SUM(L253:T253)</f>
        <v>584513108.19120705</v>
      </c>
      <c r="L253" s="21">
        <f>'GAW IMPORT'!L113</f>
        <v>1519715.7447459218</v>
      </c>
      <c r="M253" s="21">
        <f>'GAW IMPORT'!M113</f>
        <v>23582649.814661585</v>
      </c>
      <c r="N253" s="21">
        <f>'GAW IMPORT'!N113</f>
        <v>181749568.90639356</v>
      </c>
      <c r="O253" s="21">
        <f>'GAW IMPORT'!O113</f>
        <v>226380875.0142571</v>
      </c>
      <c r="P253" s="21">
        <f>'GAW IMPORT'!P113</f>
        <v>1997900.5600000003</v>
      </c>
      <c r="Q253" s="21">
        <f>'GAW IMPORT'!Q113</f>
        <v>132132253.46892956</v>
      </c>
      <c r="R253" s="21">
        <f>'GAW IMPORT'!R113</f>
        <v>6361719.7387392893</v>
      </c>
      <c r="S253" s="21">
        <f>'GAW IMPORT'!S113</f>
        <v>7493138.8134799991</v>
      </c>
      <c r="T253" s="21">
        <f>'GAW IMPORT'!U113</f>
        <v>3295286.129999999</v>
      </c>
      <c r="U253" s="21">
        <f>'GAW IMPORT'!V113</f>
        <v>132132253.46892956</v>
      </c>
      <c r="V253" s="21">
        <f>'GAW IMPORT'!W113</f>
        <v>225459044.0142571</v>
      </c>
    </row>
    <row r="254" spans="1:22" s="3" customFormat="1" ht="12.75">
      <c r="A254" s="87"/>
      <c r="B254" s="3" t="s">
        <v>87</v>
      </c>
      <c r="H254" s="3" t="s">
        <v>73</v>
      </c>
      <c r="J254" s="9">
        <f t="shared" ref="J254:J255" si="127">SUM(L254:T254)</f>
        <v>184138274.11556315</v>
      </c>
      <c r="L254" s="21">
        <f>'GAW IMPORT'!L114</f>
        <v>999340.14661725913</v>
      </c>
      <c r="M254" s="21">
        <f>'GAW IMPORT'!M114</f>
        <v>5529182.2558687842</v>
      </c>
      <c r="N254" s="21">
        <f>'GAW IMPORT'!N114</f>
        <v>70466700.076911181</v>
      </c>
      <c r="O254" s="21">
        <f>'GAW IMPORT'!O114</f>
        <v>43309963.961124212</v>
      </c>
      <c r="P254" s="21">
        <f>'GAW IMPORT'!P114</f>
        <v>805339.95078115468</v>
      </c>
      <c r="Q254" s="21">
        <f>'GAW IMPORT'!Q114</f>
        <v>52657629.344188087</v>
      </c>
      <c r="R254" s="21">
        <f>'GAW IMPORT'!R114</f>
        <v>5561903.658255225</v>
      </c>
      <c r="S254" s="21">
        <f>'GAW IMPORT'!S114</f>
        <v>3029628.2901174477</v>
      </c>
      <c r="T254" s="21">
        <f>'GAW IMPORT'!U114</f>
        <v>1778586.4316998012</v>
      </c>
      <c r="U254" s="21">
        <f>'GAW IMPORT'!V114</f>
        <v>53956330.733742461</v>
      </c>
      <c r="V254" s="21">
        <f>'GAW IMPORT'!W114</f>
        <v>43334808.694307178</v>
      </c>
    </row>
    <row r="255" spans="1:22" s="3" customFormat="1" ht="12.75">
      <c r="A255" s="87"/>
      <c r="B255" s="3" t="s">
        <v>98</v>
      </c>
      <c r="H255" s="3" t="s">
        <v>73</v>
      </c>
      <c r="J255" s="9">
        <f t="shared" si="127"/>
        <v>5565170069.4178944</v>
      </c>
      <c r="L255" s="21">
        <f>'GAW IMPORT'!L115</f>
        <v>40683298.867134005</v>
      </c>
      <c r="M255" s="21">
        <f>'GAW IMPORT'!M115</f>
        <v>179130801.03261971</v>
      </c>
      <c r="N255" s="21">
        <f>'GAW IMPORT'!N115</f>
        <v>1723872077.2722092</v>
      </c>
      <c r="O255" s="21">
        <f>'GAW IMPORT'!O115</f>
        <v>1672795602.4348626</v>
      </c>
      <c r="P255" s="21">
        <f>'GAW IMPORT'!P115</f>
        <v>23879951.003327906</v>
      </c>
      <c r="Q255" s="21">
        <f>'GAW IMPORT'!Q115</f>
        <v>1625846009.0410242</v>
      </c>
      <c r="R255" s="21">
        <f>'GAW IMPORT'!R115</f>
        <v>180115606.70583743</v>
      </c>
      <c r="S255" s="21">
        <f>'GAW IMPORT'!S115</f>
        <v>53112030.79758887</v>
      </c>
      <c r="T255" s="21">
        <f>'GAW IMPORT'!U115</f>
        <v>65734692.26328937</v>
      </c>
      <c r="U255" s="21">
        <f>'GAW IMPORT'!V115</f>
        <v>1679064330.3032839</v>
      </c>
      <c r="V255" s="21">
        <f>'GAW IMPORT'!W115</f>
        <v>1673400313.9732046</v>
      </c>
    </row>
    <row r="256" spans="1:22" s="3" customFormat="1" ht="12.75">
      <c r="A256" s="87"/>
    </row>
    <row r="257" spans="1:22" s="3" customFormat="1" ht="12.75">
      <c r="A257" s="87"/>
      <c r="B257" s="17" t="s">
        <v>99</v>
      </c>
    </row>
    <row r="258" spans="1:22" s="3" customFormat="1" ht="12.75">
      <c r="A258" s="87"/>
      <c r="B258" s="3" t="s">
        <v>100</v>
      </c>
      <c r="H258" s="3" t="s">
        <v>73</v>
      </c>
      <c r="J258" s="9">
        <f>SUM(L258:T258)</f>
        <v>0</v>
      </c>
      <c r="L258" s="21">
        <f>'GAW IMPORT'!L118</f>
        <v>0</v>
      </c>
      <c r="M258" s="21">
        <f>'GAW IMPORT'!M118</f>
        <v>0</v>
      </c>
      <c r="N258" s="21">
        <f>'GAW IMPORT'!N118</f>
        <v>0</v>
      </c>
      <c r="O258" s="21">
        <f>'GAW IMPORT'!O118</f>
        <v>0</v>
      </c>
      <c r="P258" s="21">
        <f>'GAW IMPORT'!P118</f>
        <v>0</v>
      </c>
      <c r="Q258" s="21">
        <f>'GAW IMPORT'!Q118</f>
        <v>0</v>
      </c>
      <c r="R258" s="21">
        <f>'GAW IMPORT'!R118</f>
        <v>0</v>
      </c>
      <c r="S258" s="21">
        <f>'GAW IMPORT'!S118</f>
        <v>0</v>
      </c>
      <c r="T258" s="21">
        <f>'GAW IMPORT'!U118</f>
        <v>0</v>
      </c>
      <c r="U258" s="21">
        <f>'GAW IMPORT'!V118</f>
        <v>0</v>
      </c>
      <c r="V258" s="21">
        <f>'GAW IMPORT'!W118</f>
        <v>0</v>
      </c>
    </row>
    <row r="259" spans="1:22" s="3" customFormat="1" ht="12.75">
      <c r="A259" s="87"/>
      <c r="B259" s="3" t="s">
        <v>101</v>
      </c>
      <c r="H259" s="3" t="s">
        <v>73</v>
      </c>
      <c r="J259" s="9">
        <f t="shared" ref="J259:J260" si="128">SUM(L259:T259)</f>
        <v>699932.47688112885</v>
      </c>
      <c r="L259" s="21">
        <f>'GAW IMPORT'!L119</f>
        <v>0</v>
      </c>
      <c r="M259" s="21">
        <f>'GAW IMPORT'!M119</f>
        <v>0</v>
      </c>
      <c r="N259" s="21">
        <f>'GAW IMPORT'!N119</f>
        <v>0</v>
      </c>
      <c r="O259" s="21">
        <f>'GAW IMPORT'!O119</f>
        <v>0</v>
      </c>
      <c r="P259" s="21">
        <f>'GAW IMPORT'!P119</f>
        <v>699932.47688112885</v>
      </c>
      <c r="Q259" s="21">
        <f>'GAW IMPORT'!Q119</f>
        <v>0</v>
      </c>
      <c r="R259" s="21">
        <f>'GAW IMPORT'!R119</f>
        <v>0</v>
      </c>
      <c r="S259" s="21">
        <f>'GAW IMPORT'!S119</f>
        <v>0</v>
      </c>
      <c r="T259" s="21">
        <f>'GAW IMPORT'!U119</f>
        <v>0</v>
      </c>
      <c r="U259" s="21">
        <f>'GAW IMPORT'!V119</f>
        <v>0</v>
      </c>
      <c r="V259" s="21">
        <f>'GAW IMPORT'!W119</f>
        <v>0</v>
      </c>
    </row>
    <row r="260" spans="1:22" s="3" customFormat="1" ht="12.75">
      <c r="A260" s="87"/>
      <c r="B260" s="3" t="s">
        <v>102</v>
      </c>
      <c r="H260" s="3" t="s">
        <v>73</v>
      </c>
      <c r="J260" s="9">
        <f t="shared" si="128"/>
        <v>2099797.4306433732</v>
      </c>
      <c r="L260" s="21">
        <f>'GAW IMPORT'!L120</f>
        <v>-3.3427065177537763E-9</v>
      </c>
      <c r="M260" s="21">
        <f>'GAW IMPORT'!M120</f>
        <v>0</v>
      </c>
      <c r="N260" s="21">
        <f>'GAW IMPORT'!N120</f>
        <v>0</v>
      </c>
      <c r="O260" s="21">
        <f>'GAW IMPORT'!O120</f>
        <v>0</v>
      </c>
      <c r="P260" s="21">
        <f>'GAW IMPORT'!P120</f>
        <v>2099797.4306433764</v>
      </c>
      <c r="Q260" s="21">
        <f>'GAW IMPORT'!Q120</f>
        <v>0</v>
      </c>
      <c r="R260" s="21">
        <f>'GAW IMPORT'!R120</f>
        <v>0</v>
      </c>
      <c r="S260" s="21">
        <f>'GAW IMPORT'!S120</f>
        <v>0</v>
      </c>
      <c r="T260" s="21">
        <f>'GAW IMPORT'!U120</f>
        <v>0</v>
      </c>
      <c r="U260" s="21">
        <f>'GAW IMPORT'!V120</f>
        <v>0</v>
      </c>
      <c r="V260" s="21">
        <f>'GAW IMPORT'!W120</f>
        <v>0</v>
      </c>
    </row>
    <row r="261" spans="1:22" s="3" customFormat="1" ht="12.75">
      <c r="A261" s="87"/>
    </row>
    <row r="262" spans="1:22" s="3" customFormat="1" ht="12.75">
      <c r="A262" s="87"/>
      <c r="B262" s="17" t="s">
        <v>103</v>
      </c>
    </row>
    <row r="263" spans="1:22" s="3" customFormat="1" ht="12.75">
      <c r="A263" s="87"/>
      <c r="B263" s="3" t="s">
        <v>104</v>
      </c>
      <c r="H263" s="3" t="s">
        <v>73</v>
      </c>
      <c r="J263" s="9">
        <f>SUM(L263:T263)</f>
        <v>0</v>
      </c>
      <c r="L263" s="21">
        <f>'GAW IMPORT'!L123</f>
        <v>0</v>
      </c>
      <c r="M263" s="21">
        <f>'GAW IMPORT'!M123</f>
        <v>0</v>
      </c>
      <c r="N263" s="21">
        <f>'GAW IMPORT'!N123</f>
        <v>0</v>
      </c>
      <c r="O263" s="21">
        <f>'GAW IMPORT'!O123</f>
        <v>0</v>
      </c>
      <c r="P263" s="21">
        <f>'GAW IMPORT'!P123</f>
        <v>0</v>
      </c>
      <c r="Q263" s="21">
        <f>'GAW IMPORT'!Q123</f>
        <v>0</v>
      </c>
      <c r="R263" s="21">
        <f>'GAW IMPORT'!R123</f>
        <v>0</v>
      </c>
      <c r="S263" s="21">
        <f>'GAW IMPORT'!S123</f>
        <v>0</v>
      </c>
      <c r="T263" s="21">
        <f>'GAW IMPORT'!U123</f>
        <v>0</v>
      </c>
      <c r="U263" s="21">
        <f>'GAW IMPORT'!V123</f>
        <v>0</v>
      </c>
      <c r="V263" s="21">
        <f>'GAW IMPORT'!W123</f>
        <v>0</v>
      </c>
    </row>
    <row r="264" spans="1:22" s="3" customFormat="1" ht="12.75">
      <c r="A264" s="87"/>
      <c r="B264" s="3" t="s">
        <v>105</v>
      </c>
      <c r="H264" s="3" t="s">
        <v>73</v>
      </c>
      <c r="J264" s="9">
        <f t="shared" ref="J264:J265" si="129">SUM(L264:T264)</f>
        <v>252111.70002645359</v>
      </c>
      <c r="L264" s="21">
        <f>'GAW IMPORT'!L124</f>
        <v>0</v>
      </c>
      <c r="M264" s="21">
        <f>'GAW IMPORT'!M124</f>
        <v>252111.70002645359</v>
      </c>
      <c r="N264" s="21">
        <f>'GAW IMPORT'!N124</f>
        <v>0</v>
      </c>
      <c r="O264" s="21">
        <f>'GAW IMPORT'!O124</f>
        <v>0</v>
      </c>
      <c r="P264" s="21">
        <f>'GAW IMPORT'!P124</f>
        <v>0</v>
      </c>
      <c r="Q264" s="21">
        <f>'GAW IMPORT'!Q124</f>
        <v>0</v>
      </c>
      <c r="R264" s="21">
        <f>'GAW IMPORT'!R124</f>
        <v>0</v>
      </c>
      <c r="S264" s="21">
        <f>'GAW IMPORT'!S124</f>
        <v>0</v>
      </c>
      <c r="T264" s="21">
        <f>'GAW IMPORT'!U124</f>
        <v>0</v>
      </c>
      <c r="U264" s="21">
        <f>'GAW IMPORT'!V124</f>
        <v>0</v>
      </c>
      <c r="V264" s="21">
        <f>'GAW IMPORT'!W124</f>
        <v>0</v>
      </c>
    </row>
    <row r="265" spans="1:22" s="3" customFormat="1" ht="12.75">
      <c r="A265" s="87"/>
      <c r="B265" s="3" t="s">
        <v>106</v>
      </c>
      <c r="H265" s="3" t="s">
        <v>73</v>
      </c>
      <c r="J265" s="9">
        <f t="shared" si="129"/>
        <v>9414554.9317114875</v>
      </c>
      <c r="L265" s="21">
        <f>'GAW IMPORT'!L125</f>
        <v>0</v>
      </c>
      <c r="M265" s="21">
        <f>'GAW IMPORT'!M125</f>
        <v>9414554.9317114875</v>
      </c>
      <c r="N265" s="21">
        <f>'GAW IMPORT'!N125</f>
        <v>0</v>
      </c>
      <c r="O265" s="21">
        <f>'GAW IMPORT'!O125</f>
        <v>0</v>
      </c>
      <c r="P265" s="21">
        <f>'GAW IMPORT'!P125</f>
        <v>0</v>
      </c>
      <c r="Q265" s="21">
        <f>'GAW IMPORT'!Q125</f>
        <v>0</v>
      </c>
      <c r="R265" s="21">
        <f>'GAW IMPORT'!R125</f>
        <v>0</v>
      </c>
      <c r="S265" s="21">
        <f>'GAW IMPORT'!S125</f>
        <v>0</v>
      </c>
      <c r="T265" s="21">
        <f>'GAW IMPORT'!U125</f>
        <v>0</v>
      </c>
      <c r="U265" s="21">
        <f>'GAW IMPORT'!V125</f>
        <v>0</v>
      </c>
      <c r="V265" s="21">
        <f>'GAW IMPORT'!W125</f>
        <v>0</v>
      </c>
    </row>
    <row r="266" spans="1:22" s="3" customFormat="1" ht="12.75">
      <c r="A266" s="87"/>
    </row>
    <row r="267" spans="1:22" s="3" customFormat="1" ht="12.75">
      <c r="A267" s="87"/>
      <c r="B267" s="17" t="s">
        <v>107</v>
      </c>
    </row>
    <row r="268" spans="1:22" s="3" customFormat="1" ht="12.75">
      <c r="A268" s="87"/>
      <c r="B268" s="3" t="s">
        <v>108</v>
      </c>
      <c r="H268" s="3" t="s">
        <v>73</v>
      </c>
      <c r="J268" s="9">
        <f>SUM(L268:T268)</f>
        <v>135517.27272727274</v>
      </c>
      <c r="L268" s="21">
        <f>'GAW IMPORT'!L128</f>
        <v>0</v>
      </c>
      <c r="M268" s="21">
        <f>'GAW IMPORT'!M128</f>
        <v>0</v>
      </c>
      <c r="N268" s="21">
        <f>'GAW IMPORT'!N128</f>
        <v>0</v>
      </c>
      <c r="O268" s="21">
        <f>'GAW IMPORT'!O128</f>
        <v>0</v>
      </c>
      <c r="P268" s="21">
        <f>'GAW IMPORT'!P128</f>
        <v>0</v>
      </c>
      <c r="Q268" s="21">
        <f>'GAW IMPORT'!Q128</f>
        <v>0</v>
      </c>
      <c r="R268" s="21">
        <f>'GAW IMPORT'!R128</f>
        <v>135517.27272727274</v>
      </c>
      <c r="S268" s="21">
        <f>'GAW IMPORT'!S128</f>
        <v>0</v>
      </c>
      <c r="T268" s="21">
        <f>'GAW IMPORT'!U128</f>
        <v>0</v>
      </c>
      <c r="U268" s="21">
        <f>'GAW IMPORT'!V128</f>
        <v>0</v>
      </c>
      <c r="V268" s="21">
        <f>'GAW IMPORT'!W128</f>
        <v>0</v>
      </c>
    </row>
    <row r="269" spans="1:22" s="3" customFormat="1" ht="12.75">
      <c r="A269" s="87"/>
      <c r="B269" s="3" t="s">
        <v>109</v>
      </c>
      <c r="H269" s="3" t="s">
        <v>73</v>
      </c>
      <c r="J269" s="9">
        <f t="shared" ref="J269:J270" si="130">SUM(L269:T269)</f>
        <v>1973123.9056655539</v>
      </c>
      <c r="L269" s="21">
        <f>'GAW IMPORT'!L129</f>
        <v>0</v>
      </c>
      <c r="M269" s="21">
        <f>'GAW IMPORT'!M129</f>
        <v>109402.52532</v>
      </c>
      <c r="N269" s="21">
        <f>'GAW IMPORT'!N129</f>
        <v>9997.2579960844832</v>
      </c>
      <c r="O269" s="21">
        <f>'GAW IMPORT'!O129</f>
        <v>438211.73255678132</v>
      </c>
      <c r="P269" s="21">
        <f>'GAW IMPORT'!P129</f>
        <v>0</v>
      </c>
      <c r="Q269" s="21">
        <f>'GAW IMPORT'!Q129</f>
        <v>1401960.6625199609</v>
      </c>
      <c r="R269" s="21">
        <f>'GAW IMPORT'!R129</f>
        <v>13551.727272727274</v>
      </c>
      <c r="S269" s="21">
        <f>'GAW IMPORT'!S129</f>
        <v>0</v>
      </c>
      <c r="T269" s="21">
        <f>'GAW IMPORT'!U129</f>
        <v>0</v>
      </c>
      <c r="U269" s="21">
        <f>'GAW IMPORT'!V129</f>
        <v>1401960.6625199609</v>
      </c>
      <c r="V269" s="21">
        <f>'GAW IMPORT'!W129</f>
        <v>438211.73255678132</v>
      </c>
    </row>
    <row r="270" spans="1:22" s="3" customFormat="1" ht="12.75">
      <c r="A270" s="87"/>
      <c r="B270" s="3" t="s">
        <v>110</v>
      </c>
      <c r="H270" s="3" t="s">
        <v>73</v>
      </c>
      <c r="J270" s="9">
        <f t="shared" si="130"/>
        <v>22081121.132525884</v>
      </c>
      <c r="L270" s="21">
        <f>'GAW IMPORT'!L130</f>
        <v>0</v>
      </c>
      <c r="M270" s="21">
        <f>'GAW IMPORT'!M130</f>
        <v>711116.41457999998</v>
      </c>
      <c r="N270" s="21">
        <f>'GAW IMPORT'!N130</f>
        <v>261676.10627581636</v>
      </c>
      <c r="O270" s="21">
        <f>'GAW IMPORT'!O130</f>
        <v>3864988.9015953452</v>
      </c>
      <c r="P270" s="21">
        <f>'GAW IMPORT'!P130</f>
        <v>0</v>
      </c>
      <c r="Q270" s="21">
        <f>'GAW IMPORT'!Q130</f>
        <v>17121374.164620176</v>
      </c>
      <c r="R270" s="21">
        <f>'GAW IMPORT'!R130</f>
        <v>121965.54545454546</v>
      </c>
      <c r="S270" s="21">
        <f>'GAW IMPORT'!S130</f>
        <v>0</v>
      </c>
      <c r="T270" s="21">
        <f>'GAW IMPORT'!U130</f>
        <v>0</v>
      </c>
      <c r="U270" s="21">
        <f>'GAW IMPORT'!V130</f>
        <v>17121374.164620176</v>
      </c>
      <c r="V270" s="21">
        <f>'GAW IMPORT'!W130</f>
        <v>3864988.9015953452</v>
      </c>
    </row>
    <row r="271" spans="1:22" s="3" customFormat="1" ht="12.75">
      <c r="A271" s="87"/>
      <c r="L271" s="83"/>
      <c r="M271" s="83"/>
      <c r="N271" s="83"/>
      <c r="O271" s="83"/>
      <c r="P271" s="83"/>
      <c r="Q271" s="83"/>
      <c r="R271" s="83"/>
      <c r="S271" s="83"/>
      <c r="T271" s="83"/>
      <c r="U271" s="83"/>
      <c r="V271" s="83"/>
    </row>
    <row r="272" spans="1:22" s="3" customFormat="1" ht="12.75">
      <c r="A272" s="87"/>
      <c r="L272" s="83"/>
      <c r="M272" s="83"/>
      <c r="N272" s="83"/>
      <c r="O272" s="83"/>
      <c r="P272" s="83"/>
      <c r="Q272" s="83"/>
      <c r="R272" s="83"/>
      <c r="S272" s="83"/>
      <c r="T272" s="83"/>
      <c r="U272" s="83"/>
      <c r="V272" s="83"/>
    </row>
    <row r="273" spans="1:25" s="3" customFormat="1" ht="12.75">
      <c r="A273" s="87"/>
      <c r="B273" s="17" t="s">
        <v>111</v>
      </c>
    </row>
    <row r="274" spans="1:25" s="3" customFormat="1" ht="12.75">
      <c r="A274" s="87"/>
    </row>
    <row r="275" spans="1:25" s="3" customFormat="1" ht="12.75">
      <c r="A275" s="87"/>
      <c r="B275" s="17" t="s">
        <v>112</v>
      </c>
    </row>
    <row r="276" spans="1:25" s="3" customFormat="1" ht="12.75">
      <c r="A276" s="87"/>
      <c r="B276" s="3" t="s">
        <v>87</v>
      </c>
      <c r="H276" s="3" t="s">
        <v>73</v>
      </c>
      <c r="J276" s="9">
        <f>SUM(L276:T276)</f>
        <v>579580896.58835316</v>
      </c>
      <c r="L276" s="9">
        <f>L249+L254+L264+L269</f>
        <v>3488810.4047411745</v>
      </c>
      <c r="M276" s="9">
        <f t="shared" ref="M276:S276" si="131">M249+M254+M264+M269</f>
        <v>16276470.83236891</v>
      </c>
      <c r="N276" s="9">
        <f t="shared" si="131"/>
        <v>207901304.58935958</v>
      </c>
      <c r="O276" s="9">
        <f t="shared" si="131"/>
        <v>166763689.47264197</v>
      </c>
      <c r="P276" s="9">
        <f t="shared" si="131"/>
        <v>2767427.9664642876</v>
      </c>
      <c r="Q276" s="9">
        <f t="shared" si="131"/>
        <v>157801069.95909801</v>
      </c>
      <c r="R276" s="9">
        <f t="shared" si="131"/>
        <v>9651262.5633891802</v>
      </c>
      <c r="S276" s="9">
        <f t="shared" si="131"/>
        <v>9278289.2869572137</v>
      </c>
      <c r="T276" s="9">
        <f t="shared" ref="T276:U276" si="132">T249+T254+T264+T269</f>
        <v>5652571.5133328792</v>
      </c>
      <c r="U276" s="9">
        <f t="shared" si="132"/>
        <v>162143943.08756432</v>
      </c>
      <c r="V276" s="9">
        <f t="shared" ref="V276" si="133">V249+V254+V264+V269</f>
        <v>167157531.44812641</v>
      </c>
      <c r="Y276" s="79" t="s">
        <v>269</v>
      </c>
    </row>
    <row r="277" spans="1:25" s="3" customFormat="1" ht="12.75">
      <c r="A277" s="87"/>
      <c r="B277" s="3" t="s">
        <v>113</v>
      </c>
      <c r="D277" s="3" t="s">
        <v>226</v>
      </c>
      <c r="H277" s="3" t="s">
        <v>73</v>
      </c>
      <c r="J277" s="9">
        <f t="shared" ref="J277" si="134">SUM(L277:T277)</f>
        <v>11092322782.801163</v>
      </c>
      <c r="L277" s="9">
        <f>L250+L255+L265+L270</f>
        <v>59861950.518066347</v>
      </c>
      <c r="M277" s="9">
        <f t="shared" ref="M277:S277" si="135">M250+M255+M265+M270</f>
        <v>277587187.54538512</v>
      </c>
      <c r="N277" s="9">
        <f t="shared" si="135"/>
        <v>3535466254.1476078</v>
      </c>
      <c r="O277" s="9">
        <f t="shared" si="135"/>
        <v>3738111646.1119909</v>
      </c>
      <c r="P277" s="9">
        <f t="shared" si="135"/>
        <v>31349172.244105704</v>
      </c>
      <c r="Q277" s="9">
        <f t="shared" si="135"/>
        <v>2985123111.9678974</v>
      </c>
      <c r="R277" s="9">
        <f t="shared" si="135"/>
        <v>249778404.03925437</v>
      </c>
      <c r="S277" s="9">
        <f t="shared" si="135"/>
        <v>98249093.1617212</v>
      </c>
      <c r="T277" s="9">
        <f t="shared" ref="T277:U277" si="136">T250+T255+T265+T270</f>
        <v>116795963.06513411</v>
      </c>
      <c r="U277" s="9">
        <f t="shared" si="136"/>
        <v>3077725414.8409057</v>
      </c>
      <c r="V277" s="9">
        <f t="shared" ref="V277" si="137">V250+V255+V265+V270</f>
        <v>3744899884.6786265</v>
      </c>
      <c r="Y277" s="79" t="s">
        <v>305</v>
      </c>
    </row>
    <row r="278" spans="1:25" s="3" customFormat="1" ht="12.75">
      <c r="A278" s="87"/>
      <c r="B278" s="3" t="s">
        <v>169</v>
      </c>
      <c r="D278" s="22" t="s">
        <v>170</v>
      </c>
      <c r="H278" s="3" t="s">
        <v>73</v>
      </c>
      <c r="J278" s="9">
        <f>SUM(L278:T278)</f>
        <v>1078735421.8144057</v>
      </c>
      <c r="L278" s="9">
        <f t="shared" ref="L278:T278" si="138">L276+(L277*$J$16)</f>
        <v>6182598.1780541595</v>
      </c>
      <c r="M278" s="9">
        <f t="shared" si="138"/>
        <v>28767894.271911241</v>
      </c>
      <c r="N278" s="9">
        <f t="shared" si="138"/>
        <v>366997286.02600193</v>
      </c>
      <c r="O278" s="9">
        <f t="shared" si="138"/>
        <v>334978713.54768157</v>
      </c>
      <c r="P278" s="9">
        <f t="shared" si="138"/>
        <v>4178140.7174490443</v>
      </c>
      <c r="Q278" s="9">
        <f t="shared" si="138"/>
        <v>292131609.99765337</v>
      </c>
      <c r="R278" s="9">
        <f t="shared" si="138"/>
        <v>20891290.745155625</v>
      </c>
      <c r="S278" s="9">
        <f t="shared" si="138"/>
        <v>13699498.479234667</v>
      </c>
      <c r="T278" s="9">
        <f t="shared" si="138"/>
        <v>10908389.851263914</v>
      </c>
      <c r="U278" s="9">
        <f t="shared" ref="U278:V278" si="139">U276+(U277*$J$16)</f>
        <v>300641586.75540507</v>
      </c>
      <c r="V278" s="9">
        <f t="shared" si="139"/>
        <v>335678026.25866461</v>
      </c>
      <c r="Y278" s="79" t="s">
        <v>270</v>
      </c>
    </row>
    <row r="279" spans="1:25" s="3" customFormat="1" ht="12.75">
      <c r="A279" s="87"/>
      <c r="B279" s="3" t="s">
        <v>172</v>
      </c>
      <c r="D279" s="22" t="s">
        <v>171</v>
      </c>
      <c r="H279" s="3" t="s">
        <v>73</v>
      </c>
      <c r="J279" s="9">
        <f t="shared" ref="J279:J280" si="140">SUM(L279:T279)</f>
        <v>912350580.07238817</v>
      </c>
      <c r="L279" s="9">
        <f t="shared" ref="L279:S279" si="141">L276+(L277*$J$17)</f>
        <v>5284668.9202831648</v>
      </c>
      <c r="M279" s="9">
        <f t="shared" si="141"/>
        <v>24604086.458730463</v>
      </c>
      <c r="N279" s="9">
        <f t="shared" si="141"/>
        <v>313965292.21378779</v>
      </c>
      <c r="O279" s="9">
        <f t="shared" si="141"/>
        <v>278907038.85600173</v>
      </c>
      <c r="P279" s="9">
        <f t="shared" si="141"/>
        <v>3707903.1337874588</v>
      </c>
      <c r="Q279" s="9">
        <f t="shared" si="141"/>
        <v>247354763.31813493</v>
      </c>
      <c r="R279" s="9">
        <f t="shared" si="141"/>
        <v>17144614.684566811</v>
      </c>
      <c r="S279" s="9">
        <f t="shared" si="141"/>
        <v>12225762.08180885</v>
      </c>
      <c r="T279" s="9">
        <f t="shared" ref="T279:U279" si="142">T276+(T277*$J$17)</f>
        <v>9156450.4052869026</v>
      </c>
      <c r="U279" s="9">
        <f t="shared" si="142"/>
        <v>254475705.5327915</v>
      </c>
      <c r="V279" s="9">
        <f t="shared" ref="V279" si="143">V276+(V277*$J$17)</f>
        <v>279504527.98848522</v>
      </c>
    </row>
    <row r="280" spans="1:25" s="3" customFormat="1" ht="12.75">
      <c r="A280" s="87"/>
      <c r="B280" s="3" t="s">
        <v>218</v>
      </c>
      <c r="D280" s="22" t="s">
        <v>223</v>
      </c>
      <c r="H280" s="3" t="s">
        <v>73</v>
      </c>
      <c r="J280" s="9">
        <f t="shared" si="140"/>
        <v>978904516.76919496</v>
      </c>
      <c r="L280" s="9">
        <f>L276+(L277*$J$13)</f>
        <v>5643840.6233915631</v>
      </c>
      <c r="M280" s="9">
        <f t="shared" ref="M280:U280" si="144">M276+(M277*$J$13)</f>
        <v>26269609.584002774</v>
      </c>
      <c r="N280" s="9">
        <f t="shared" si="144"/>
        <v>335178089.73867345</v>
      </c>
      <c r="O280" s="9">
        <f t="shared" si="144"/>
        <v>301335708.73267365</v>
      </c>
      <c r="P280" s="9">
        <f t="shared" si="144"/>
        <v>3895998.1672520926</v>
      </c>
      <c r="Q280" s="9">
        <f t="shared" si="144"/>
        <v>265265501.98994231</v>
      </c>
      <c r="R280" s="9">
        <f t="shared" si="144"/>
        <v>18643285.108802337</v>
      </c>
      <c r="S280" s="9">
        <f t="shared" si="144"/>
        <v>12815256.640779177</v>
      </c>
      <c r="T280" s="9">
        <f t="shared" si="144"/>
        <v>9857226.1836777069</v>
      </c>
      <c r="U280" s="9">
        <f t="shared" si="144"/>
        <v>272942058.02183694</v>
      </c>
      <c r="V280" s="9">
        <f t="shared" ref="V280" si="145">V276+(V277*$J$13)</f>
        <v>301973927.29655695</v>
      </c>
    </row>
    <row r="281" spans="1:25" s="3" customFormat="1" ht="12.75">
      <c r="A281" s="87"/>
    </row>
    <row r="282" spans="1:25" s="3" customFormat="1" ht="12.75">
      <c r="A282" s="87"/>
      <c r="B282" s="17" t="s">
        <v>114</v>
      </c>
    </row>
    <row r="283" spans="1:25" s="3" customFormat="1" ht="12.75">
      <c r="A283" s="87"/>
      <c r="B283" s="3" t="s">
        <v>87</v>
      </c>
      <c r="H283" s="3" t="s">
        <v>73</v>
      </c>
      <c r="J283" s="9">
        <f>SUM(L283:T283)</f>
        <v>699932.47688112885</v>
      </c>
      <c r="L283" s="9">
        <f t="shared" ref="L283:S283" si="146">L259</f>
        <v>0</v>
      </c>
      <c r="M283" s="9">
        <f t="shared" si="146"/>
        <v>0</v>
      </c>
      <c r="N283" s="9">
        <f t="shared" si="146"/>
        <v>0</v>
      </c>
      <c r="O283" s="9">
        <f t="shared" si="146"/>
        <v>0</v>
      </c>
      <c r="P283" s="9">
        <f t="shared" si="146"/>
        <v>699932.47688112885</v>
      </c>
      <c r="Q283" s="9">
        <f t="shared" si="146"/>
        <v>0</v>
      </c>
      <c r="R283" s="9">
        <f t="shared" si="146"/>
        <v>0</v>
      </c>
      <c r="S283" s="9">
        <f t="shared" si="146"/>
        <v>0</v>
      </c>
      <c r="T283" s="9">
        <f t="shared" ref="T283:U283" si="147">T259</f>
        <v>0</v>
      </c>
      <c r="U283" s="9">
        <f t="shared" si="147"/>
        <v>0</v>
      </c>
      <c r="V283" s="9">
        <f t="shared" ref="V283" si="148">V259</f>
        <v>0</v>
      </c>
    </row>
    <row r="284" spans="1:25" s="3" customFormat="1" ht="12.75">
      <c r="A284" s="87"/>
      <c r="B284" s="3" t="s">
        <v>113</v>
      </c>
      <c r="D284" s="3" t="s">
        <v>226</v>
      </c>
      <c r="H284" s="3" t="s">
        <v>73</v>
      </c>
      <c r="J284" s="9">
        <f>SUM(L284:T284)</f>
        <v>2099797.4306433732</v>
      </c>
      <c r="L284" s="9">
        <f>L260</f>
        <v>-3.3427065177537763E-9</v>
      </c>
      <c r="M284" s="9">
        <f t="shared" ref="M284:S284" si="149">M260</f>
        <v>0</v>
      </c>
      <c r="N284" s="9">
        <f t="shared" si="149"/>
        <v>0</v>
      </c>
      <c r="O284" s="9">
        <f t="shared" si="149"/>
        <v>0</v>
      </c>
      <c r="P284" s="9">
        <f t="shared" si="149"/>
        <v>2099797.4306433764</v>
      </c>
      <c r="Q284" s="9">
        <f t="shared" si="149"/>
        <v>0</v>
      </c>
      <c r="R284" s="9">
        <f t="shared" si="149"/>
        <v>0</v>
      </c>
      <c r="S284" s="9">
        <f t="shared" si="149"/>
        <v>0</v>
      </c>
      <c r="T284" s="9">
        <f t="shared" ref="T284:U284" si="150">T260</f>
        <v>0</v>
      </c>
      <c r="U284" s="9">
        <f t="shared" si="150"/>
        <v>0</v>
      </c>
      <c r="V284" s="9">
        <f t="shared" ref="V284" si="151">V260</f>
        <v>0</v>
      </c>
    </row>
    <row r="285" spans="1:25" s="3" customFormat="1" ht="12.75">
      <c r="A285" s="87"/>
      <c r="B285" s="3" t="s">
        <v>224</v>
      </c>
      <c r="D285" s="22" t="s">
        <v>138</v>
      </c>
      <c r="H285" s="3" t="s">
        <v>73</v>
      </c>
      <c r="J285" s="9">
        <f t="shared" ref="J285:J286" si="152">SUM(L285:T285)</f>
        <v>794423.36126008071</v>
      </c>
      <c r="L285" s="9">
        <f t="shared" ref="L285:T285" si="153">L283+(L284*$J$16)</f>
        <v>-1.5042179329891992E-10</v>
      </c>
      <c r="M285" s="9">
        <f t="shared" si="153"/>
        <v>0</v>
      </c>
      <c r="N285" s="9">
        <f t="shared" si="153"/>
        <v>0</v>
      </c>
      <c r="O285" s="9">
        <f t="shared" si="153"/>
        <v>0</v>
      </c>
      <c r="P285" s="9">
        <f t="shared" si="153"/>
        <v>794423.36126008083</v>
      </c>
      <c r="Q285" s="9">
        <f t="shared" si="153"/>
        <v>0</v>
      </c>
      <c r="R285" s="9">
        <f t="shared" si="153"/>
        <v>0</v>
      </c>
      <c r="S285" s="9">
        <f>S283+(S284*$J$16)</f>
        <v>0</v>
      </c>
      <c r="T285" s="9">
        <f t="shared" si="153"/>
        <v>0</v>
      </c>
      <c r="U285" s="9">
        <f t="shared" ref="U285:V285" si="154">U283+(U284*$J$16)</f>
        <v>0</v>
      </c>
      <c r="V285" s="9">
        <f t="shared" si="154"/>
        <v>0</v>
      </c>
    </row>
    <row r="286" spans="1:25" s="3" customFormat="1" ht="12.75">
      <c r="A286" s="87"/>
      <c r="B286" s="3" t="s">
        <v>225</v>
      </c>
      <c r="D286" s="3" t="s">
        <v>139</v>
      </c>
      <c r="H286" s="3" t="s">
        <v>73</v>
      </c>
      <c r="J286" s="9">
        <f t="shared" si="152"/>
        <v>762926.39980043005</v>
      </c>
      <c r="L286" s="9">
        <f t="shared" ref="L286:S286" si="155">L283+(L284*$J$17)</f>
        <v>-1.0028119553261329E-10</v>
      </c>
      <c r="M286" s="9">
        <f t="shared" si="155"/>
        <v>0</v>
      </c>
      <c r="N286" s="9">
        <f t="shared" si="155"/>
        <v>0</v>
      </c>
      <c r="O286" s="9">
        <f t="shared" si="155"/>
        <v>0</v>
      </c>
      <c r="P286" s="9">
        <f t="shared" si="155"/>
        <v>762926.39980043017</v>
      </c>
      <c r="Q286" s="9">
        <f t="shared" si="155"/>
        <v>0</v>
      </c>
      <c r="R286" s="9">
        <f t="shared" si="155"/>
        <v>0</v>
      </c>
      <c r="S286" s="9">
        <f t="shared" si="155"/>
        <v>0</v>
      </c>
      <c r="T286" s="9">
        <f t="shared" ref="T286:U286" si="156">T283+(T284*$J$17)</f>
        <v>0</v>
      </c>
      <c r="U286" s="9">
        <f t="shared" si="156"/>
        <v>0</v>
      </c>
      <c r="V286" s="9">
        <f t="shared" ref="V286" si="157">V283+(V284*$J$17)</f>
        <v>0</v>
      </c>
    </row>
    <row r="287" spans="1:25" s="3" customFormat="1" ht="12.75">
      <c r="A287" s="87"/>
    </row>
    <row r="288" spans="1:25" s="3" customFormat="1" ht="12.75">
      <c r="A288" s="87"/>
    </row>
    <row r="289" spans="1:25" s="3" customFormat="1" ht="12.75">
      <c r="A289" s="87"/>
      <c r="B289" s="17" t="s">
        <v>115</v>
      </c>
    </row>
    <row r="290" spans="1:25" s="3" customFormat="1" ht="12.75">
      <c r="A290" s="87"/>
    </row>
    <row r="291" spans="1:25" s="3" customFormat="1" ht="12.75">
      <c r="A291" s="87"/>
      <c r="B291" s="22" t="s">
        <v>140</v>
      </c>
      <c r="H291" s="3" t="s">
        <v>73</v>
      </c>
      <c r="J291" s="9">
        <f>SUM(L291:T291)</f>
        <v>12517427.885460485</v>
      </c>
      <c r="L291" s="21">
        <f>'Overige opbrengsten'!L182</f>
        <v>0</v>
      </c>
      <c r="M291" s="21">
        <f>'Overige opbrengsten'!M182</f>
        <v>1082587.4509090891</v>
      </c>
      <c r="N291" s="9">
        <f>'Overige opbrengsten'!N182-'Overige opbrengsten'!U182</f>
        <v>2302841.2636363637</v>
      </c>
      <c r="O291" s="9">
        <f>'Overige opbrengsten'!O182-'Overige opbrengsten'!W182</f>
        <v>2759495.8609150317</v>
      </c>
      <c r="P291" s="21">
        <f>'Overige opbrengsten'!P182</f>
        <v>0</v>
      </c>
      <c r="Q291" s="9">
        <f>'Overige opbrengsten'!Q182-'Overige opbrengsten'!V182</f>
        <v>5321431.6500000004</v>
      </c>
      <c r="R291" s="21">
        <f>'Overige opbrengsten'!R182</f>
        <v>6848.76</v>
      </c>
      <c r="S291" s="21">
        <f>'Overige opbrengsten'!S182</f>
        <v>0</v>
      </c>
      <c r="T291" s="21">
        <f>'Overige opbrengsten'!U182</f>
        <v>1044222.9</v>
      </c>
      <c r="U291" s="9">
        <f>'Overige opbrengsten'!Q182</f>
        <v>5321431.6500000004</v>
      </c>
      <c r="V291" s="9">
        <f>'Overige opbrengsten'!O182</f>
        <v>2759495.8609150317</v>
      </c>
    </row>
    <row r="292" spans="1:25" s="3" customFormat="1" ht="12.75">
      <c r="A292" s="87"/>
      <c r="B292" s="22" t="s">
        <v>214</v>
      </c>
      <c r="H292" s="3" t="s">
        <v>73</v>
      </c>
      <c r="J292" s="9">
        <f t="shared" ref="J292:J293" si="158">SUM(L292:T292)</f>
        <v>3453186.0680384301</v>
      </c>
      <c r="L292" s="21">
        <f>'Overige opbrengsten'!L198</f>
        <v>0</v>
      </c>
      <c r="M292" s="21">
        <f>'Overige opbrengsten'!M198</f>
        <v>200000</v>
      </c>
      <c r="N292" s="9">
        <f>'Overige opbrengsten'!N198-'Overige opbrengsten'!U198</f>
        <v>-374810.06727272726</v>
      </c>
      <c r="O292" s="9">
        <f>'Overige opbrengsten'!O198-'Overige opbrengsten'!W198</f>
        <v>856395.26718052709</v>
      </c>
      <c r="P292" s="21">
        <f>'Overige opbrengsten'!P198</f>
        <v>0</v>
      </c>
      <c r="Q292" s="9">
        <f>'Overige opbrengsten'!Q198-'Overige opbrengsten'!V198</f>
        <v>1720529.2081306307</v>
      </c>
      <c r="R292" s="21">
        <f>'Overige opbrengsten'!R198</f>
        <v>6848.76</v>
      </c>
      <c r="S292" s="21">
        <f>'Overige opbrengsten'!S198</f>
        <v>0</v>
      </c>
      <c r="T292" s="21">
        <f>'Overige opbrengsten'!U198</f>
        <v>1044222.9</v>
      </c>
      <c r="U292" s="9">
        <f>'Overige opbrengsten'!Q198</f>
        <v>1720529.2081306307</v>
      </c>
      <c r="V292" s="9">
        <f>'Overige opbrengsten'!O198</f>
        <v>856395.26718052709</v>
      </c>
    </row>
    <row r="293" spans="1:25" s="3" customFormat="1" ht="12.75">
      <c r="A293" s="87"/>
      <c r="B293" s="3" t="s">
        <v>116</v>
      </c>
      <c r="H293" s="3" t="s">
        <v>73</v>
      </c>
      <c r="J293" s="9">
        <f t="shared" si="158"/>
        <v>0</v>
      </c>
      <c r="L293" s="11"/>
      <c r="M293" s="11"/>
      <c r="N293" s="11"/>
      <c r="O293" s="11"/>
      <c r="P293" s="11"/>
      <c r="Q293" s="11"/>
      <c r="R293" s="11"/>
      <c r="S293" s="11"/>
      <c r="T293" s="11"/>
      <c r="U293" s="11"/>
      <c r="V293" s="11"/>
    </row>
    <row r="294" spans="1:25" s="3" customFormat="1" ht="12.75">
      <c r="A294" s="87"/>
      <c r="B294" s="3" t="s">
        <v>117</v>
      </c>
      <c r="H294" s="3" t="s">
        <v>73</v>
      </c>
      <c r="J294" s="9">
        <f>SUM(L294:T294)</f>
        <v>630.70001220703125</v>
      </c>
      <c r="L294" s="21">
        <f>'Overige opbrengsten'!L230</f>
        <v>0</v>
      </c>
      <c r="M294" s="21">
        <f>'Overige opbrengsten'!M230</f>
        <v>0</v>
      </c>
      <c r="N294" s="9">
        <f>'Overige opbrengsten'!N230-'Overige opbrengsten'!U230</f>
        <v>0</v>
      </c>
      <c r="O294" s="9">
        <f>'Overige opbrengsten'!O230-'Overige opbrengsten'!W230</f>
        <v>0</v>
      </c>
      <c r="P294" s="21">
        <f>'Overige opbrengsten'!P230</f>
        <v>630.70001220703125</v>
      </c>
      <c r="Q294" s="9">
        <f>'Overige opbrengsten'!Q230-'Overige opbrengsten'!V230</f>
        <v>0</v>
      </c>
      <c r="R294" s="21">
        <f>'Overige opbrengsten'!R230</f>
        <v>0</v>
      </c>
      <c r="S294" s="21">
        <f>'Overige opbrengsten'!S230</f>
        <v>0</v>
      </c>
      <c r="T294" s="21">
        <f>'Overige opbrengsten'!U230</f>
        <v>0</v>
      </c>
      <c r="U294" s="9">
        <f>'Overige opbrengsten'!Q230</f>
        <v>0</v>
      </c>
      <c r="V294" s="9">
        <f>'Overige opbrengsten'!O230</f>
        <v>0</v>
      </c>
    </row>
    <row r="295" spans="1:25" s="3" customFormat="1" ht="12.75">
      <c r="A295" s="87"/>
      <c r="B295" s="3" t="s">
        <v>118</v>
      </c>
      <c r="H295" s="3" t="s">
        <v>73</v>
      </c>
      <c r="J295" s="9">
        <f t="shared" ref="J295:J296" si="159">SUM(L295:T295)</f>
        <v>0</v>
      </c>
      <c r="L295" s="11"/>
      <c r="M295" s="11"/>
      <c r="N295" s="11"/>
      <c r="O295" s="11"/>
      <c r="P295" s="11"/>
      <c r="Q295" s="11"/>
      <c r="R295" s="11"/>
      <c r="S295" s="11"/>
      <c r="T295" s="11"/>
      <c r="U295" s="11"/>
      <c r="V295" s="11"/>
    </row>
    <row r="296" spans="1:25" s="3" customFormat="1" ht="12.75">
      <c r="A296" s="87"/>
      <c r="B296" s="22" t="s">
        <v>119</v>
      </c>
      <c r="H296" s="3" t="s">
        <v>73</v>
      </c>
      <c r="J296" s="9">
        <f t="shared" si="159"/>
        <v>9064872.5174342617</v>
      </c>
      <c r="L296" s="9">
        <f>(L291-L292)+SUM(L293:L295)</f>
        <v>0</v>
      </c>
      <c r="M296" s="9">
        <f t="shared" ref="M296:S296" si="160">(M291-M292)+SUM(M293:M295)</f>
        <v>882587.45090908906</v>
      </c>
      <c r="N296" s="9">
        <f t="shared" si="160"/>
        <v>2677651.330909091</v>
      </c>
      <c r="O296" s="9">
        <f t="shared" si="160"/>
        <v>1903100.5937345047</v>
      </c>
      <c r="P296" s="9">
        <f t="shared" si="160"/>
        <v>630.70001220703125</v>
      </c>
      <c r="Q296" s="9">
        <f t="shared" si="160"/>
        <v>3600902.4418693697</v>
      </c>
      <c r="R296" s="9">
        <f t="shared" si="160"/>
        <v>0</v>
      </c>
      <c r="S296" s="9">
        <f t="shared" si="160"/>
        <v>0</v>
      </c>
      <c r="T296" s="9">
        <f t="shared" ref="T296:U296" si="161">(T291-T292)+SUM(T293:T295)</f>
        <v>0</v>
      </c>
      <c r="U296" s="9">
        <f t="shared" si="161"/>
        <v>3600902.4418693697</v>
      </c>
      <c r="V296" s="9">
        <f t="shared" ref="V296" si="162">(V291-V292)+SUM(V293:V295)</f>
        <v>1903100.5937345047</v>
      </c>
    </row>
    <row r="297" spans="1:25" s="3" customFormat="1" ht="12.75">
      <c r="A297" s="87"/>
    </row>
    <row r="298" spans="1:25" s="3" customFormat="1" ht="12.75">
      <c r="A298" s="87"/>
    </row>
    <row r="299" spans="1:25" s="3" customFormat="1" ht="12.75">
      <c r="A299" s="87"/>
      <c r="B299" s="17" t="s">
        <v>120</v>
      </c>
    </row>
    <row r="300" spans="1:25" s="3" customFormat="1" ht="12.75">
      <c r="A300" s="87"/>
    </row>
    <row r="301" spans="1:25" s="3" customFormat="1" ht="12.75">
      <c r="A301" s="87"/>
      <c r="B301" s="3" t="s">
        <v>169</v>
      </c>
      <c r="D301" s="22" t="s">
        <v>175</v>
      </c>
      <c r="H301" s="3" t="s">
        <v>73</v>
      </c>
      <c r="J301" s="9">
        <f>SUM(L301:T301)</f>
        <v>1069670549.2969712</v>
      </c>
      <c r="L301" s="9">
        <f>L278-L296</f>
        <v>6182598.1780541595</v>
      </c>
      <c r="M301" s="9">
        <f t="shared" ref="M301:S301" si="163">M278-M296</f>
        <v>27885306.821002152</v>
      </c>
      <c r="N301" s="9">
        <f t="shared" si="163"/>
        <v>364319634.69509286</v>
      </c>
      <c r="O301" s="9">
        <f t="shared" si="163"/>
        <v>333075612.95394707</v>
      </c>
      <c r="P301" s="9">
        <f t="shared" si="163"/>
        <v>4177510.0174368373</v>
      </c>
      <c r="Q301" s="9">
        <f t="shared" si="163"/>
        <v>288530707.55578399</v>
      </c>
      <c r="R301" s="9">
        <f t="shared" si="163"/>
        <v>20891290.745155625</v>
      </c>
      <c r="S301" s="9">
        <f t="shared" si="163"/>
        <v>13699498.479234667</v>
      </c>
      <c r="T301" s="9">
        <f t="shared" ref="T301:U301" si="164">T278-T296</f>
        <v>10908389.851263914</v>
      </c>
      <c r="U301" s="9">
        <f t="shared" si="164"/>
        <v>297040684.31353569</v>
      </c>
      <c r="V301" s="9">
        <f t="shared" ref="V301" si="165">V278-V296</f>
        <v>333774925.66493011</v>
      </c>
      <c r="Y301" s="79" t="s">
        <v>271</v>
      </c>
    </row>
    <row r="302" spans="1:25" s="3" customFormat="1" ht="12.75">
      <c r="A302" s="87"/>
      <c r="B302" s="3" t="s">
        <v>172</v>
      </c>
      <c r="D302" s="22" t="s">
        <v>222</v>
      </c>
      <c r="H302" s="3" t="s">
        <v>73</v>
      </c>
      <c r="J302" s="9">
        <f t="shared" ref="J302:J303" si="166">SUM(L302:T302)</f>
        <v>903285707.55495393</v>
      </c>
      <c r="L302" s="9">
        <f>L279-L296</f>
        <v>5284668.9202831648</v>
      </c>
      <c r="M302" s="9">
        <f t="shared" ref="M302:S302" si="167">M279-M296</f>
        <v>23721499.007821374</v>
      </c>
      <c r="N302" s="9">
        <f t="shared" si="167"/>
        <v>311287640.88287872</v>
      </c>
      <c r="O302" s="9">
        <f t="shared" si="167"/>
        <v>277003938.26226723</v>
      </c>
      <c r="P302" s="9">
        <f t="shared" si="167"/>
        <v>3707272.4337752517</v>
      </c>
      <c r="Q302" s="9">
        <f t="shared" si="167"/>
        <v>243753860.87626556</v>
      </c>
      <c r="R302" s="9">
        <f t="shared" si="167"/>
        <v>17144614.684566811</v>
      </c>
      <c r="S302" s="9">
        <f t="shared" si="167"/>
        <v>12225762.08180885</v>
      </c>
      <c r="T302" s="9">
        <f t="shared" ref="T302:U302" si="168">T279-T296</f>
        <v>9156450.4052869026</v>
      </c>
      <c r="U302" s="9">
        <f t="shared" si="168"/>
        <v>250874803.09092212</v>
      </c>
      <c r="V302" s="9">
        <f t="shared" ref="V302" si="169">V279-V296</f>
        <v>277601427.39475071</v>
      </c>
      <c r="Y302" s="79" t="s">
        <v>271</v>
      </c>
    </row>
    <row r="303" spans="1:25" s="3" customFormat="1" ht="12.75">
      <c r="A303" s="87"/>
      <c r="B303" s="3" t="s">
        <v>218</v>
      </c>
      <c r="D303" s="22" t="s">
        <v>220</v>
      </c>
      <c r="H303" s="3" t="s">
        <v>73</v>
      </c>
      <c r="J303" s="9">
        <f t="shared" si="166"/>
        <v>969839644.25176072</v>
      </c>
      <c r="L303" s="9">
        <f>L280-L296</f>
        <v>5643840.6233915631</v>
      </c>
      <c r="M303" s="9">
        <f t="shared" ref="M303:S303" si="170">M280-M296</f>
        <v>25387022.133093685</v>
      </c>
      <c r="N303" s="9">
        <f t="shared" si="170"/>
        <v>332500438.40776438</v>
      </c>
      <c r="O303" s="9">
        <f t="shared" si="170"/>
        <v>299432608.13893914</v>
      </c>
      <c r="P303" s="9">
        <f t="shared" si="170"/>
        <v>3895367.4672398856</v>
      </c>
      <c r="Q303" s="9">
        <f t="shared" si="170"/>
        <v>261664599.54807293</v>
      </c>
      <c r="R303" s="9">
        <f t="shared" si="170"/>
        <v>18643285.108802337</v>
      </c>
      <c r="S303" s="9">
        <f t="shared" si="170"/>
        <v>12815256.640779177</v>
      </c>
      <c r="T303" s="9">
        <f t="shared" ref="T303:U303" si="171">T280-T296</f>
        <v>9857226.1836777069</v>
      </c>
      <c r="U303" s="9">
        <f t="shared" si="171"/>
        <v>269341155.57996756</v>
      </c>
      <c r="V303" s="9">
        <f t="shared" ref="V303" si="172">V280-V296</f>
        <v>300070826.70282245</v>
      </c>
      <c r="Y303" s="79" t="s">
        <v>271</v>
      </c>
    </row>
    <row r="304" spans="1:25" s="3" customFormat="1" ht="12.75">
      <c r="A304" s="87"/>
    </row>
    <row r="305" spans="1:18" s="3" customFormat="1" ht="12.75">
      <c r="A305" s="87"/>
      <c r="B305" s="38" t="s">
        <v>232</v>
      </c>
      <c r="L305" s="8" t="s">
        <v>357</v>
      </c>
      <c r="M305" s="8" t="s">
        <v>59</v>
      </c>
      <c r="N305" s="8" t="s">
        <v>2</v>
      </c>
      <c r="O305" s="8" t="s">
        <v>3</v>
      </c>
      <c r="P305" s="8" t="s">
        <v>4</v>
      </c>
      <c r="Q305" s="8" t="s">
        <v>5</v>
      </c>
      <c r="R305" s="8" t="s">
        <v>6</v>
      </c>
    </row>
    <row r="306" spans="1:18" s="3" customFormat="1" ht="12.75">
      <c r="A306" s="87"/>
      <c r="C306" s="23"/>
      <c r="D306" s="23"/>
    </row>
    <row r="307" spans="1:18" s="3" customFormat="1" ht="12.75">
      <c r="A307" s="87"/>
      <c r="B307" s="25" t="s">
        <v>235</v>
      </c>
      <c r="D307" s="26" t="s">
        <v>131</v>
      </c>
      <c r="H307" s="3" t="s">
        <v>73</v>
      </c>
      <c r="J307" s="9">
        <f t="shared" ref="J307:J308" si="173">SUM(L307:S307)</f>
        <v>794423.36126008071</v>
      </c>
      <c r="L307" s="9">
        <f>L285</f>
        <v>-1.5042179329891992E-10</v>
      </c>
      <c r="M307" s="9">
        <f t="shared" ref="M307:R307" si="174">M285</f>
        <v>0</v>
      </c>
      <c r="N307" s="9">
        <f>N285+S285</f>
        <v>0</v>
      </c>
      <c r="O307" s="9">
        <f>O285+T285</f>
        <v>0</v>
      </c>
      <c r="P307" s="9">
        <f t="shared" si="174"/>
        <v>794423.36126008083</v>
      </c>
      <c r="Q307" s="9">
        <f t="shared" si="174"/>
        <v>0</v>
      </c>
      <c r="R307" s="9">
        <f t="shared" si="174"/>
        <v>0</v>
      </c>
    </row>
    <row r="308" spans="1:18" s="3" customFormat="1" ht="12.75">
      <c r="A308" s="87"/>
      <c r="B308" s="25" t="s">
        <v>235</v>
      </c>
      <c r="D308" s="26" t="s">
        <v>132</v>
      </c>
      <c r="H308" s="3" t="s">
        <v>73</v>
      </c>
      <c r="J308" s="9">
        <f t="shared" si="173"/>
        <v>762926.39980043005</v>
      </c>
      <c r="L308" s="9">
        <f>L286</f>
        <v>-1.0028119553261329E-10</v>
      </c>
      <c r="M308" s="9">
        <f t="shared" ref="M308:R308" si="175">M286</f>
        <v>0</v>
      </c>
      <c r="N308" s="9">
        <f>N286+S286</f>
        <v>0</v>
      </c>
      <c r="O308" s="9">
        <f>O286+T286</f>
        <v>0</v>
      </c>
      <c r="P308" s="9">
        <f t="shared" si="175"/>
        <v>762926.39980043017</v>
      </c>
      <c r="Q308" s="9">
        <f t="shared" si="175"/>
        <v>0</v>
      </c>
      <c r="R308" s="9">
        <f t="shared" si="175"/>
        <v>0</v>
      </c>
    </row>
    <row r="309" spans="1:18" s="3" customFormat="1" ht="12.75">
      <c r="A309" s="87"/>
    </row>
    <row r="310" spans="1:18" s="3" customFormat="1" ht="12.75">
      <c r="A310" s="87"/>
      <c r="B310" s="25" t="s">
        <v>151</v>
      </c>
      <c r="D310" s="26" t="s">
        <v>131</v>
      </c>
      <c r="H310" s="3" t="s">
        <v>73</v>
      </c>
      <c r="J310" s="9">
        <f t="shared" ref="J310:J311" si="176">SUM(L310:S310)</f>
        <v>1069670549.2969712</v>
      </c>
      <c r="L310" s="9">
        <f>L301</f>
        <v>6182598.1780541595</v>
      </c>
      <c r="M310" s="9">
        <f>M301</f>
        <v>27885306.821002152</v>
      </c>
      <c r="N310" s="9">
        <f>N301+S301</f>
        <v>378019133.17432755</v>
      </c>
      <c r="O310" s="9">
        <f>O301+T301</f>
        <v>343984002.80521101</v>
      </c>
      <c r="P310" s="9">
        <f t="shared" ref="P310:R311" si="177">P301</f>
        <v>4177510.0174368373</v>
      </c>
      <c r="Q310" s="9">
        <f t="shared" si="177"/>
        <v>288530707.55578399</v>
      </c>
      <c r="R310" s="9">
        <f t="shared" si="177"/>
        <v>20891290.745155625</v>
      </c>
    </row>
    <row r="311" spans="1:18" s="3" customFormat="1" ht="12.75">
      <c r="A311" s="87"/>
      <c r="B311" s="25" t="s">
        <v>151</v>
      </c>
      <c r="D311" s="26" t="s">
        <v>132</v>
      </c>
      <c r="H311" s="3" t="s">
        <v>73</v>
      </c>
      <c r="J311" s="9">
        <f t="shared" si="176"/>
        <v>903285707.55495393</v>
      </c>
      <c r="L311" s="9">
        <f>L302</f>
        <v>5284668.9202831648</v>
      </c>
      <c r="M311" s="9">
        <f>M302</f>
        <v>23721499.007821374</v>
      </c>
      <c r="N311" s="9">
        <f>N302+S302</f>
        <v>323513402.96468759</v>
      </c>
      <c r="O311" s="9">
        <f>O302+T302</f>
        <v>286160388.66755414</v>
      </c>
      <c r="P311" s="9">
        <f t="shared" si="177"/>
        <v>3707272.4337752517</v>
      </c>
      <c r="Q311" s="9">
        <f t="shared" si="177"/>
        <v>243753860.87626556</v>
      </c>
      <c r="R311" s="9">
        <f t="shared" si="177"/>
        <v>17144614.684566811</v>
      </c>
    </row>
    <row r="312" spans="1:18" s="3" customFormat="1" ht="12.75">
      <c r="A312" s="87"/>
      <c r="B312" s="25"/>
      <c r="D312" s="26"/>
    </row>
    <row r="313" spans="1:18" s="3" customFormat="1" ht="12.75">
      <c r="A313" s="87"/>
      <c r="B313" s="25"/>
      <c r="D313" s="26"/>
    </row>
    <row r="314" spans="1:18" s="3" customFormat="1" ht="12.75">
      <c r="A314" s="87"/>
      <c r="B314" s="38" t="s">
        <v>234</v>
      </c>
      <c r="L314" s="8" t="s">
        <v>357</v>
      </c>
      <c r="M314" s="8" t="s">
        <v>59</v>
      </c>
      <c r="N314" s="8" t="s">
        <v>2</v>
      </c>
      <c r="O314" s="8" t="s">
        <v>3</v>
      </c>
      <c r="P314" s="8" t="s">
        <v>4</v>
      </c>
      <c r="Q314" s="8" t="s">
        <v>5</v>
      </c>
      <c r="R314" s="8" t="s">
        <v>6</v>
      </c>
    </row>
    <row r="315" spans="1:18" s="3" customFormat="1" ht="12.75">
      <c r="A315" s="87"/>
      <c r="B315" s="38"/>
    </row>
    <row r="316" spans="1:18" s="3" customFormat="1" ht="12.75">
      <c r="A316" s="87"/>
      <c r="B316" s="25" t="s">
        <v>151</v>
      </c>
      <c r="D316" s="22" t="s">
        <v>220</v>
      </c>
      <c r="H316" s="3" t="s">
        <v>73</v>
      </c>
      <c r="J316" s="9">
        <f t="shared" ref="J316" si="178">SUM(L316:S316)</f>
        <v>970477862.81564415</v>
      </c>
      <c r="L316" s="9">
        <f>L303</f>
        <v>5643840.6233915631</v>
      </c>
      <c r="M316" s="9">
        <f>M303</f>
        <v>25387022.133093685</v>
      </c>
      <c r="N316" s="9">
        <f>N303+S303</f>
        <v>345315695.04854357</v>
      </c>
      <c r="O316" s="9">
        <f>V303+T303</f>
        <v>309928052.88650018</v>
      </c>
      <c r="P316" s="9">
        <f>P303</f>
        <v>3895367.4672398856</v>
      </c>
      <c r="Q316" s="9">
        <f>Q303</f>
        <v>261664599.54807293</v>
      </c>
      <c r="R316" s="9">
        <f>R303</f>
        <v>18643285.108802337</v>
      </c>
    </row>
    <row r="317" spans="1:18" s="3" customFormat="1" ht="12.75"/>
    <row r="318" spans="1:18" s="3" customFormat="1" ht="12.75"/>
    <row r="319" spans="1:18" s="3" customFormat="1" ht="12.75"/>
    <row r="320" spans="1:18" s="3" customFormat="1" ht="12.75"/>
    <row r="321" s="3" customFormat="1" ht="12.75"/>
    <row r="322" s="3" customFormat="1" ht="12.75"/>
    <row r="323" s="3" customFormat="1" ht="12.75"/>
    <row r="324" s="3" customFormat="1" ht="12.75"/>
    <row r="325" s="3" customFormat="1" ht="12.75"/>
    <row r="326" s="3" customFormat="1" ht="12.75"/>
    <row r="327" s="3" customFormat="1" ht="12.75"/>
    <row r="328" s="3" customFormat="1" ht="12.75"/>
    <row r="329" s="3" customFormat="1" ht="12.75"/>
    <row r="330" s="3" customFormat="1" ht="12.75"/>
    <row r="331" s="3" customFormat="1" ht="12.75"/>
    <row r="332" s="3" customFormat="1" ht="12.75"/>
    <row r="333" s="3" customFormat="1" ht="12.75"/>
    <row r="334" s="3" customFormat="1" ht="12.75"/>
    <row r="335" s="3" customFormat="1" ht="12.75"/>
    <row r="336" s="3" customFormat="1" ht="12.75"/>
    <row r="337" s="3" customFormat="1" ht="12.75"/>
    <row r="338" s="3" customFormat="1" ht="12.75"/>
    <row r="339" s="3" customFormat="1" ht="12.75"/>
    <row r="340" s="3" customFormat="1" ht="12.75"/>
    <row r="341" s="3" customFormat="1" ht="12.75"/>
    <row r="342" s="3" customFormat="1" ht="12.75"/>
    <row r="343" s="3" customFormat="1" ht="12.75"/>
    <row r="344" s="3" customFormat="1" ht="12.75"/>
    <row r="345" s="3" customFormat="1" ht="12.75"/>
    <row r="346" s="3" customFormat="1" ht="12.75"/>
    <row r="347" s="3" customFormat="1" ht="12.75"/>
    <row r="348" s="3" customFormat="1" ht="12.75"/>
    <row r="349" s="3" customFormat="1" ht="12.75"/>
    <row r="350" s="3" customFormat="1" ht="12.75"/>
    <row r="351" s="3" customFormat="1" ht="12.75"/>
    <row r="352" s="3" customFormat="1" ht="12.75"/>
    <row r="353" s="3" customFormat="1" ht="12.75"/>
    <row r="354" s="3" customFormat="1" ht="12.75"/>
    <row r="355" s="3" customFormat="1" ht="12.75"/>
    <row r="356" s="3" customFormat="1" ht="12.75"/>
    <row r="357" s="3" customFormat="1" ht="12.75"/>
    <row r="358" s="3" customFormat="1" ht="12.75"/>
    <row r="359" s="3" customFormat="1" ht="12.75"/>
    <row r="360" s="3" customFormat="1" ht="12.75"/>
    <row r="361" s="3" customFormat="1" ht="12.75"/>
    <row r="362" s="3" customFormat="1" ht="12.75"/>
    <row r="363" s="3" customFormat="1" ht="12.75"/>
    <row r="364" s="3" customFormat="1" ht="12.75"/>
    <row r="365" s="3" customFormat="1" ht="12.75"/>
    <row r="366" s="3" customFormat="1" ht="12.75"/>
    <row r="367" s="3" customFormat="1" ht="12.75"/>
    <row r="368" s="3" customFormat="1" ht="12.75"/>
    <row r="369" s="3" customFormat="1" ht="12.75"/>
    <row r="370" s="3" customFormat="1" ht="12.75"/>
    <row r="371" s="3" customFormat="1" ht="12.75"/>
    <row r="372" s="3" customFormat="1" ht="12.75"/>
    <row r="373" s="3" customFormat="1" ht="12.75"/>
    <row r="374" s="3" customFormat="1" ht="12.75"/>
    <row r="375" s="3" customFormat="1" ht="12.75"/>
    <row r="376" s="3" customFormat="1" ht="12.75"/>
    <row r="377" s="3" customFormat="1" ht="12.75"/>
    <row r="378" s="3" customFormat="1" ht="12.75"/>
    <row r="379" s="3" customFormat="1" ht="12.75"/>
    <row r="380" s="3" customFormat="1" ht="12.75"/>
    <row r="381" s="3" customFormat="1" ht="12.75"/>
    <row r="382" s="3" customFormat="1" ht="12.75"/>
    <row r="383" s="3" customFormat="1" ht="12.75"/>
    <row r="384" s="3" customFormat="1" ht="12.75"/>
    <row r="385" s="3" customFormat="1" ht="12.75"/>
    <row r="386" s="3" customFormat="1" ht="12.75"/>
    <row r="387" s="3" customFormat="1" ht="12.75"/>
    <row r="388" s="3" customFormat="1" ht="12.75"/>
    <row r="389" s="3" customFormat="1" ht="12.75"/>
    <row r="390" s="3" customFormat="1" ht="12.75"/>
    <row r="391" s="3" customFormat="1" ht="12.75"/>
    <row r="392" s="3" customFormat="1" ht="12.75"/>
    <row r="393" s="3" customFormat="1" ht="12.75"/>
    <row r="394" s="3" customFormat="1" ht="12.75"/>
    <row r="395" s="3" customFormat="1" ht="12.75"/>
    <row r="396" s="3" customFormat="1" ht="12.75"/>
    <row r="397" s="3" customFormat="1" ht="12.75"/>
    <row r="398" s="3" customFormat="1" ht="12.75"/>
    <row r="399" s="3" customFormat="1" ht="12.75"/>
    <row r="400" s="3" customFormat="1" ht="12.75"/>
    <row r="401" s="3" customFormat="1" ht="12.75"/>
    <row r="402" s="3" customFormat="1" ht="12.75"/>
    <row r="403" s="3" customFormat="1" ht="12.75"/>
    <row r="404" s="3" customFormat="1" ht="12.75"/>
    <row r="405" s="3" customFormat="1" ht="12.75"/>
    <row r="406" s="3" customFormat="1" ht="12.75"/>
    <row r="407" s="3" customFormat="1" ht="12.75"/>
    <row r="408" s="3" customFormat="1" ht="12.75"/>
    <row r="409" s="3" customFormat="1" ht="12.75"/>
    <row r="410" s="3" customFormat="1" ht="12.75"/>
    <row r="411" s="3" customFormat="1" ht="12.75"/>
    <row r="412" s="3" customFormat="1" ht="12.75"/>
    <row r="413" s="3" customFormat="1" ht="12.75"/>
    <row r="414" s="3" customFormat="1" ht="12.75"/>
    <row r="415" s="3" customFormat="1" ht="12.75"/>
    <row r="416" s="3" customFormat="1" ht="12.75"/>
    <row r="417" s="3" customFormat="1" ht="12.75"/>
    <row r="418" s="3" customFormat="1" ht="12.75"/>
    <row r="419" s="3" customFormat="1" ht="12.75"/>
    <row r="420" s="3" customFormat="1" ht="12.75"/>
    <row r="421" s="3" customFormat="1" ht="12.75"/>
    <row r="422" s="3" customFormat="1" ht="12.75"/>
    <row r="423" s="3" customFormat="1" ht="12.75"/>
    <row r="424" s="3" customFormat="1" ht="12.75"/>
    <row r="425" s="3" customFormat="1" ht="12.75"/>
    <row r="426" s="3" customFormat="1" ht="12.75"/>
    <row r="427" s="3" customFormat="1" ht="12.75"/>
    <row r="428" s="3" customFormat="1" ht="12.75"/>
    <row r="429" s="3" customFormat="1" ht="12.75"/>
    <row r="430" s="3" customFormat="1" ht="12.75"/>
    <row r="431" s="3" customFormat="1" ht="12.75"/>
    <row r="432" s="3" customFormat="1" ht="12.75"/>
    <row r="433" s="3" customFormat="1" ht="12.75"/>
  </sheetData>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tabColor rgb="FFFFFFCC"/>
  </sheetPr>
  <dimension ref="A1:U49"/>
  <sheetViews>
    <sheetView showGridLines="0" zoomScale="85" zoomScaleNormal="85" workbookViewId="0">
      <pane xSplit="8" ySplit="8" topLeftCell="I9" activePane="bottomRight" state="frozen"/>
      <selection pane="topRight" activeCell="F1" sqref="F1"/>
      <selection pane="bottomLeft" activeCell="A6" sqref="A6"/>
      <selection pane="bottomRight" activeCell="I9" sqref="I9"/>
    </sheetView>
  </sheetViews>
  <sheetFormatPr defaultRowHeight="14.25"/>
  <cols>
    <col min="1" max="1" width="2.28515625" style="114" customWidth="1"/>
    <col min="2" max="2" width="48.140625" style="114" customWidth="1"/>
    <col min="3" max="3" width="3.5703125" style="114" customWidth="1"/>
    <col min="4" max="4" width="21.7109375" style="114" customWidth="1"/>
    <col min="5" max="7" width="3.28515625" style="114" customWidth="1"/>
    <col min="8" max="8" width="14.42578125" style="114" bestFit="1" customWidth="1"/>
    <col min="9" max="9" width="3.140625" style="114" customWidth="1"/>
    <col min="10" max="10" width="16.28515625" style="114" customWidth="1"/>
    <col min="11" max="11" width="3.140625" style="114" customWidth="1"/>
    <col min="12" max="21" width="16.5703125" style="114" customWidth="1"/>
    <col min="22" max="16384" width="9.140625" style="114"/>
  </cols>
  <sheetData>
    <row r="1" spans="1:18">
      <c r="B1" s="3" t="s">
        <v>350</v>
      </c>
    </row>
    <row r="2" spans="1:18" s="1" customFormat="1" ht="18" customHeight="1">
      <c r="B2" s="2" t="s">
        <v>239</v>
      </c>
    </row>
    <row r="3" spans="1:18" s="3" customFormat="1" ht="12.75"/>
    <row r="4" spans="1:18" s="3" customFormat="1">
      <c r="A4" s="127"/>
      <c r="B4" s="3" t="s">
        <v>345</v>
      </c>
    </row>
    <row r="5" spans="1:18" s="3" customFormat="1" ht="12.75">
      <c r="B5" s="3" t="s">
        <v>346</v>
      </c>
    </row>
    <row r="6" spans="1:18" s="3" customFormat="1" ht="12.75"/>
    <row r="7" spans="1:18" s="3" customFormat="1" ht="12.75"/>
    <row r="8" spans="1:18" s="4" customFormat="1" ht="12.75">
      <c r="D8" s="4" t="s">
        <v>153</v>
      </c>
      <c r="H8" s="4" t="s">
        <v>0</v>
      </c>
      <c r="J8" s="4" t="s">
        <v>1</v>
      </c>
      <c r="L8" s="4" t="s">
        <v>357</v>
      </c>
      <c r="M8" s="4" t="s">
        <v>59</v>
      </c>
      <c r="N8" s="4" t="s">
        <v>2</v>
      </c>
      <c r="O8" s="4" t="s">
        <v>3</v>
      </c>
      <c r="P8" s="4" t="s">
        <v>4</v>
      </c>
      <c r="Q8" s="4" t="s">
        <v>5</v>
      </c>
      <c r="R8" s="4" t="s">
        <v>6</v>
      </c>
    </row>
    <row r="9" spans="1:18" s="3" customFormat="1" ht="12.75"/>
    <row r="10" spans="1:18" s="4" customFormat="1" ht="12.75">
      <c r="B10" s="4" t="s">
        <v>251</v>
      </c>
    </row>
    <row r="11" spans="1:18" s="3" customFormat="1" ht="12.75"/>
    <row r="12" spans="1:18">
      <c r="B12" s="8" t="s">
        <v>246</v>
      </c>
      <c r="C12" s="3"/>
      <c r="D12" s="3"/>
      <c r="E12" s="3"/>
      <c r="F12" s="3"/>
      <c r="G12" s="3"/>
      <c r="H12" s="3"/>
    </row>
    <row r="13" spans="1:18">
      <c r="A13" s="127"/>
      <c r="B13" s="3" t="s">
        <v>254</v>
      </c>
      <c r="C13" s="3"/>
      <c r="D13" s="3"/>
      <c r="E13" s="3"/>
      <c r="F13" s="3"/>
      <c r="G13" s="3"/>
      <c r="H13" s="3" t="s">
        <v>28</v>
      </c>
      <c r="J13" s="9">
        <f>SUM(L13:R13)</f>
        <v>59294410.062998578</v>
      </c>
      <c r="L13" s="21">
        <f>'Berekening netto-OPEX'!L217</f>
        <v>551.77859999999998</v>
      </c>
      <c r="M13" s="21">
        <f>'Berekening netto-OPEX'!M217</f>
        <v>991640</v>
      </c>
      <c r="N13" s="21">
        <f>'Berekening netto-OPEX'!N217</f>
        <v>1480866.7443985795</v>
      </c>
      <c r="O13" s="21">
        <f>'Berekening netto-OPEX'!O217</f>
        <v>41444801.299999997</v>
      </c>
      <c r="P13" s="21">
        <f>'Berekening netto-OPEX'!P217</f>
        <v>0</v>
      </c>
      <c r="Q13" s="21">
        <f>'Berekening netto-OPEX'!Q217</f>
        <v>15344818.800000001</v>
      </c>
      <c r="R13" s="21">
        <f>'Berekening netto-OPEX'!R217</f>
        <v>31731.439999999999</v>
      </c>
    </row>
    <row r="14" spans="1:18">
      <c r="A14" s="127"/>
      <c r="B14" s="3"/>
      <c r="C14" s="3"/>
      <c r="D14" s="3"/>
      <c r="E14" s="3"/>
      <c r="F14" s="3"/>
      <c r="G14" s="3"/>
      <c r="H14" s="3"/>
    </row>
    <row r="15" spans="1:18">
      <c r="A15" s="127"/>
      <c r="B15" s="8" t="s">
        <v>247</v>
      </c>
      <c r="C15" s="3"/>
      <c r="D15" s="3"/>
      <c r="E15" s="3"/>
      <c r="F15" s="3"/>
      <c r="G15" s="3"/>
      <c r="H15" s="3"/>
    </row>
    <row r="16" spans="1:18">
      <c r="A16" s="127"/>
      <c r="B16" s="3" t="s">
        <v>248</v>
      </c>
      <c r="C16" s="3"/>
      <c r="D16" s="3" t="s">
        <v>249</v>
      </c>
      <c r="E16" s="3"/>
      <c r="F16" s="3"/>
      <c r="G16" s="3"/>
      <c r="H16" s="3" t="s">
        <v>28</v>
      </c>
      <c r="J16" s="9">
        <f>SUM(L16:R16)</f>
        <v>825805.45149611111</v>
      </c>
      <c r="L16" s="21">
        <f>'Berekening Kapitaalkosten'!L143</f>
        <v>-1.4487594223034242E-10</v>
      </c>
      <c r="M16" s="21">
        <f>'Berekening Kapitaalkosten'!M143</f>
        <v>0</v>
      </c>
      <c r="N16" s="21">
        <f>'Berekening Kapitaalkosten'!N143</f>
        <v>0</v>
      </c>
      <c r="O16" s="21">
        <f>'Berekening Kapitaalkosten'!O143</f>
        <v>0</v>
      </c>
      <c r="P16" s="21">
        <f>'Berekening Kapitaalkosten'!P143</f>
        <v>825805.45149611123</v>
      </c>
      <c r="Q16" s="21">
        <f>'Berekening Kapitaalkosten'!Q143</f>
        <v>0</v>
      </c>
      <c r="R16" s="21">
        <f>'Berekening Kapitaalkosten'!R143</f>
        <v>0</v>
      </c>
    </row>
    <row r="17" spans="1:21">
      <c r="A17" s="127"/>
      <c r="B17" s="3" t="s">
        <v>248</v>
      </c>
      <c r="C17" s="3"/>
      <c r="D17" s="3" t="s">
        <v>250</v>
      </c>
      <c r="E17" s="3"/>
      <c r="F17" s="3"/>
      <c r="G17" s="3"/>
      <c r="H17" s="3" t="s">
        <v>28</v>
      </c>
      <c r="J17" s="9">
        <f>SUM(L17:R17)</f>
        <v>775245.93405757379</v>
      </c>
      <c r="L17" s="21">
        <f>'Berekening Kapitaalkosten'!L144</f>
        <v>-9.6583961486894945E-11</v>
      </c>
      <c r="M17" s="21">
        <f>'Berekening Kapitaalkosten'!M144</f>
        <v>0</v>
      </c>
      <c r="N17" s="21">
        <f>'Berekening Kapitaalkosten'!N144</f>
        <v>0</v>
      </c>
      <c r="O17" s="21">
        <f>'Berekening Kapitaalkosten'!O144</f>
        <v>0</v>
      </c>
      <c r="P17" s="21">
        <f>'Berekening Kapitaalkosten'!P144</f>
        <v>775245.9340575739</v>
      </c>
      <c r="Q17" s="21">
        <f>'Berekening Kapitaalkosten'!Q144</f>
        <v>0</v>
      </c>
      <c r="R17" s="21">
        <f>'Berekening Kapitaalkosten'!R144</f>
        <v>0</v>
      </c>
    </row>
    <row r="18" spans="1:21">
      <c r="A18" s="127"/>
      <c r="B18" s="3"/>
      <c r="C18" s="3"/>
      <c r="D18" s="3"/>
      <c r="E18" s="3"/>
      <c r="F18" s="3"/>
      <c r="G18" s="3"/>
      <c r="H18" s="3"/>
    </row>
    <row r="19" spans="1:21">
      <c r="A19" s="127"/>
      <c r="B19" s="8" t="s">
        <v>46</v>
      </c>
      <c r="C19" s="3"/>
      <c r="D19" s="3"/>
      <c r="E19" s="3"/>
      <c r="F19" s="3"/>
      <c r="G19" s="3"/>
      <c r="H19" s="3"/>
      <c r="J19" s="128"/>
    </row>
    <row r="20" spans="1:21">
      <c r="A20" s="127"/>
      <c r="B20" s="3" t="s">
        <v>254</v>
      </c>
      <c r="C20" s="3"/>
      <c r="D20" s="3" t="s">
        <v>249</v>
      </c>
      <c r="E20" s="3"/>
      <c r="F20" s="3"/>
      <c r="G20" s="3"/>
      <c r="H20" s="3" t="s">
        <v>28</v>
      </c>
      <c r="J20" s="9">
        <f>SUM(L20:R20)</f>
        <v>60120215.514494687</v>
      </c>
      <c r="K20" s="128"/>
      <c r="L20" s="9">
        <f>SUM(L13,L16)</f>
        <v>551.77859999985515</v>
      </c>
      <c r="M20" s="9">
        <f t="shared" ref="M20:R20" si="0">SUM(M13,M16)</f>
        <v>991640</v>
      </c>
      <c r="N20" s="9">
        <f t="shared" si="0"/>
        <v>1480866.7443985795</v>
      </c>
      <c r="O20" s="9">
        <f t="shared" si="0"/>
        <v>41444801.299999997</v>
      </c>
      <c r="P20" s="9">
        <f t="shared" si="0"/>
        <v>825805.45149611123</v>
      </c>
      <c r="Q20" s="9">
        <f t="shared" si="0"/>
        <v>15344818.800000001</v>
      </c>
      <c r="R20" s="9">
        <f t="shared" si="0"/>
        <v>31731.439999999999</v>
      </c>
      <c r="U20" s="126" t="s">
        <v>272</v>
      </c>
    </row>
    <row r="21" spans="1:21">
      <c r="A21" s="127"/>
      <c r="B21" s="3" t="s">
        <v>254</v>
      </c>
      <c r="C21" s="3"/>
      <c r="D21" s="3" t="s">
        <v>250</v>
      </c>
      <c r="E21" s="3"/>
      <c r="F21" s="3"/>
      <c r="G21" s="3"/>
      <c r="H21" s="3" t="s">
        <v>28</v>
      </c>
      <c r="J21" s="9">
        <f>SUM(L21:R21)</f>
        <v>60069655.997056141</v>
      </c>
      <c r="L21" s="9">
        <f>SUM(L13,L17)</f>
        <v>551.77859999990335</v>
      </c>
      <c r="M21" s="9">
        <f>SUM(M13,M17)</f>
        <v>991640</v>
      </c>
      <c r="N21" s="9">
        <f t="shared" ref="N21:R21" si="1">SUM(N13,N17)</f>
        <v>1480866.7443985795</v>
      </c>
      <c r="O21" s="9">
        <f t="shared" si="1"/>
        <v>41444801.299999997</v>
      </c>
      <c r="P21" s="9">
        <f t="shared" si="1"/>
        <v>775245.9340575739</v>
      </c>
      <c r="Q21" s="9">
        <f t="shared" si="1"/>
        <v>15344818.800000001</v>
      </c>
      <c r="R21" s="9">
        <f t="shared" si="1"/>
        <v>31731.439999999999</v>
      </c>
    </row>
    <row r="24" spans="1:21" s="4" customFormat="1" ht="12.75">
      <c r="B24" s="4" t="s">
        <v>252</v>
      </c>
    </row>
    <row r="25" spans="1:21" s="3" customFormat="1" ht="12.75"/>
    <row r="26" spans="1:21">
      <c r="B26" s="8" t="s">
        <v>246</v>
      </c>
      <c r="C26" s="3"/>
      <c r="D26" s="3"/>
      <c r="E26" s="3"/>
      <c r="F26" s="3"/>
      <c r="G26" s="3"/>
      <c r="H26" s="3"/>
    </row>
    <row r="27" spans="1:21">
      <c r="A27" s="127"/>
      <c r="B27" s="3" t="s">
        <v>254</v>
      </c>
      <c r="C27" s="3"/>
      <c r="D27" s="3"/>
      <c r="E27" s="3"/>
      <c r="F27" s="3"/>
      <c r="G27" s="3"/>
      <c r="H27" s="3" t="s">
        <v>30</v>
      </c>
      <c r="J27" s="9">
        <f>SUM(L27:R27)</f>
        <v>76142277.835326225</v>
      </c>
      <c r="L27" s="21">
        <f>'Berekening netto-OPEX'!L330</f>
        <v>1875.1105000000002</v>
      </c>
      <c r="M27" s="21">
        <f>'Berekening netto-OPEX'!M330</f>
        <v>949986</v>
      </c>
      <c r="N27" s="21">
        <f>'Berekening netto-OPEX'!N330</f>
        <v>1400613.9848262288</v>
      </c>
      <c r="O27" s="21">
        <f>'Berekening netto-OPEX'!O330</f>
        <v>55143670.659999996</v>
      </c>
      <c r="P27" s="21">
        <f>'Berekening netto-OPEX'!P330</f>
        <v>0</v>
      </c>
      <c r="Q27" s="21">
        <f>'Berekening netto-OPEX'!Q330</f>
        <v>18607492.699999999</v>
      </c>
      <c r="R27" s="21">
        <f>'Berekening netto-OPEX'!R330</f>
        <v>38639.379999999997</v>
      </c>
    </row>
    <row r="28" spans="1:21">
      <c r="A28" s="127"/>
      <c r="B28" s="3"/>
      <c r="C28" s="3"/>
      <c r="D28" s="3"/>
      <c r="E28" s="3"/>
      <c r="F28" s="3"/>
      <c r="G28" s="3"/>
      <c r="H28" s="3"/>
    </row>
    <row r="29" spans="1:21">
      <c r="A29" s="127"/>
      <c r="B29" s="8" t="s">
        <v>247</v>
      </c>
      <c r="C29" s="3"/>
      <c r="D29" s="3"/>
      <c r="E29" s="3"/>
      <c r="F29" s="3"/>
      <c r="G29" s="3"/>
      <c r="H29" s="3"/>
    </row>
    <row r="30" spans="1:21">
      <c r="A30" s="127"/>
      <c r="B30" s="3" t="s">
        <v>248</v>
      </c>
      <c r="C30" s="3"/>
      <c r="D30" s="3" t="s">
        <v>249</v>
      </c>
      <c r="E30" s="3"/>
      <c r="F30" s="3"/>
      <c r="G30" s="3"/>
      <c r="H30" s="3" t="s">
        <v>30</v>
      </c>
      <c r="J30" s="9">
        <f>SUM(L30:R30)</f>
        <v>817742.89378191228</v>
      </c>
      <c r="L30" s="21">
        <f>'Berekening Kapitaalkosten'!L226</f>
        <v>-1.4893246861279199E-10</v>
      </c>
      <c r="M30" s="21">
        <f>'Berekening Kapitaalkosten'!M226</f>
        <v>0</v>
      </c>
      <c r="N30" s="21">
        <f>'Berekening Kapitaalkosten'!N226</f>
        <v>0</v>
      </c>
      <c r="O30" s="21">
        <f>'Berekening Kapitaalkosten'!O226</f>
        <v>0</v>
      </c>
      <c r="P30" s="21">
        <f>'Berekening Kapitaalkosten'!P226</f>
        <v>817742.8937819124</v>
      </c>
      <c r="Q30" s="21">
        <f>'Berekening Kapitaalkosten'!Q226</f>
        <v>0</v>
      </c>
      <c r="R30" s="21">
        <f>'Berekening Kapitaalkosten'!R226</f>
        <v>0</v>
      </c>
    </row>
    <row r="31" spans="1:21">
      <c r="A31" s="127"/>
      <c r="B31" s="3" t="s">
        <v>248</v>
      </c>
      <c r="C31" s="3"/>
      <c r="D31" s="3" t="s">
        <v>250</v>
      </c>
      <c r="E31" s="3"/>
      <c r="F31" s="3"/>
      <c r="G31" s="3"/>
      <c r="H31" s="3" t="s">
        <v>30</v>
      </c>
      <c r="J31" s="9">
        <f>SUM(L31:R31)</f>
        <v>776162.74664045929</v>
      </c>
      <c r="L31" s="21">
        <f>'Berekening Kapitaalkosten'!L227</f>
        <v>-9.9288312408527995E-11</v>
      </c>
      <c r="M31" s="21">
        <f>'Berekening Kapitaalkosten'!M227</f>
        <v>0</v>
      </c>
      <c r="N31" s="21">
        <f>'Berekening Kapitaalkosten'!N227</f>
        <v>0</v>
      </c>
      <c r="O31" s="21">
        <f>'Berekening Kapitaalkosten'!O227</f>
        <v>0</v>
      </c>
      <c r="P31" s="21">
        <f>'Berekening Kapitaalkosten'!P227</f>
        <v>776162.7466404594</v>
      </c>
      <c r="Q31" s="21">
        <f>'Berekening Kapitaalkosten'!Q227</f>
        <v>0</v>
      </c>
      <c r="R31" s="21">
        <f>'Berekening Kapitaalkosten'!R227</f>
        <v>0</v>
      </c>
    </row>
    <row r="32" spans="1:21">
      <c r="A32" s="127"/>
      <c r="B32" s="3"/>
      <c r="C32" s="3"/>
      <c r="D32" s="3"/>
      <c r="E32" s="3"/>
      <c r="F32" s="3"/>
      <c r="G32" s="3"/>
      <c r="H32" s="3"/>
    </row>
    <row r="33" spans="1:21">
      <c r="A33" s="127"/>
      <c r="B33" s="8" t="s">
        <v>46</v>
      </c>
      <c r="C33" s="3"/>
      <c r="D33" s="3"/>
      <c r="E33" s="3"/>
      <c r="F33" s="3"/>
      <c r="G33" s="3"/>
      <c r="H33" s="3"/>
      <c r="J33" s="128"/>
    </row>
    <row r="34" spans="1:21">
      <c r="A34" s="127"/>
      <c r="B34" s="3" t="s">
        <v>254</v>
      </c>
      <c r="C34" s="3"/>
      <c r="D34" s="3" t="s">
        <v>249</v>
      </c>
      <c r="E34" s="3"/>
      <c r="F34" s="3"/>
      <c r="G34" s="3"/>
      <c r="H34" s="3" t="s">
        <v>30</v>
      </c>
      <c r="J34" s="9">
        <f>SUM(L34:R34)</f>
        <v>76960020.72910814</v>
      </c>
      <c r="K34" s="128"/>
      <c r="L34" s="9">
        <f>SUM(L27,L30)</f>
        <v>1875.1104999998513</v>
      </c>
      <c r="M34" s="9">
        <f t="shared" ref="M34:R34" si="2">SUM(M27,M30)</f>
        <v>949986</v>
      </c>
      <c r="N34" s="9">
        <f t="shared" si="2"/>
        <v>1400613.9848262288</v>
      </c>
      <c r="O34" s="9">
        <f t="shared" si="2"/>
        <v>55143670.659999996</v>
      </c>
      <c r="P34" s="9">
        <f t="shared" si="2"/>
        <v>817742.8937819124</v>
      </c>
      <c r="Q34" s="9">
        <f t="shared" si="2"/>
        <v>18607492.699999999</v>
      </c>
      <c r="R34" s="9">
        <f t="shared" si="2"/>
        <v>38639.379999999997</v>
      </c>
      <c r="U34" s="126" t="s">
        <v>272</v>
      </c>
    </row>
    <row r="35" spans="1:21">
      <c r="A35" s="127"/>
      <c r="B35" s="3" t="s">
        <v>254</v>
      </c>
      <c r="C35" s="3"/>
      <c r="D35" s="3" t="s">
        <v>250</v>
      </c>
      <c r="E35" s="3"/>
      <c r="F35" s="3"/>
      <c r="G35" s="3"/>
      <c r="H35" s="3" t="s">
        <v>30</v>
      </c>
      <c r="J35" s="9">
        <f>SUM(L35:R35)</f>
        <v>76918440.581966683</v>
      </c>
      <c r="L35" s="9">
        <f>SUM(L27,L31)</f>
        <v>1875.1104999999009</v>
      </c>
      <c r="M35" s="9">
        <f>SUM(M27,M31)</f>
        <v>949986</v>
      </c>
      <c r="N35" s="9">
        <f t="shared" ref="N35:R35" si="3">SUM(N27,N31)</f>
        <v>1400613.9848262288</v>
      </c>
      <c r="O35" s="9">
        <f t="shared" si="3"/>
        <v>55143670.659999996</v>
      </c>
      <c r="P35" s="9">
        <f t="shared" si="3"/>
        <v>776162.7466404594</v>
      </c>
      <c r="Q35" s="9">
        <f t="shared" si="3"/>
        <v>18607492.699999999</v>
      </c>
      <c r="R35" s="9">
        <f t="shared" si="3"/>
        <v>38639.379999999997</v>
      </c>
    </row>
    <row r="38" spans="1:21" s="4" customFormat="1" ht="12.75">
      <c r="B38" s="4" t="s">
        <v>253</v>
      </c>
    </row>
    <row r="39" spans="1:21" s="3" customFormat="1" ht="12.75"/>
    <row r="40" spans="1:21">
      <c r="B40" s="8" t="s">
        <v>246</v>
      </c>
      <c r="C40" s="3"/>
      <c r="D40" s="3"/>
      <c r="E40" s="3"/>
      <c r="F40" s="3"/>
      <c r="G40" s="3"/>
      <c r="H40" s="3"/>
    </row>
    <row r="41" spans="1:21" ht="16.5" customHeight="1">
      <c r="A41" s="127"/>
      <c r="B41" s="3" t="s">
        <v>254</v>
      </c>
      <c r="C41" s="3"/>
      <c r="D41" s="3"/>
      <c r="E41" s="3"/>
      <c r="F41" s="3"/>
      <c r="G41" s="3"/>
      <c r="H41" s="3" t="s">
        <v>32</v>
      </c>
      <c r="J41" s="9">
        <f>SUM(L41:R41)</f>
        <v>104402672.52528875</v>
      </c>
      <c r="L41" s="21">
        <f>'Berekening netto-OPEX'!L446</f>
        <v>2044.9297297297298</v>
      </c>
      <c r="M41" s="21">
        <f>'Berekening netto-OPEX'!M446</f>
        <v>1555755</v>
      </c>
      <c r="N41" s="21">
        <f>'Berekening netto-OPEX'!N446</f>
        <v>1686779.3166402495</v>
      </c>
      <c r="O41" s="21">
        <f>'Berekening netto-OPEX'!O446</f>
        <v>79523128.079999998</v>
      </c>
      <c r="P41" s="21">
        <f>'Berekening netto-OPEX'!P446</f>
        <v>0</v>
      </c>
      <c r="Q41" s="21">
        <f>'Berekening netto-OPEX'!Q446</f>
        <v>21608574.178918783</v>
      </c>
      <c r="R41" s="21">
        <f>'Berekening netto-OPEX'!R446</f>
        <v>26391.02</v>
      </c>
    </row>
    <row r="42" spans="1:21">
      <c r="A42" s="127"/>
      <c r="B42" s="3"/>
      <c r="C42" s="3"/>
      <c r="D42" s="3"/>
      <c r="E42" s="3"/>
      <c r="F42" s="3"/>
      <c r="G42" s="3"/>
      <c r="H42" s="3"/>
      <c r="L42" s="129"/>
      <c r="M42" s="129"/>
      <c r="N42" s="129"/>
      <c r="O42" s="129"/>
      <c r="P42" s="129"/>
      <c r="Q42" s="129"/>
      <c r="R42" s="129"/>
    </row>
    <row r="43" spans="1:21">
      <c r="A43" s="127"/>
      <c r="B43" s="8" t="s">
        <v>247</v>
      </c>
      <c r="C43" s="3"/>
      <c r="D43" s="3"/>
      <c r="E43" s="3"/>
      <c r="F43" s="3"/>
      <c r="G43" s="3"/>
      <c r="H43" s="3"/>
    </row>
    <row r="44" spans="1:21">
      <c r="A44" s="127"/>
      <c r="B44" s="3" t="s">
        <v>248</v>
      </c>
      <c r="C44" s="3"/>
      <c r="D44" s="3" t="s">
        <v>249</v>
      </c>
      <c r="E44" s="3"/>
      <c r="F44" s="3"/>
      <c r="G44" s="3"/>
      <c r="H44" s="3" t="s">
        <v>32</v>
      </c>
      <c r="J44" s="9">
        <f>SUM(L44:R44)</f>
        <v>794423.36126008071</v>
      </c>
      <c r="L44" s="21">
        <f>'Berekening Kapitaalkosten'!L307</f>
        <v>-1.5042179329891992E-10</v>
      </c>
      <c r="M44" s="21">
        <f>'Berekening Kapitaalkosten'!M307</f>
        <v>0</v>
      </c>
      <c r="N44" s="21">
        <f>'Berekening Kapitaalkosten'!N307</f>
        <v>0</v>
      </c>
      <c r="O44" s="21">
        <f>'Berekening Kapitaalkosten'!O307</f>
        <v>0</v>
      </c>
      <c r="P44" s="21">
        <f>'Berekening Kapitaalkosten'!P307</f>
        <v>794423.36126008083</v>
      </c>
      <c r="Q44" s="21">
        <f>'Berekening Kapitaalkosten'!Q307</f>
        <v>0</v>
      </c>
      <c r="R44" s="21">
        <f>'Berekening Kapitaalkosten'!R307</f>
        <v>0</v>
      </c>
    </row>
    <row r="45" spans="1:21">
      <c r="A45" s="127"/>
      <c r="B45" s="3" t="s">
        <v>248</v>
      </c>
      <c r="C45" s="3"/>
      <c r="D45" s="3" t="s">
        <v>250</v>
      </c>
      <c r="E45" s="3"/>
      <c r="F45" s="3"/>
      <c r="G45" s="3"/>
      <c r="H45" s="3" t="s">
        <v>32</v>
      </c>
      <c r="J45" s="9">
        <f>SUM(L45:R45)</f>
        <v>762926.39980043005</v>
      </c>
      <c r="L45" s="21">
        <f>'Berekening Kapitaalkosten'!L308</f>
        <v>-1.0028119553261329E-10</v>
      </c>
      <c r="M45" s="21">
        <f>'Berekening Kapitaalkosten'!M308</f>
        <v>0</v>
      </c>
      <c r="N45" s="21">
        <f>'Berekening Kapitaalkosten'!N308</f>
        <v>0</v>
      </c>
      <c r="O45" s="21">
        <f>'Berekening Kapitaalkosten'!O308</f>
        <v>0</v>
      </c>
      <c r="P45" s="21">
        <f>'Berekening Kapitaalkosten'!P308</f>
        <v>762926.39980043017</v>
      </c>
      <c r="Q45" s="21">
        <f>'Berekening Kapitaalkosten'!Q308</f>
        <v>0</v>
      </c>
      <c r="R45" s="21">
        <f>'Berekening Kapitaalkosten'!R308</f>
        <v>0</v>
      </c>
    </row>
    <row r="46" spans="1:21">
      <c r="A46" s="127"/>
      <c r="B46" s="3"/>
      <c r="C46" s="3"/>
      <c r="D46" s="3"/>
      <c r="E46" s="3"/>
      <c r="F46" s="3"/>
      <c r="G46" s="3"/>
      <c r="H46" s="3"/>
    </row>
    <row r="47" spans="1:21">
      <c r="A47" s="127"/>
      <c r="B47" s="8" t="s">
        <v>46</v>
      </c>
      <c r="C47" s="3"/>
      <c r="D47" s="3"/>
      <c r="E47" s="3"/>
      <c r="F47" s="3"/>
      <c r="G47" s="3"/>
      <c r="H47" s="3"/>
      <c r="J47" s="128"/>
    </row>
    <row r="48" spans="1:21">
      <c r="A48" s="127"/>
      <c r="B48" s="3" t="s">
        <v>254</v>
      </c>
      <c r="C48" s="3"/>
      <c r="D48" s="3" t="s">
        <v>249</v>
      </c>
      <c r="E48" s="3"/>
      <c r="F48" s="3"/>
      <c r="G48" s="3"/>
      <c r="H48" s="3" t="s">
        <v>32</v>
      </c>
      <c r="J48" s="9">
        <f>SUM(L48:R48)</f>
        <v>105197095.88654883</v>
      </c>
      <c r="K48" s="128"/>
      <c r="L48" s="9">
        <f>SUM(L41,L44)</f>
        <v>2044.9297297295793</v>
      </c>
      <c r="M48" s="9">
        <f t="shared" ref="M48:R48" si="4">SUM(M41,M44)</f>
        <v>1555755</v>
      </c>
      <c r="N48" s="9">
        <f t="shared" si="4"/>
        <v>1686779.3166402495</v>
      </c>
      <c r="O48" s="9">
        <f t="shared" si="4"/>
        <v>79523128.079999998</v>
      </c>
      <c r="P48" s="9">
        <f t="shared" si="4"/>
        <v>794423.36126008083</v>
      </c>
      <c r="Q48" s="9">
        <f t="shared" si="4"/>
        <v>21608574.178918783</v>
      </c>
      <c r="R48" s="9">
        <f t="shared" si="4"/>
        <v>26391.02</v>
      </c>
      <c r="U48" s="126" t="s">
        <v>272</v>
      </c>
    </row>
    <row r="49" spans="1:18">
      <c r="A49" s="127"/>
      <c r="B49" s="3" t="s">
        <v>254</v>
      </c>
      <c r="C49" s="3"/>
      <c r="D49" s="3" t="s">
        <v>250</v>
      </c>
      <c r="E49" s="3"/>
      <c r="F49" s="3"/>
      <c r="G49" s="3"/>
      <c r="H49" s="3" t="s">
        <v>32</v>
      </c>
      <c r="J49" s="9">
        <f>SUM(L49:R49)</f>
        <v>105165598.92508918</v>
      </c>
      <c r="L49" s="9">
        <f>SUM(L41,L45)</f>
        <v>2044.9297297296296</v>
      </c>
      <c r="M49" s="9">
        <f>SUM(M41,M45)</f>
        <v>1555755</v>
      </c>
      <c r="N49" s="9">
        <f t="shared" ref="N49:R49" si="5">SUM(N41,N45)</f>
        <v>1686779.3166402495</v>
      </c>
      <c r="O49" s="9">
        <f t="shared" si="5"/>
        <v>79523128.079999998</v>
      </c>
      <c r="P49" s="9">
        <f t="shared" si="5"/>
        <v>762926.39980043017</v>
      </c>
      <c r="Q49" s="9">
        <f t="shared" si="5"/>
        <v>21608574.178918783</v>
      </c>
      <c r="R49" s="9">
        <f t="shared" si="5"/>
        <v>26391.02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932</vt:i4>
      </vt:variant>
    </vt:vector>
  </HeadingPairs>
  <TitlesOfParts>
    <vt:vector size="943" baseType="lpstr">
      <vt:lpstr>Toelichting</vt:lpstr>
      <vt:lpstr>Input operationele kosten</vt:lpstr>
      <vt:lpstr>Overige opbrengsten</vt:lpstr>
      <vt:lpstr>GAW IMPORT</vt:lpstr>
      <vt:lpstr>Besparingen Marktmodel</vt:lpstr>
      <vt:lpstr>Aanpassingen IT n.a.v. FNOP&amp;HS</vt:lpstr>
      <vt:lpstr>Berekening netto-OPEX</vt:lpstr>
      <vt:lpstr>Berekening Kapitaalkosten</vt:lpstr>
      <vt:lpstr>Berekening ORV Lokale Heffingen</vt:lpstr>
      <vt:lpstr>Totale kosten</vt:lpstr>
      <vt:lpstr>CPI</vt:lpstr>
      <vt:lpstr>_7A.A.10</vt:lpstr>
      <vt:lpstr>_7A.A.11</vt:lpstr>
      <vt:lpstr>_7A.A.6</vt:lpstr>
      <vt:lpstr>_7A.A.7</vt:lpstr>
      <vt:lpstr>_7A.A.9</vt:lpstr>
      <vt:lpstr>cogas_2012_Total_Cost_Ex_1</vt:lpstr>
      <vt:lpstr>cogas_2012_Total_Cost_Ex_2</vt:lpstr>
      <vt:lpstr>cogas_2013_Total_Cost_Ex_1</vt:lpstr>
      <vt:lpstr>cogas_2013_Total_Cost_Ex_2</vt:lpstr>
      <vt:lpstr>cogas_2013_Total_Cost_Ex_3</vt:lpstr>
      <vt:lpstr>cogas_2013_Total_Cost_Ex_4</vt:lpstr>
      <vt:lpstr>cogas_2013_Total_Cost_Ex_5</vt:lpstr>
      <vt:lpstr>cogas_2013_Total_Cost_Ex_6</vt:lpstr>
      <vt:lpstr>cogas_2013_Total_Cost_Ex_7</vt:lpstr>
      <vt:lpstr>cogas_2013_Total_Cost_Ex_8</vt:lpstr>
      <vt:lpstr>cogas_2013_Total_Cost_Ex_9</vt:lpstr>
      <vt:lpstr>cogas_2014_2B.E.tot</vt:lpstr>
      <vt:lpstr>cogas_2014_3A.A.1</vt:lpstr>
      <vt:lpstr>cogas_2014_3A.A.10</vt:lpstr>
      <vt:lpstr>cogas_2014_3A.A.11</vt:lpstr>
      <vt:lpstr>cogas_2014_3A.A.12</vt:lpstr>
      <vt:lpstr>cogas_2014_3A.A.13</vt:lpstr>
      <vt:lpstr>cogas_2014_3A.A.15</vt:lpstr>
      <vt:lpstr>cogas_2014_3A.A.2</vt:lpstr>
      <vt:lpstr>cogas_2014_3A.A.3</vt:lpstr>
      <vt:lpstr>cogas_2014_3A.A.4</vt:lpstr>
      <vt:lpstr>cogas_2014_3A.A.5</vt:lpstr>
      <vt:lpstr>cogas_2014_3A.A.6</vt:lpstr>
      <vt:lpstr>cogas_2014_3A.A.7</vt:lpstr>
      <vt:lpstr>cogas_2014_3A.A.8</vt:lpstr>
      <vt:lpstr>cogas_2014_7A.A.21</vt:lpstr>
      <vt:lpstr>cogas_2014_7A.A.22</vt:lpstr>
      <vt:lpstr>cogas_2014_7A.A.23</vt:lpstr>
      <vt:lpstr>cogas_2014_7A.A.24</vt:lpstr>
      <vt:lpstr>cogas_2014_7A.A.25</vt:lpstr>
      <vt:lpstr>cogas_2014_7A.A.26</vt:lpstr>
      <vt:lpstr>cogas_2014_7A.A.27</vt:lpstr>
      <vt:lpstr>cogas_2014_7A.A.28</vt:lpstr>
      <vt:lpstr>cogas_2014_7A.A.29</vt:lpstr>
      <vt:lpstr>cogas_2014_7A.A.30</vt:lpstr>
      <vt:lpstr>cogas_2014_7A.A.31</vt:lpstr>
      <vt:lpstr>cogas_2014_7A.A.41</vt:lpstr>
      <vt:lpstr>cogas_2014_7A.A.42</vt:lpstr>
      <vt:lpstr>cogas_2014_7A.A.43</vt:lpstr>
      <vt:lpstr>cogas_2014_7A.A.44</vt:lpstr>
      <vt:lpstr>cogas_2014_7A.A.45</vt:lpstr>
      <vt:lpstr>cogas_2014_7A.A.46</vt:lpstr>
      <vt:lpstr>cogas_2014_7A.A.47</vt:lpstr>
      <vt:lpstr>cogas_2014_7A.A.48</vt:lpstr>
      <vt:lpstr>cogas_2014_7A.A.49</vt:lpstr>
      <vt:lpstr>cogas_2014_7A.A.50</vt:lpstr>
      <vt:lpstr>cogas_2014_7A.A.51</vt:lpstr>
      <vt:lpstr>cogas_2014_7A.B.21</vt:lpstr>
      <vt:lpstr>cogas_2014_7A.B.22</vt:lpstr>
      <vt:lpstr>cogas_2014_7A.B.23</vt:lpstr>
      <vt:lpstr>cogas_2014_7A.B.24</vt:lpstr>
      <vt:lpstr>cogas_2014_7A.B.25</vt:lpstr>
      <vt:lpstr>cogas_2014_7A.B.26</vt:lpstr>
      <vt:lpstr>cogas_2014_7A.B.27</vt:lpstr>
      <vt:lpstr>cogas_2014_7A.B.28</vt:lpstr>
      <vt:lpstr>cogas_2014_7A.B.29</vt:lpstr>
      <vt:lpstr>cogas_2014_Total_Cost_Ex_1</vt:lpstr>
      <vt:lpstr>cogas_2014_Total_Cost_Ex_10</vt:lpstr>
      <vt:lpstr>cogas_2014_Total_Cost_Ex_2</vt:lpstr>
      <vt:lpstr>cogas_2014_Total_Cost_Ex_3</vt:lpstr>
      <vt:lpstr>cogas_2014_Total_Cost_Ex_4</vt:lpstr>
      <vt:lpstr>cogas_2014_Total_Cost_Ex_5</vt:lpstr>
      <vt:lpstr>cogas_2014_Total_Cost_Ex_6</vt:lpstr>
      <vt:lpstr>cogas_2014_Total_Cost_Ex_7</vt:lpstr>
      <vt:lpstr>cogas_2014_Total_Cost_Ex_8</vt:lpstr>
      <vt:lpstr>cogas_2014_Total_Cost_Ex_9</vt:lpstr>
      <vt:lpstr>cogas_2015_2B.E.tot</vt:lpstr>
      <vt:lpstr>cogas_2015_3A.A.1</vt:lpstr>
      <vt:lpstr>cogas_2015_3A.A.10</vt:lpstr>
      <vt:lpstr>cogas_2015_3A.A.11</vt:lpstr>
      <vt:lpstr>cogas_2015_3A.A.12</vt:lpstr>
      <vt:lpstr>cogas_2015_3A.A.13</vt:lpstr>
      <vt:lpstr>cogas_2015_3A.A.15</vt:lpstr>
      <vt:lpstr>cogas_2015_3A.A.2</vt:lpstr>
      <vt:lpstr>cogas_2015_3A.A.3</vt:lpstr>
      <vt:lpstr>cogas_2015_3A.A.4</vt:lpstr>
      <vt:lpstr>cogas_2015_3A.A.5</vt:lpstr>
      <vt:lpstr>cogas_2015_3A.A.6</vt:lpstr>
      <vt:lpstr>cogas_2015_3A.A.7</vt:lpstr>
      <vt:lpstr>cogas_2015_3A.A.8</vt:lpstr>
      <vt:lpstr>cogas_2015_7A.A.21</vt:lpstr>
      <vt:lpstr>cogas_2015_7A.A.22</vt:lpstr>
      <vt:lpstr>cogas_2015_7A.A.23</vt:lpstr>
      <vt:lpstr>cogas_2015_7A.A.24</vt:lpstr>
      <vt:lpstr>cogas_2015_7A.A.25</vt:lpstr>
      <vt:lpstr>cogas_2015_7A.A.26</vt:lpstr>
      <vt:lpstr>cogas_2015_7A.A.27</vt:lpstr>
      <vt:lpstr>cogas_2015_7A.A.28</vt:lpstr>
      <vt:lpstr>cogas_2015_7A.A.29</vt:lpstr>
      <vt:lpstr>cogas_2015_7A.A.30</vt:lpstr>
      <vt:lpstr>cogas_2015_7A.A.31</vt:lpstr>
      <vt:lpstr>cogas_2015_7A.A.41</vt:lpstr>
      <vt:lpstr>cogas_2015_7A.A.42</vt:lpstr>
      <vt:lpstr>cogas_2015_7A.A.43</vt:lpstr>
      <vt:lpstr>cogas_2015_7A.A.44</vt:lpstr>
      <vt:lpstr>cogas_2015_7A.A.45</vt:lpstr>
      <vt:lpstr>cogas_2015_7A.A.46</vt:lpstr>
      <vt:lpstr>cogas_2015_7A.A.47</vt:lpstr>
      <vt:lpstr>cogas_2015_7A.A.48</vt:lpstr>
      <vt:lpstr>cogas_2015_7A.A.49</vt:lpstr>
      <vt:lpstr>cogas_2015_7A.A.50</vt:lpstr>
      <vt:lpstr>cogas_2015_7A.A.51</vt:lpstr>
      <vt:lpstr>cogas_2015_7A.B.21</vt:lpstr>
      <vt:lpstr>cogas_2015_7A.B.22</vt:lpstr>
      <vt:lpstr>cogas_2015_7A.B.23</vt:lpstr>
      <vt:lpstr>cogas_2015_7A.B.24</vt:lpstr>
      <vt:lpstr>cogas_2015_7A.B.25</vt:lpstr>
      <vt:lpstr>cogas_2015_7A.B.26</vt:lpstr>
      <vt:lpstr>cogas_2015_7A.B.27</vt:lpstr>
      <vt:lpstr>cogas_2015_7A.B.28</vt:lpstr>
      <vt:lpstr>cogas_2015_7A.B.29</vt:lpstr>
      <vt:lpstr>cogas_2015_Total_Cost_Ex_1</vt:lpstr>
      <vt:lpstr>cogas_2015_Total_Cost_Ex_2</vt:lpstr>
      <vt:lpstr>cogas_2015_Total_Cost_Ex_3</vt:lpstr>
      <vt:lpstr>cogas_2015_Total_Cost_Ex_4</vt:lpstr>
      <vt:lpstr>cogas_2015_Total_Cost_Ex_5</vt:lpstr>
      <vt:lpstr>cogas_2015_Total_Cost_Ex_6</vt:lpstr>
      <vt:lpstr>cogas_2015_Total_Cost_Ex_7</vt:lpstr>
      <vt:lpstr>cogas_2015_Total_Cost_Ex_8</vt:lpstr>
      <vt:lpstr>endinet_2014_2B.E.tot</vt:lpstr>
      <vt:lpstr>endinet_2014_3A.A.1</vt:lpstr>
      <vt:lpstr>endinet_2014_3A.A.10</vt:lpstr>
      <vt:lpstr>endinet_2014_3A.A.11</vt:lpstr>
      <vt:lpstr>endinet_2014_3A.A.12</vt:lpstr>
      <vt:lpstr>endinet_2014_3A.A.13</vt:lpstr>
      <vt:lpstr>endinet_2014_3A.A.15</vt:lpstr>
      <vt:lpstr>endinet_2014_3A.A.2</vt:lpstr>
      <vt:lpstr>endinet_2014_3A.A.3</vt:lpstr>
      <vt:lpstr>endinet_2014_3A.A.4</vt:lpstr>
      <vt:lpstr>endinet_2014_3A.A.5</vt:lpstr>
      <vt:lpstr>endinet_2014_3A.A.6</vt:lpstr>
      <vt:lpstr>endinet_2014_3A.A.7</vt:lpstr>
      <vt:lpstr>endinet_2014_3A.A.8</vt:lpstr>
      <vt:lpstr>endinet_2014_7A.A.21</vt:lpstr>
      <vt:lpstr>endinet_2014_7A.A.22</vt:lpstr>
      <vt:lpstr>endinet_2014_7A.A.23</vt:lpstr>
      <vt:lpstr>endinet_2014_7A.A.24</vt:lpstr>
      <vt:lpstr>endinet_2014_7A.A.25</vt:lpstr>
      <vt:lpstr>endinet_2014_7A.A.26</vt:lpstr>
      <vt:lpstr>endinet_2014_7A.A.27</vt:lpstr>
      <vt:lpstr>endinet_2014_7A.A.28</vt:lpstr>
      <vt:lpstr>endinet_2014_7A.A.29</vt:lpstr>
      <vt:lpstr>endinet_2014_7A.A.30</vt:lpstr>
      <vt:lpstr>endinet_2014_7A.A.31</vt:lpstr>
      <vt:lpstr>endinet_2014_7A.A.41</vt:lpstr>
      <vt:lpstr>endinet_2014_7A.A.42</vt:lpstr>
      <vt:lpstr>endinet_2014_7A.A.43</vt:lpstr>
      <vt:lpstr>endinet_2014_7A.A.44</vt:lpstr>
      <vt:lpstr>endinet_2014_7A.A.45</vt:lpstr>
      <vt:lpstr>endinet_2014_7A.A.46</vt:lpstr>
      <vt:lpstr>endinet_2014_7A.A.47</vt:lpstr>
      <vt:lpstr>endinet_2014_7A.A.48</vt:lpstr>
      <vt:lpstr>endinet_2014_7A.A.49</vt:lpstr>
      <vt:lpstr>endinet_2014_7A.A.50</vt:lpstr>
      <vt:lpstr>endinet_2014_7A.A.51</vt:lpstr>
      <vt:lpstr>endinet_2014_7A.B.21</vt:lpstr>
      <vt:lpstr>endinet_2014_7A.B.22</vt:lpstr>
      <vt:lpstr>endinet_2014_7A.B.23</vt:lpstr>
      <vt:lpstr>endinet_2014_7A.B.24</vt:lpstr>
      <vt:lpstr>endinet_2014_7A.B.25</vt:lpstr>
      <vt:lpstr>endinet_2014_7A.B.26</vt:lpstr>
      <vt:lpstr>endinet_2014_7A.B.27</vt:lpstr>
      <vt:lpstr>endinet_2014_7A.B.28</vt:lpstr>
      <vt:lpstr>endinet_2014_7A.B.29</vt:lpstr>
      <vt:lpstr>endinet_2015_2B.E.tot</vt:lpstr>
      <vt:lpstr>endinet_2015_3A.A.1</vt:lpstr>
      <vt:lpstr>endinet_2015_3A.A.10</vt:lpstr>
      <vt:lpstr>endinet_2015_3A.A.11</vt:lpstr>
      <vt:lpstr>endinet_2015_3A.A.12</vt:lpstr>
      <vt:lpstr>endinet_2015_3A.A.13</vt:lpstr>
      <vt:lpstr>endinet_2015_3A.A.15</vt:lpstr>
      <vt:lpstr>endinet_2015_3A.A.2</vt:lpstr>
      <vt:lpstr>endinet_2015_3A.A.3</vt:lpstr>
      <vt:lpstr>endinet_2015_3A.A.4</vt:lpstr>
      <vt:lpstr>endinet_2015_3A.A.5</vt:lpstr>
      <vt:lpstr>endinet_2015_3A.A.6</vt:lpstr>
      <vt:lpstr>endinet_2015_3A.A.7</vt:lpstr>
      <vt:lpstr>endinet_2015_3A.A.8</vt:lpstr>
      <vt:lpstr>endinet_2015_7A.A.21</vt:lpstr>
      <vt:lpstr>endinet_2015_7A.A.22</vt:lpstr>
      <vt:lpstr>endinet_2015_7A.A.23</vt:lpstr>
      <vt:lpstr>endinet_2015_7A.A.24</vt:lpstr>
      <vt:lpstr>endinet_2015_7A.A.25</vt:lpstr>
      <vt:lpstr>endinet_2015_7A.A.26</vt:lpstr>
      <vt:lpstr>endinet_2015_7A.A.27</vt:lpstr>
      <vt:lpstr>endinet_2015_7A.A.28</vt:lpstr>
      <vt:lpstr>endinet_2015_7A.A.29</vt:lpstr>
      <vt:lpstr>endinet_2015_7A.A.30</vt:lpstr>
      <vt:lpstr>endinet_2015_7A.A.31</vt:lpstr>
      <vt:lpstr>endinet_2015_7A.A.41</vt:lpstr>
      <vt:lpstr>endinet_2015_7A.A.42</vt:lpstr>
      <vt:lpstr>endinet_2015_7A.A.43</vt:lpstr>
      <vt:lpstr>endinet_2015_7A.A.44</vt:lpstr>
      <vt:lpstr>endinet_2015_7A.A.45</vt:lpstr>
      <vt:lpstr>endinet_2015_7A.A.46</vt:lpstr>
      <vt:lpstr>endinet_2015_7A.A.47</vt:lpstr>
      <vt:lpstr>endinet_2015_7A.A.48</vt:lpstr>
      <vt:lpstr>endinet_2015_7A.A.49</vt:lpstr>
      <vt:lpstr>endinet_2015_7A.A.50</vt:lpstr>
      <vt:lpstr>endinet_2015_7A.A.51</vt:lpstr>
      <vt:lpstr>endinet_2015_7A.B.21</vt:lpstr>
      <vt:lpstr>endinet_2015_7A.B.22</vt:lpstr>
      <vt:lpstr>endinet_2015_7A.B.23</vt:lpstr>
      <vt:lpstr>endinet_2015_7A.B.24</vt:lpstr>
      <vt:lpstr>endinet_2015_7A.B.25</vt:lpstr>
      <vt:lpstr>endinet_2015_7A.B.26</vt:lpstr>
      <vt:lpstr>endinet_2015_7A.B.27</vt:lpstr>
      <vt:lpstr>endinet_2015_7A.B.28</vt:lpstr>
      <vt:lpstr>endinet_2015_7A.B.29</vt:lpstr>
      <vt:lpstr>enduris_2012_Total_Cost_Ex_1</vt:lpstr>
      <vt:lpstr>enduris_2012_Total_Cost_Ex_2</vt:lpstr>
      <vt:lpstr>enduris_2013_Total_Cost_Ex_1</vt:lpstr>
      <vt:lpstr>enduris_2013_Total_Cost_Ex_2</vt:lpstr>
      <vt:lpstr>enduris_2013_Total_Cost_Ex_3</vt:lpstr>
      <vt:lpstr>enduris_2013_Total_Cost_Ex_4</vt:lpstr>
      <vt:lpstr>enduris_2013_Total_Cost_Ex_5</vt:lpstr>
      <vt:lpstr>enduris_2013_Total_Cost_Ex_6</vt:lpstr>
      <vt:lpstr>enduris_2013_Total_Cost_Ex_7</vt:lpstr>
      <vt:lpstr>enduris_2013_Total_Cost_Ex_8</vt:lpstr>
      <vt:lpstr>enduris_2013_Total_Cost_Ex_9</vt:lpstr>
      <vt:lpstr>enduris_2014_2B.E.tot</vt:lpstr>
      <vt:lpstr>enduris_2014_3A.A.1</vt:lpstr>
      <vt:lpstr>enduris_2014_3A.A.10</vt:lpstr>
      <vt:lpstr>enduris_2014_3A.A.11</vt:lpstr>
      <vt:lpstr>enduris_2014_3A.A.12</vt:lpstr>
      <vt:lpstr>enduris_2014_3A.A.13</vt:lpstr>
      <vt:lpstr>enduris_2014_3A.A.15</vt:lpstr>
      <vt:lpstr>enduris_2014_3A.A.2</vt:lpstr>
      <vt:lpstr>enduris_2014_3A.A.3</vt:lpstr>
      <vt:lpstr>enduris_2014_3A.A.4</vt:lpstr>
      <vt:lpstr>enduris_2014_3A.A.5</vt:lpstr>
      <vt:lpstr>enduris_2014_3A.A.6</vt:lpstr>
      <vt:lpstr>enduris_2014_3A.A.7</vt:lpstr>
      <vt:lpstr>enduris_2014_3A.A.8</vt:lpstr>
      <vt:lpstr>enduris_2014_7A.A.21</vt:lpstr>
      <vt:lpstr>enduris_2014_7A.A.22</vt:lpstr>
      <vt:lpstr>enduris_2014_7A.A.23</vt:lpstr>
      <vt:lpstr>enduris_2014_7A.A.24</vt:lpstr>
      <vt:lpstr>enduris_2014_7A.A.25</vt:lpstr>
      <vt:lpstr>enduris_2014_7A.A.26</vt:lpstr>
      <vt:lpstr>enduris_2014_7A.A.27</vt:lpstr>
      <vt:lpstr>enduris_2014_7A.A.28</vt:lpstr>
      <vt:lpstr>enduris_2014_7A.A.29</vt:lpstr>
      <vt:lpstr>enduris_2014_7A.A.30</vt:lpstr>
      <vt:lpstr>enduris_2014_7A.A.31</vt:lpstr>
      <vt:lpstr>enduris_2014_7A.A.41</vt:lpstr>
      <vt:lpstr>enduris_2014_7A.A.42</vt:lpstr>
      <vt:lpstr>enduris_2014_7A.A.43</vt:lpstr>
      <vt:lpstr>enduris_2014_7A.A.44</vt:lpstr>
      <vt:lpstr>enduris_2014_7A.A.45</vt:lpstr>
      <vt:lpstr>enduris_2014_7A.A.46</vt:lpstr>
      <vt:lpstr>enduris_2014_7A.A.47</vt:lpstr>
      <vt:lpstr>enduris_2014_7A.A.48</vt:lpstr>
      <vt:lpstr>enduris_2014_7A.A.49</vt:lpstr>
      <vt:lpstr>enduris_2014_7A.A.50</vt:lpstr>
      <vt:lpstr>enduris_2014_7A.A.51</vt:lpstr>
      <vt:lpstr>enduris_2014_7A.B.21</vt:lpstr>
      <vt:lpstr>enduris_2014_7A.B.22</vt:lpstr>
      <vt:lpstr>enduris_2014_7A.B.23</vt:lpstr>
      <vt:lpstr>enduris_2014_7A.B.24</vt:lpstr>
      <vt:lpstr>enduris_2014_7A.B.25</vt:lpstr>
      <vt:lpstr>enduris_2014_7A.B.26</vt:lpstr>
      <vt:lpstr>enduris_2014_7A.B.27</vt:lpstr>
      <vt:lpstr>enduris_2014_7A.B.28</vt:lpstr>
      <vt:lpstr>enduris_2014_7A.B.29</vt:lpstr>
      <vt:lpstr>enduris_2014_Total_Cost_Ex_1</vt:lpstr>
      <vt:lpstr>enduris_2014_Total_Cost_Ex_10</vt:lpstr>
      <vt:lpstr>enduris_2014_Total_Cost_Ex_2</vt:lpstr>
      <vt:lpstr>enduris_2014_Total_Cost_Ex_3</vt:lpstr>
      <vt:lpstr>enduris_2014_Total_Cost_Ex_4</vt:lpstr>
      <vt:lpstr>enduris_2014_Total_Cost_Ex_5</vt:lpstr>
      <vt:lpstr>enduris_2014_Total_Cost_Ex_6</vt:lpstr>
      <vt:lpstr>enduris_2014_Total_Cost_Ex_7</vt:lpstr>
      <vt:lpstr>enduris_2014_Total_Cost_Ex_8</vt:lpstr>
      <vt:lpstr>enduris_2014_Total_Cost_Ex_9</vt:lpstr>
      <vt:lpstr>enduris_2015_2B.E.tot</vt:lpstr>
      <vt:lpstr>enduris_2015_3A.A.1</vt:lpstr>
      <vt:lpstr>enduris_2015_3A.A.10</vt:lpstr>
      <vt:lpstr>enduris_2015_3A.A.11</vt:lpstr>
      <vt:lpstr>enduris_2015_3A.A.12</vt:lpstr>
      <vt:lpstr>enduris_2015_3A.A.13</vt:lpstr>
      <vt:lpstr>enduris_2015_3A.A.15</vt:lpstr>
      <vt:lpstr>enduris_2015_3A.A.2</vt:lpstr>
      <vt:lpstr>enduris_2015_3A.A.3</vt:lpstr>
      <vt:lpstr>enduris_2015_3A.A.4</vt:lpstr>
      <vt:lpstr>enduris_2015_3A.A.5</vt:lpstr>
      <vt:lpstr>enduris_2015_3A.A.6</vt:lpstr>
      <vt:lpstr>enduris_2015_3A.A.7</vt:lpstr>
      <vt:lpstr>enduris_2015_3A.A.8</vt:lpstr>
      <vt:lpstr>enduris_2015_7A.A.21</vt:lpstr>
      <vt:lpstr>enduris_2015_7A.A.22</vt:lpstr>
      <vt:lpstr>enduris_2015_7A.A.23</vt:lpstr>
      <vt:lpstr>enduris_2015_7A.A.24</vt:lpstr>
      <vt:lpstr>enduris_2015_7A.A.25</vt:lpstr>
      <vt:lpstr>enduris_2015_7A.A.26</vt:lpstr>
      <vt:lpstr>enduris_2015_7A.A.27</vt:lpstr>
      <vt:lpstr>enduris_2015_7A.A.28</vt:lpstr>
      <vt:lpstr>enduris_2015_7A.A.29</vt:lpstr>
      <vt:lpstr>enduris_2015_7A.A.30</vt:lpstr>
      <vt:lpstr>enduris_2015_7A.A.31</vt:lpstr>
      <vt:lpstr>enduris_2015_7A.A.41</vt:lpstr>
      <vt:lpstr>enduris_2015_7A.A.42</vt:lpstr>
      <vt:lpstr>enduris_2015_7A.A.43</vt:lpstr>
      <vt:lpstr>enduris_2015_7A.A.44</vt:lpstr>
      <vt:lpstr>enduris_2015_7A.A.45</vt:lpstr>
      <vt:lpstr>enduris_2015_7A.A.46</vt:lpstr>
      <vt:lpstr>enduris_2015_7A.A.47</vt:lpstr>
      <vt:lpstr>enduris_2015_7A.A.48</vt:lpstr>
      <vt:lpstr>enduris_2015_7A.A.49</vt:lpstr>
      <vt:lpstr>enduris_2015_7A.A.50</vt:lpstr>
      <vt:lpstr>enduris_2015_7A.A.51</vt:lpstr>
      <vt:lpstr>enduris_2015_7A.B.21</vt:lpstr>
      <vt:lpstr>enduris_2015_7A.B.22</vt:lpstr>
      <vt:lpstr>enduris_2015_7A.B.23</vt:lpstr>
      <vt:lpstr>enduris_2015_7A.B.24</vt:lpstr>
      <vt:lpstr>enduris_2015_7A.B.25</vt:lpstr>
      <vt:lpstr>enduris_2015_7A.B.26</vt:lpstr>
      <vt:lpstr>enduris_2015_7A.B.27</vt:lpstr>
      <vt:lpstr>enduris_2015_7A.B.28</vt:lpstr>
      <vt:lpstr>enduris_2015_7A.B.29</vt:lpstr>
      <vt:lpstr>enduris_2015_Total_Cost_Ex_1</vt:lpstr>
      <vt:lpstr>enduris_2015_Total_Cost_Ex_2</vt:lpstr>
      <vt:lpstr>enduris_2015_Total_Cost_Ex_3</vt:lpstr>
      <vt:lpstr>enduris_2015_Total_Cost_Ex_4</vt:lpstr>
      <vt:lpstr>enduris_2015_Total_Cost_Ex_5</vt:lpstr>
      <vt:lpstr>enduris_2015_Total_Cost_Ex_6</vt:lpstr>
      <vt:lpstr>enduris_2015_Total_Cost_Ex_7</vt:lpstr>
      <vt:lpstr>enduris_2015_Total_Cost_Ex_8</vt:lpstr>
      <vt:lpstr>enexis_2012_Total_Cost_Ex_1</vt:lpstr>
      <vt:lpstr>enexis_2012_Total_Cost_Ex_2</vt:lpstr>
      <vt:lpstr>enexis_2013_Total_Cost_Ex_1</vt:lpstr>
      <vt:lpstr>enexis_2013_Total_Cost_Ex_2</vt:lpstr>
      <vt:lpstr>enexis_2013_Total_Cost_Ex_3</vt:lpstr>
      <vt:lpstr>enexis_2013_Total_Cost_Ex_4</vt:lpstr>
      <vt:lpstr>enexis_2013_Total_Cost_Ex_5</vt:lpstr>
      <vt:lpstr>enexis_2013_Total_Cost_Ex_6</vt:lpstr>
      <vt:lpstr>enexis_2013_Total_Cost_Ex_7</vt:lpstr>
      <vt:lpstr>enexis_2013_Total_Cost_Ex_8</vt:lpstr>
      <vt:lpstr>enexis_2013_Total_Cost_Ex_9</vt:lpstr>
      <vt:lpstr>enexis_2014_2B.E.tot</vt:lpstr>
      <vt:lpstr>enexis_2014_3A.A.1</vt:lpstr>
      <vt:lpstr>enexis_2014_3A.A.10</vt:lpstr>
      <vt:lpstr>enexis_2014_3A.A.11</vt:lpstr>
      <vt:lpstr>enexis_2014_3A.A.12</vt:lpstr>
      <vt:lpstr>enexis_2014_3A.A.13</vt:lpstr>
      <vt:lpstr>enexis_2014_3A.A.15</vt:lpstr>
      <vt:lpstr>enexis_2014_3A.A.2</vt:lpstr>
      <vt:lpstr>enexis_2014_3A.A.3</vt:lpstr>
      <vt:lpstr>enexis_2014_3A.A.4</vt:lpstr>
      <vt:lpstr>enexis_2014_3A.A.5</vt:lpstr>
      <vt:lpstr>enexis_2014_3A.A.6</vt:lpstr>
      <vt:lpstr>enexis_2014_3A.A.7</vt:lpstr>
      <vt:lpstr>enexis_2014_3A.A.8</vt:lpstr>
      <vt:lpstr>enexis_2014_7A.A.21</vt:lpstr>
      <vt:lpstr>enexis_2014_7A.A.22</vt:lpstr>
      <vt:lpstr>enexis_2014_7A.A.23</vt:lpstr>
      <vt:lpstr>enexis_2014_7A.A.24</vt:lpstr>
      <vt:lpstr>enexis_2014_7A.A.25</vt:lpstr>
      <vt:lpstr>enexis_2014_7A.A.26</vt:lpstr>
      <vt:lpstr>enexis_2014_7A.A.27</vt:lpstr>
      <vt:lpstr>enexis_2014_7A.A.28</vt:lpstr>
      <vt:lpstr>enexis_2014_7A.A.29</vt:lpstr>
      <vt:lpstr>enexis_2014_7A.A.30</vt:lpstr>
      <vt:lpstr>enexis_2014_7A.A.31</vt:lpstr>
      <vt:lpstr>enexis_2014_7A.A.41</vt:lpstr>
      <vt:lpstr>enexis_2014_7A.A.42</vt:lpstr>
      <vt:lpstr>enexis_2014_7A.A.43</vt:lpstr>
      <vt:lpstr>enexis_2014_7A.A.44</vt:lpstr>
      <vt:lpstr>enexis_2014_7A.A.45</vt:lpstr>
      <vt:lpstr>enexis_2014_7A.A.46</vt:lpstr>
      <vt:lpstr>enexis_2014_7A.A.47</vt:lpstr>
      <vt:lpstr>enexis_2014_7A.A.48</vt:lpstr>
      <vt:lpstr>enexis_2014_7A.A.49</vt:lpstr>
      <vt:lpstr>enexis_2014_7A.A.50</vt:lpstr>
      <vt:lpstr>enexis_2014_7A.A.51</vt:lpstr>
      <vt:lpstr>enexis_2014_7A.B.21</vt:lpstr>
      <vt:lpstr>enexis_2014_7A.B.22</vt:lpstr>
      <vt:lpstr>enexis_2014_7A.B.23</vt:lpstr>
      <vt:lpstr>enexis_2014_7A.B.24</vt:lpstr>
      <vt:lpstr>enexis_2014_7A.B.25</vt:lpstr>
      <vt:lpstr>enexis_2014_7A.B.26</vt:lpstr>
      <vt:lpstr>enexis_2014_7A.B.27</vt:lpstr>
      <vt:lpstr>enexis_2014_7A.B.28</vt:lpstr>
      <vt:lpstr>enexis_2014_7A.B.29</vt:lpstr>
      <vt:lpstr>enexis_2014_Total_Cost_Ex_1</vt:lpstr>
      <vt:lpstr>enexis_2014_Total_Cost_Ex_10</vt:lpstr>
      <vt:lpstr>enexis_2014_Total_Cost_Ex_2</vt:lpstr>
      <vt:lpstr>enexis_2014_Total_Cost_Ex_3</vt:lpstr>
      <vt:lpstr>enexis_2014_Total_Cost_Ex_4</vt:lpstr>
      <vt:lpstr>enexis_2014_Total_Cost_Ex_5</vt:lpstr>
      <vt:lpstr>enexis_2014_Total_Cost_Ex_6</vt:lpstr>
      <vt:lpstr>enexis_2014_Total_Cost_Ex_7</vt:lpstr>
      <vt:lpstr>enexis_2014_Total_Cost_Ex_8</vt:lpstr>
      <vt:lpstr>enexis_2014_Total_Cost_Ex_9</vt:lpstr>
      <vt:lpstr>enexis_2015_2B.E.tot</vt:lpstr>
      <vt:lpstr>enexis_2015_3A.A.1</vt:lpstr>
      <vt:lpstr>enexis_2015_3A.A.10</vt:lpstr>
      <vt:lpstr>enexis_2015_3A.A.11</vt:lpstr>
      <vt:lpstr>enexis_2015_3A.A.12</vt:lpstr>
      <vt:lpstr>enexis_2015_3A.A.13</vt:lpstr>
      <vt:lpstr>enexis_2015_3A.A.15</vt:lpstr>
      <vt:lpstr>enexis_2015_3A.A.2</vt:lpstr>
      <vt:lpstr>enexis_2015_3A.A.3</vt:lpstr>
      <vt:lpstr>enexis_2015_3A.A.4</vt:lpstr>
      <vt:lpstr>enexis_2015_3A.A.5</vt:lpstr>
      <vt:lpstr>enexis_2015_3A.A.6</vt:lpstr>
      <vt:lpstr>enexis_2015_3A.A.7</vt:lpstr>
      <vt:lpstr>enexis_2015_3A.A.8</vt:lpstr>
      <vt:lpstr>enexis_2015_7A.A.21</vt:lpstr>
      <vt:lpstr>enexis_2015_7A.A.22</vt:lpstr>
      <vt:lpstr>enexis_2015_7A.A.23</vt:lpstr>
      <vt:lpstr>enexis_2015_7A.A.24</vt:lpstr>
      <vt:lpstr>enexis_2015_7A.A.25</vt:lpstr>
      <vt:lpstr>enexis_2015_7A.A.26</vt:lpstr>
      <vt:lpstr>enexis_2015_7A.A.27</vt:lpstr>
      <vt:lpstr>enexis_2015_7A.A.28</vt:lpstr>
      <vt:lpstr>enexis_2015_7A.A.29</vt:lpstr>
      <vt:lpstr>enexis_2015_7A.A.30</vt:lpstr>
      <vt:lpstr>enexis_2015_7A.A.31</vt:lpstr>
      <vt:lpstr>enexis_2015_7A.A.41</vt:lpstr>
      <vt:lpstr>enexis_2015_7A.A.42</vt:lpstr>
      <vt:lpstr>enexis_2015_7A.A.43</vt:lpstr>
      <vt:lpstr>enexis_2015_7A.A.44</vt:lpstr>
      <vt:lpstr>enexis_2015_7A.A.45</vt:lpstr>
      <vt:lpstr>enexis_2015_7A.A.46</vt:lpstr>
      <vt:lpstr>enexis_2015_7A.A.47</vt:lpstr>
      <vt:lpstr>enexis_2015_7A.A.48</vt:lpstr>
      <vt:lpstr>enexis_2015_7A.A.49</vt:lpstr>
      <vt:lpstr>enexis_2015_7A.A.50</vt:lpstr>
      <vt:lpstr>enexis_2015_7A.A.51</vt:lpstr>
      <vt:lpstr>enexis_2015_7A.B.21</vt:lpstr>
      <vt:lpstr>enexis_2015_7A.B.22</vt:lpstr>
      <vt:lpstr>enexis_2015_7A.B.23</vt:lpstr>
      <vt:lpstr>enexis_2015_7A.B.24</vt:lpstr>
      <vt:lpstr>enexis_2015_7A.B.25</vt:lpstr>
      <vt:lpstr>enexis_2015_7A.B.26</vt:lpstr>
      <vt:lpstr>enexis_2015_7A.B.27</vt:lpstr>
      <vt:lpstr>enexis_2015_7A.B.28</vt:lpstr>
      <vt:lpstr>enexis_2015_7A.B.29</vt:lpstr>
      <vt:lpstr>enexis_2015_Total_Cost_Ex_1</vt:lpstr>
      <vt:lpstr>enexis_2015_Total_Cost_Ex_2</vt:lpstr>
      <vt:lpstr>enexis_2015_Total_Cost_Ex_3</vt:lpstr>
      <vt:lpstr>enexis_2015_Total_Cost_Ex_4</vt:lpstr>
      <vt:lpstr>enexis_2015_Total_Cost_Ex_5</vt:lpstr>
      <vt:lpstr>enexis_2015_Total_Cost_Ex_6</vt:lpstr>
      <vt:lpstr>enexis_2015_Total_Cost_Ex_7</vt:lpstr>
      <vt:lpstr>enexis_2015_Total_Cost_Ex_8</vt:lpstr>
      <vt:lpstr>liander_2012_Total_Cost_Ex_1</vt:lpstr>
      <vt:lpstr>liander_2012_Total_Cost_Ex_2</vt:lpstr>
      <vt:lpstr>liander_2013_Total_Cost_Ex_1</vt:lpstr>
      <vt:lpstr>liander_2013_Total_Cost_Ex_2</vt:lpstr>
      <vt:lpstr>liander_2013_Total_Cost_Ex_3</vt:lpstr>
      <vt:lpstr>liander_2013_Total_Cost_Ex_4</vt:lpstr>
      <vt:lpstr>liander_2013_Total_Cost_Ex_5</vt:lpstr>
      <vt:lpstr>liander_2013_Total_Cost_Ex_6</vt:lpstr>
      <vt:lpstr>liander_2013_Total_Cost_Ex_7</vt:lpstr>
      <vt:lpstr>liander_2013_Total_Cost_Ex_8</vt:lpstr>
      <vt:lpstr>liander_2013_Total_Cost_Ex_9</vt:lpstr>
      <vt:lpstr>liander_2014_2B.E.tot</vt:lpstr>
      <vt:lpstr>liander_2014_3A.A.1</vt:lpstr>
      <vt:lpstr>liander_2014_3A.A.10</vt:lpstr>
      <vt:lpstr>liander_2014_3A.A.11</vt:lpstr>
      <vt:lpstr>liander_2014_3A.A.12</vt:lpstr>
      <vt:lpstr>liander_2014_3A.A.13</vt:lpstr>
      <vt:lpstr>liander_2014_3A.A.15</vt:lpstr>
      <vt:lpstr>liander_2014_3A.A.2</vt:lpstr>
      <vt:lpstr>liander_2014_3A.A.3</vt:lpstr>
      <vt:lpstr>liander_2014_3A.A.4</vt:lpstr>
      <vt:lpstr>liander_2014_3A.A.5</vt:lpstr>
      <vt:lpstr>liander_2014_3A.A.6</vt:lpstr>
      <vt:lpstr>liander_2014_3A.A.7</vt:lpstr>
      <vt:lpstr>liander_2014_3A.A.8</vt:lpstr>
      <vt:lpstr>liander_2014_7A.A.21</vt:lpstr>
      <vt:lpstr>liander_2014_7A.A.22</vt:lpstr>
      <vt:lpstr>liander_2014_7A.A.23</vt:lpstr>
      <vt:lpstr>liander_2014_7A.A.24</vt:lpstr>
      <vt:lpstr>liander_2014_7A.A.25</vt:lpstr>
      <vt:lpstr>liander_2014_7A.A.26</vt:lpstr>
      <vt:lpstr>liander_2014_7A.A.27</vt:lpstr>
      <vt:lpstr>liander_2014_7A.A.28</vt:lpstr>
      <vt:lpstr>liander_2014_7A.A.29</vt:lpstr>
      <vt:lpstr>liander_2014_7A.A.30</vt:lpstr>
      <vt:lpstr>liander_2014_7A.A.31</vt:lpstr>
      <vt:lpstr>liander_2014_7A.A.41</vt:lpstr>
      <vt:lpstr>liander_2014_7A.A.42</vt:lpstr>
      <vt:lpstr>liander_2014_7A.A.43</vt:lpstr>
      <vt:lpstr>liander_2014_7A.A.44</vt:lpstr>
      <vt:lpstr>liander_2014_7A.A.45</vt:lpstr>
      <vt:lpstr>liander_2014_7A.A.46</vt:lpstr>
      <vt:lpstr>liander_2014_7A.A.47</vt:lpstr>
      <vt:lpstr>liander_2014_7A.A.48</vt:lpstr>
      <vt:lpstr>liander_2014_7A.A.49</vt:lpstr>
      <vt:lpstr>liander_2014_7A.A.50</vt:lpstr>
      <vt:lpstr>liander_2014_7A.A.51</vt:lpstr>
      <vt:lpstr>liander_2014_7A.B.21</vt:lpstr>
      <vt:lpstr>liander_2014_7A.B.22</vt:lpstr>
      <vt:lpstr>liander_2014_7A.B.23</vt:lpstr>
      <vt:lpstr>liander_2014_7A.B.24</vt:lpstr>
      <vt:lpstr>liander_2014_7A.B.25</vt:lpstr>
      <vt:lpstr>liander_2014_7A.B.26</vt:lpstr>
      <vt:lpstr>liander_2014_7A.B.27</vt:lpstr>
      <vt:lpstr>liander_2014_7A.B.28</vt:lpstr>
      <vt:lpstr>liander_2014_7A.B.29</vt:lpstr>
      <vt:lpstr>liander_2014_Total_Cost_Ex_1</vt:lpstr>
      <vt:lpstr>liander_2014_Total_Cost_Ex_10</vt:lpstr>
      <vt:lpstr>liander_2014_Total_Cost_Ex_2</vt:lpstr>
      <vt:lpstr>liander_2014_Total_Cost_Ex_3</vt:lpstr>
      <vt:lpstr>liander_2014_Total_Cost_Ex_4</vt:lpstr>
      <vt:lpstr>liander_2014_Total_Cost_Ex_5</vt:lpstr>
      <vt:lpstr>liander_2014_Total_Cost_Ex_6</vt:lpstr>
      <vt:lpstr>liander_2014_Total_Cost_Ex_7</vt:lpstr>
      <vt:lpstr>liander_2014_Total_Cost_Ex_8</vt:lpstr>
      <vt:lpstr>liander_2014_Total_Cost_Ex_9</vt:lpstr>
      <vt:lpstr>liander_2015_2B.E.tot</vt:lpstr>
      <vt:lpstr>liander_2015_3A.A.1</vt:lpstr>
      <vt:lpstr>liander_2015_3A.A.10</vt:lpstr>
      <vt:lpstr>liander_2015_3A.A.11</vt:lpstr>
      <vt:lpstr>liander_2015_3A.A.12</vt:lpstr>
      <vt:lpstr>liander_2015_3A.A.13</vt:lpstr>
      <vt:lpstr>liander_2015_3A.A.15</vt:lpstr>
      <vt:lpstr>liander_2015_3A.A.2</vt:lpstr>
      <vt:lpstr>liander_2015_3A.A.3</vt:lpstr>
      <vt:lpstr>liander_2015_3A.A.4</vt:lpstr>
      <vt:lpstr>liander_2015_3A.A.5</vt:lpstr>
      <vt:lpstr>liander_2015_3A.A.6</vt:lpstr>
      <vt:lpstr>liander_2015_3A.A.7</vt:lpstr>
      <vt:lpstr>liander_2015_3A.A.8</vt:lpstr>
      <vt:lpstr>liander_2015_7A.A.21</vt:lpstr>
      <vt:lpstr>liander_2015_7A.A.22</vt:lpstr>
      <vt:lpstr>liander_2015_7A.A.23</vt:lpstr>
      <vt:lpstr>liander_2015_7A.A.24</vt:lpstr>
      <vt:lpstr>liander_2015_7A.A.25</vt:lpstr>
      <vt:lpstr>liander_2015_7A.A.26</vt:lpstr>
      <vt:lpstr>liander_2015_7A.A.27</vt:lpstr>
      <vt:lpstr>liander_2015_7A.A.28</vt:lpstr>
      <vt:lpstr>liander_2015_7A.A.29</vt:lpstr>
      <vt:lpstr>liander_2015_7A.A.30</vt:lpstr>
      <vt:lpstr>liander_2015_7A.A.31</vt:lpstr>
      <vt:lpstr>liander_2015_7A.A.41</vt:lpstr>
      <vt:lpstr>liander_2015_7A.A.42</vt:lpstr>
      <vt:lpstr>liander_2015_7A.A.43</vt:lpstr>
      <vt:lpstr>liander_2015_7A.A.44</vt:lpstr>
      <vt:lpstr>liander_2015_7A.A.45</vt:lpstr>
      <vt:lpstr>liander_2015_7A.A.46</vt:lpstr>
      <vt:lpstr>liander_2015_7A.A.47</vt:lpstr>
      <vt:lpstr>liander_2015_7A.A.48</vt:lpstr>
      <vt:lpstr>liander_2015_7A.A.49</vt:lpstr>
      <vt:lpstr>liander_2015_7A.A.50</vt:lpstr>
      <vt:lpstr>liander_2015_7A.A.51</vt:lpstr>
      <vt:lpstr>liander_2015_7A.B.21</vt:lpstr>
      <vt:lpstr>liander_2015_7A.B.22</vt:lpstr>
      <vt:lpstr>liander_2015_7A.B.23</vt:lpstr>
      <vt:lpstr>liander_2015_7A.B.24</vt:lpstr>
      <vt:lpstr>liander_2015_7A.B.25</vt:lpstr>
      <vt:lpstr>liander_2015_7A.B.26</vt:lpstr>
      <vt:lpstr>liander_2015_7A.B.27</vt:lpstr>
      <vt:lpstr>liander_2015_7A.B.28</vt:lpstr>
      <vt:lpstr>liander_2015_7A.B.29</vt:lpstr>
      <vt:lpstr>liander_2015_Total_Cost_Ex_1</vt:lpstr>
      <vt:lpstr>liander_2015_Total_Cost_Ex_2</vt:lpstr>
      <vt:lpstr>liander_2015_Total_Cost_Ex_3</vt:lpstr>
      <vt:lpstr>liander_2015_Total_Cost_Ex_4</vt:lpstr>
      <vt:lpstr>liander_2015_Total_Cost_Ex_5</vt:lpstr>
      <vt:lpstr>liander_2015_Total_Cost_Ex_6</vt:lpstr>
      <vt:lpstr>liander_2015_Total_Cost_Ex_7</vt:lpstr>
      <vt:lpstr>liander_2015_Total_Cost_Ex_8</vt:lpstr>
      <vt:lpstr>rendo_2012_Total_Cost_Ex_1</vt:lpstr>
      <vt:lpstr>rendo_2012_Total_Cost_Ex_2</vt:lpstr>
      <vt:lpstr>rendo_2013_Total_Cost_Ex_1</vt:lpstr>
      <vt:lpstr>rendo_2013_Total_Cost_Ex_2</vt:lpstr>
      <vt:lpstr>rendo_2013_Total_Cost_Ex_3</vt:lpstr>
      <vt:lpstr>rendo_2013_Total_Cost_Ex_4</vt:lpstr>
      <vt:lpstr>rendo_2013_Total_Cost_Ex_5</vt:lpstr>
      <vt:lpstr>rendo_2013_Total_Cost_Ex_6</vt:lpstr>
      <vt:lpstr>rendo_2013_Total_Cost_Ex_7</vt:lpstr>
      <vt:lpstr>rendo_2013_Total_Cost_Ex_8</vt:lpstr>
      <vt:lpstr>rendo_2013_Total_Cost_Ex_9</vt:lpstr>
      <vt:lpstr>rendo_2014_2B.E.tot</vt:lpstr>
      <vt:lpstr>rendo_2014_3A.A.1</vt:lpstr>
      <vt:lpstr>rendo_2014_3A.A.10</vt:lpstr>
      <vt:lpstr>rendo_2014_3A.A.11</vt:lpstr>
      <vt:lpstr>rendo_2014_3A.A.12</vt:lpstr>
      <vt:lpstr>rendo_2014_3A.A.13</vt:lpstr>
      <vt:lpstr>rendo_2014_3A.A.15</vt:lpstr>
      <vt:lpstr>rendo_2014_3A.A.2</vt:lpstr>
      <vt:lpstr>rendo_2014_3A.A.3</vt:lpstr>
      <vt:lpstr>rendo_2014_3A.A.4</vt:lpstr>
      <vt:lpstr>rendo_2014_3A.A.5</vt:lpstr>
      <vt:lpstr>rendo_2014_3A.A.6</vt:lpstr>
      <vt:lpstr>rendo_2014_3A.A.7</vt:lpstr>
      <vt:lpstr>rendo_2014_3A.A.8</vt:lpstr>
      <vt:lpstr>rendo_2014_7A.A.21</vt:lpstr>
      <vt:lpstr>rendo_2014_7A.A.22</vt:lpstr>
      <vt:lpstr>rendo_2014_7A.A.23</vt:lpstr>
      <vt:lpstr>rendo_2014_7A.A.24</vt:lpstr>
      <vt:lpstr>rendo_2014_7A.A.25</vt:lpstr>
      <vt:lpstr>rendo_2014_7A.A.26</vt:lpstr>
      <vt:lpstr>rendo_2014_7A.A.27</vt:lpstr>
      <vt:lpstr>rendo_2014_7A.A.28</vt:lpstr>
      <vt:lpstr>rendo_2014_7A.A.29</vt:lpstr>
      <vt:lpstr>rendo_2014_7A.A.30</vt:lpstr>
      <vt:lpstr>rendo_2014_7A.A.31</vt:lpstr>
      <vt:lpstr>rendo_2014_7A.A.41</vt:lpstr>
      <vt:lpstr>rendo_2014_7A.A.42</vt:lpstr>
      <vt:lpstr>rendo_2014_7A.A.43</vt:lpstr>
      <vt:lpstr>rendo_2014_7A.A.44</vt:lpstr>
      <vt:lpstr>rendo_2014_7A.A.45</vt:lpstr>
      <vt:lpstr>rendo_2014_7A.A.46</vt:lpstr>
      <vt:lpstr>rendo_2014_7A.A.47</vt:lpstr>
      <vt:lpstr>rendo_2014_7A.A.48</vt:lpstr>
      <vt:lpstr>rendo_2014_7A.A.49</vt:lpstr>
      <vt:lpstr>rendo_2014_7A.A.50</vt:lpstr>
      <vt:lpstr>rendo_2014_7A.A.51</vt:lpstr>
      <vt:lpstr>rendo_2014_7A.B.21</vt:lpstr>
      <vt:lpstr>rendo_2014_7A.B.22</vt:lpstr>
      <vt:lpstr>rendo_2014_7A.B.23</vt:lpstr>
      <vt:lpstr>rendo_2014_7A.B.24</vt:lpstr>
      <vt:lpstr>rendo_2014_7A.B.25</vt:lpstr>
      <vt:lpstr>rendo_2014_7A.B.26</vt:lpstr>
      <vt:lpstr>rendo_2014_7A.B.27</vt:lpstr>
      <vt:lpstr>rendo_2014_7A.B.28</vt:lpstr>
      <vt:lpstr>rendo_2014_7A.B.29</vt:lpstr>
      <vt:lpstr>rendo_2014_Total_Cost_Ex_1</vt:lpstr>
      <vt:lpstr>rendo_2014_Total_Cost_Ex_10</vt:lpstr>
      <vt:lpstr>rendo_2014_Total_Cost_Ex_2</vt:lpstr>
      <vt:lpstr>rendo_2014_Total_Cost_Ex_3</vt:lpstr>
      <vt:lpstr>rendo_2014_Total_Cost_Ex_4</vt:lpstr>
      <vt:lpstr>rendo_2014_Total_Cost_Ex_5</vt:lpstr>
      <vt:lpstr>rendo_2014_Total_Cost_Ex_6</vt:lpstr>
      <vt:lpstr>rendo_2014_Total_Cost_Ex_7</vt:lpstr>
      <vt:lpstr>rendo_2014_Total_Cost_Ex_8</vt:lpstr>
      <vt:lpstr>rendo_2014_Total_Cost_Ex_9</vt:lpstr>
      <vt:lpstr>rendo_2015_2B.E.tot</vt:lpstr>
      <vt:lpstr>rendo_2015_3A.A.1</vt:lpstr>
      <vt:lpstr>rendo_2015_3A.A.10</vt:lpstr>
      <vt:lpstr>rendo_2015_3A.A.11</vt:lpstr>
      <vt:lpstr>rendo_2015_3A.A.12</vt:lpstr>
      <vt:lpstr>rendo_2015_3A.A.13</vt:lpstr>
      <vt:lpstr>rendo_2015_3A.A.15</vt:lpstr>
      <vt:lpstr>rendo_2015_3A.A.2</vt:lpstr>
      <vt:lpstr>rendo_2015_3A.A.3</vt:lpstr>
      <vt:lpstr>rendo_2015_3A.A.4</vt:lpstr>
      <vt:lpstr>rendo_2015_3A.A.5</vt:lpstr>
      <vt:lpstr>rendo_2015_3A.A.6</vt:lpstr>
      <vt:lpstr>rendo_2015_3A.A.7</vt:lpstr>
      <vt:lpstr>rendo_2015_3A.A.8</vt:lpstr>
      <vt:lpstr>rendo_2015_7A.A.21</vt:lpstr>
      <vt:lpstr>rendo_2015_7A.A.22</vt:lpstr>
      <vt:lpstr>rendo_2015_7A.A.23</vt:lpstr>
      <vt:lpstr>rendo_2015_7A.A.24</vt:lpstr>
      <vt:lpstr>rendo_2015_7A.A.25</vt:lpstr>
      <vt:lpstr>rendo_2015_7A.A.26</vt:lpstr>
      <vt:lpstr>rendo_2015_7A.A.27</vt:lpstr>
      <vt:lpstr>rendo_2015_7A.A.28</vt:lpstr>
      <vt:lpstr>rendo_2015_7A.A.29</vt:lpstr>
      <vt:lpstr>rendo_2015_7A.A.30</vt:lpstr>
      <vt:lpstr>rendo_2015_7A.A.31</vt:lpstr>
      <vt:lpstr>rendo_2015_7A.A.41</vt:lpstr>
      <vt:lpstr>rendo_2015_7A.A.42</vt:lpstr>
      <vt:lpstr>rendo_2015_7A.A.43</vt:lpstr>
      <vt:lpstr>rendo_2015_7A.A.44</vt:lpstr>
      <vt:lpstr>rendo_2015_7A.A.45</vt:lpstr>
      <vt:lpstr>rendo_2015_7A.A.46</vt:lpstr>
      <vt:lpstr>rendo_2015_7A.A.47</vt:lpstr>
      <vt:lpstr>rendo_2015_7A.A.48</vt:lpstr>
      <vt:lpstr>rendo_2015_7A.A.49</vt:lpstr>
      <vt:lpstr>rendo_2015_7A.A.50</vt:lpstr>
      <vt:lpstr>rendo_2015_7A.A.51</vt:lpstr>
      <vt:lpstr>rendo_2015_7A.B.21</vt:lpstr>
      <vt:lpstr>rendo_2015_7A.B.22</vt:lpstr>
      <vt:lpstr>rendo_2015_7A.B.23</vt:lpstr>
      <vt:lpstr>rendo_2015_7A.B.24</vt:lpstr>
      <vt:lpstr>rendo_2015_7A.B.25</vt:lpstr>
      <vt:lpstr>rendo_2015_7A.B.26</vt:lpstr>
      <vt:lpstr>rendo_2015_7A.B.27</vt:lpstr>
      <vt:lpstr>rendo_2015_7A.B.28</vt:lpstr>
      <vt:lpstr>rendo_2015_7A.B.29</vt:lpstr>
      <vt:lpstr>rendo_2015_Total_Cost_Ex_1</vt:lpstr>
      <vt:lpstr>rendo_2015_Total_Cost_Ex_2</vt:lpstr>
      <vt:lpstr>rendo_2015_Total_Cost_Ex_3</vt:lpstr>
      <vt:lpstr>rendo_2015_Total_Cost_Ex_4</vt:lpstr>
      <vt:lpstr>rendo_2015_Total_Cost_Ex_5</vt:lpstr>
      <vt:lpstr>rendo_2015_Total_Cost_Ex_6</vt:lpstr>
      <vt:lpstr>rendo_2015_Total_Cost_Ex_7</vt:lpstr>
      <vt:lpstr>rendo_2015_Total_Cost_Ex_8</vt:lpstr>
      <vt:lpstr>Savings_2012_Total_Cost_Ex</vt:lpstr>
      <vt:lpstr>Savings_2013_Total_Cost_Ex</vt:lpstr>
      <vt:lpstr>Savings_2014_Total_Cost_Ex</vt:lpstr>
      <vt:lpstr>Savings_2015_Total_Cost_Ex</vt:lpstr>
      <vt:lpstr>stedin_2012_Total_Cost_Ex_1</vt:lpstr>
      <vt:lpstr>stedin_2012_Total_Cost_Ex_2</vt:lpstr>
      <vt:lpstr>stedin_2013_Total_Cost_Ex_1</vt:lpstr>
      <vt:lpstr>stedin_2013_Total_Cost_Ex_2</vt:lpstr>
      <vt:lpstr>stedin_2013_Total_Cost_Ex_3</vt:lpstr>
      <vt:lpstr>stedin_2013_Total_Cost_Ex_4</vt:lpstr>
      <vt:lpstr>stedin_2013_Total_Cost_Ex_5</vt:lpstr>
      <vt:lpstr>stedin_2013_Total_Cost_Ex_6</vt:lpstr>
      <vt:lpstr>stedin_2013_Total_Cost_Ex_7</vt:lpstr>
      <vt:lpstr>stedin_2013_Total_Cost_Ex_8</vt:lpstr>
      <vt:lpstr>stedin_2013_Total_Cost_Ex_9</vt:lpstr>
      <vt:lpstr>stedin_2014_2B.E.tot</vt:lpstr>
      <vt:lpstr>stedin_2014_3A.A.1</vt:lpstr>
      <vt:lpstr>stedin_2014_3A.A.10</vt:lpstr>
      <vt:lpstr>stedin_2014_3A.A.11</vt:lpstr>
      <vt:lpstr>stedin_2014_3A.A.12</vt:lpstr>
      <vt:lpstr>stedin_2014_3A.A.13</vt:lpstr>
      <vt:lpstr>stedin_2014_3A.A.15</vt:lpstr>
      <vt:lpstr>stedin_2014_3A.A.2</vt:lpstr>
      <vt:lpstr>stedin_2014_3A.A.3</vt:lpstr>
      <vt:lpstr>stedin_2014_3A.A.4</vt:lpstr>
      <vt:lpstr>stedin_2014_3A.A.5</vt:lpstr>
      <vt:lpstr>stedin_2014_3A.A.6</vt:lpstr>
      <vt:lpstr>stedin_2014_3A.A.7</vt:lpstr>
      <vt:lpstr>stedin_2014_3A.A.8</vt:lpstr>
      <vt:lpstr>stedin_2014_7A.A.21</vt:lpstr>
      <vt:lpstr>stedin_2014_7A.A.22</vt:lpstr>
      <vt:lpstr>stedin_2014_7A.A.23</vt:lpstr>
      <vt:lpstr>stedin_2014_7A.A.24</vt:lpstr>
      <vt:lpstr>stedin_2014_7A.A.25</vt:lpstr>
      <vt:lpstr>stedin_2014_7A.A.26</vt:lpstr>
      <vt:lpstr>stedin_2014_7A.A.27</vt:lpstr>
      <vt:lpstr>stedin_2014_7A.A.28</vt:lpstr>
      <vt:lpstr>stedin_2014_7A.A.29</vt:lpstr>
      <vt:lpstr>stedin_2014_7A.A.30</vt:lpstr>
      <vt:lpstr>stedin_2014_7A.A.31</vt:lpstr>
      <vt:lpstr>stedin_2014_7A.A.41</vt:lpstr>
      <vt:lpstr>stedin_2014_7A.A.42</vt:lpstr>
      <vt:lpstr>stedin_2014_7A.A.43</vt:lpstr>
      <vt:lpstr>stedin_2014_7A.A.44</vt:lpstr>
      <vt:lpstr>stedin_2014_7A.A.45</vt:lpstr>
      <vt:lpstr>stedin_2014_7A.A.46</vt:lpstr>
      <vt:lpstr>stedin_2014_7A.A.47</vt:lpstr>
      <vt:lpstr>stedin_2014_7A.A.48</vt:lpstr>
      <vt:lpstr>stedin_2014_7A.A.49</vt:lpstr>
      <vt:lpstr>stedin_2014_7A.A.50</vt:lpstr>
      <vt:lpstr>stedin_2014_7A.A.51</vt:lpstr>
      <vt:lpstr>stedin_2014_7A.B.21</vt:lpstr>
      <vt:lpstr>stedin_2014_7A.B.22</vt:lpstr>
      <vt:lpstr>stedin_2014_7A.B.23</vt:lpstr>
      <vt:lpstr>stedin_2014_7A.B.24</vt:lpstr>
      <vt:lpstr>stedin_2014_7A.B.25</vt:lpstr>
      <vt:lpstr>stedin_2014_7A.B.26</vt:lpstr>
      <vt:lpstr>stedin_2014_7A.B.27</vt:lpstr>
      <vt:lpstr>stedin_2014_7A.B.28</vt:lpstr>
      <vt:lpstr>stedin_2014_7A.B.29</vt:lpstr>
      <vt:lpstr>stedin_2014_Total_Cost_Ex_1</vt:lpstr>
      <vt:lpstr>stedin_2014_Total_Cost_Ex_10</vt:lpstr>
      <vt:lpstr>stedin_2014_Total_Cost_Ex_2</vt:lpstr>
      <vt:lpstr>stedin_2014_Total_Cost_Ex_3</vt:lpstr>
      <vt:lpstr>stedin_2014_Total_Cost_Ex_4</vt:lpstr>
      <vt:lpstr>stedin_2014_Total_Cost_Ex_5</vt:lpstr>
      <vt:lpstr>stedin_2014_Total_Cost_Ex_6</vt:lpstr>
      <vt:lpstr>stedin_2014_Total_Cost_Ex_7</vt:lpstr>
      <vt:lpstr>stedin_2014_Total_Cost_Ex_8</vt:lpstr>
      <vt:lpstr>stedin_2014_Total_Cost_Ex_9</vt:lpstr>
      <vt:lpstr>stedin_2015_2B.E.tot</vt:lpstr>
      <vt:lpstr>stedin_2015_3A.A.1</vt:lpstr>
      <vt:lpstr>stedin_2015_3A.A.10</vt:lpstr>
      <vt:lpstr>stedin_2015_3A.A.11</vt:lpstr>
      <vt:lpstr>stedin_2015_3A.A.12</vt:lpstr>
      <vt:lpstr>stedin_2015_3A.A.13</vt:lpstr>
      <vt:lpstr>stedin_2015_3A.A.15</vt:lpstr>
      <vt:lpstr>stedin_2015_3A.A.2</vt:lpstr>
      <vt:lpstr>stedin_2015_3A.A.3</vt:lpstr>
      <vt:lpstr>stedin_2015_3A.A.4</vt:lpstr>
      <vt:lpstr>stedin_2015_3A.A.5</vt:lpstr>
      <vt:lpstr>stedin_2015_3A.A.6</vt:lpstr>
      <vt:lpstr>stedin_2015_3A.A.7</vt:lpstr>
      <vt:lpstr>stedin_2015_3A.A.8</vt:lpstr>
      <vt:lpstr>stedin_2015_7A.A.21</vt:lpstr>
      <vt:lpstr>stedin_2015_7A.A.22</vt:lpstr>
      <vt:lpstr>stedin_2015_7A.A.23</vt:lpstr>
      <vt:lpstr>stedin_2015_7A.A.24</vt:lpstr>
      <vt:lpstr>stedin_2015_7A.A.25</vt:lpstr>
      <vt:lpstr>stedin_2015_7A.A.26</vt:lpstr>
      <vt:lpstr>stedin_2015_7A.A.27</vt:lpstr>
      <vt:lpstr>stedin_2015_7A.A.28</vt:lpstr>
      <vt:lpstr>stedin_2015_7A.A.29</vt:lpstr>
      <vt:lpstr>stedin_2015_7A.A.30</vt:lpstr>
      <vt:lpstr>stedin_2015_7A.A.31</vt:lpstr>
      <vt:lpstr>stedin_2015_7A.A.41</vt:lpstr>
      <vt:lpstr>stedin_2015_7A.A.42</vt:lpstr>
      <vt:lpstr>stedin_2015_7A.A.43</vt:lpstr>
      <vt:lpstr>stedin_2015_7A.A.44</vt:lpstr>
      <vt:lpstr>stedin_2015_7A.A.45</vt:lpstr>
      <vt:lpstr>stedin_2015_7A.A.46</vt:lpstr>
      <vt:lpstr>stedin_2015_7A.A.47</vt:lpstr>
      <vt:lpstr>stedin_2015_7A.A.48</vt:lpstr>
      <vt:lpstr>stedin_2015_7A.A.49</vt:lpstr>
      <vt:lpstr>stedin_2015_7A.A.50</vt:lpstr>
      <vt:lpstr>stedin_2015_7A.A.51</vt:lpstr>
      <vt:lpstr>stedin_2015_7A.B.21</vt:lpstr>
      <vt:lpstr>stedin_2015_7A.B.22</vt:lpstr>
      <vt:lpstr>stedin_2015_7A.B.23</vt:lpstr>
      <vt:lpstr>stedin_2015_7A.B.24</vt:lpstr>
      <vt:lpstr>stedin_2015_7A.B.25</vt:lpstr>
      <vt:lpstr>stedin_2015_7A.B.26</vt:lpstr>
      <vt:lpstr>stedin_2015_7A.B.27</vt:lpstr>
      <vt:lpstr>stedin_2015_7A.B.28</vt:lpstr>
      <vt:lpstr>stedin_2015_7A.B.29</vt:lpstr>
      <vt:lpstr>stedin_2015_Total_Cost_Ex_1</vt:lpstr>
      <vt:lpstr>stedin_2015_Total_Cost_Ex_2</vt:lpstr>
      <vt:lpstr>stedin_2015_Total_Cost_Ex_3</vt:lpstr>
      <vt:lpstr>stedin_2015_Total_Cost_Ex_4</vt:lpstr>
      <vt:lpstr>stedin_2015_Total_Cost_Ex_5</vt:lpstr>
      <vt:lpstr>stedin_2015_Total_Cost_Ex_6</vt:lpstr>
      <vt:lpstr>stedin_2015_Total_Cost_Ex_7</vt:lpstr>
      <vt:lpstr>stedin_2015_Total_Cost_Ex_8</vt:lpstr>
      <vt:lpstr>westland_2012_Total_Cost_Ex_1</vt:lpstr>
      <vt:lpstr>westland_2012_Total_Cost_Ex_2</vt:lpstr>
      <vt:lpstr>westland_2013_Total_Cost_Ex_1</vt:lpstr>
      <vt:lpstr>westland_2013_Total_Cost_Ex_2</vt:lpstr>
      <vt:lpstr>westland_2013_Total_Cost_Ex_3</vt:lpstr>
      <vt:lpstr>westland_2013_Total_Cost_Ex_4</vt:lpstr>
      <vt:lpstr>westland_2013_Total_Cost_Ex_5</vt:lpstr>
      <vt:lpstr>westland_2013_Total_Cost_Ex_6</vt:lpstr>
      <vt:lpstr>westland_2013_Total_Cost_Ex_7</vt:lpstr>
      <vt:lpstr>westland_2013_Total_Cost_Ex_8</vt:lpstr>
      <vt:lpstr>westland_2013_Total_Cost_Ex_9</vt:lpstr>
      <vt:lpstr>westland_2014_2B.E.tot</vt:lpstr>
      <vt:lpstr>westland_2014_3A.A.1</vt:lpstr>
      <vt:lpstr>westland_2014_3A.A.10</vt:lpstr>
      <vt:lpstr>westland_2014_3A.A.11</vt:lpstr>
      <vt:lpstr>westland_2014_3A.A.12</vt:lpstr>
      <vt:lpstr>westland_2014_3A.A.13</vt:lpstr>
      <vt:lpstr>westland_2014_3A.A.15</vt:lpstr>
      <vt:lpstr>westland_2014_3A.A.2</vt:lpstr>
      <vt:lpstr>westland_2014_3A.A.3</vt:lpstr>
      <vt:lpstr>westland_2014_3A.A.4</vt:lpstr>
      <vt:lpstr>westland_2014_3A.A.5</vt:lpstr>
      <vt:lpstr>westland_2014_3A.A.6</vt:lpstr>
      <vt:lpstr>westland_2014_3A.A.7</vt:lpstr>
      <vt:lpstr>westland_2014_3A.A.8</vt:lpstr>
      <vt:lpstr>westland_2014_7A.A.21</vt:lpstr>
      <vt:lpstr>westland_2014_7A.A.22</vt:lpstr>
      <vt:lpstr>westland_2014_7A.A.23</vt:lpstr>
      <vt:lpstr>westland_2014_7A.A.24</vt:lpstr>
      <vt:lpstr>westland_2014_7A.A.25</vt:lpstr>
      <vt:lpstr>westland_2014_7A.A.26</vt:lpstr>
      <vt:lpstr>westland_2014_7A.A.27</vt:lpstr>
      <vt:lpstr>westland_2014_7A.A.28</vt:lpstr>
      <vt:lpstr>westland_2014_7A.A.29</vt:lpstr>
      <vt:lpstr>westland_2014_7A.A.30</vt:lpstr>
      <vt:lpstr>westland_2014_7A.A.31</vt:lpstr>
      <vt:lpstr>westland_2014_7A.A.41</vt:lpstr>
      <vt:lpstr>westland_2014_7A.A.42</vt:lpstr>
      <vt:lpstr>westland_2014_7A.A.43</vt:lpstr>
      <vt:lpstr>westland_2014_7A.A.44</vt:lpstr>
      <vt:lpstr>westland_2014_7A.A.45</vt:lpstr>
      <vt:lpstr>westland_2014_7A.A.46</vt:lpstr>
      <vt:lpstr>westland_2014_7A.A.47</vt:lpstr>
      <vt:lpstr>westland_2014_7A.A.48</vt:lpstr>
      <vt:lpstr>westland_2014_7A.A.49</vt:lpstr>
      <vt:lpstr>westland_2014_7A.A.50</vt:lpstr>
      <vt:lpstr>westland_2014_7A.A.51</vt:lpstr>
      <vt:lpstr>westland_2014_7A.B.21</vt:lpstr>
      <vt:lpstr>westland_2014_7A.B.22</vt:lpstr>
      <vt:lpstr>westland_2014_7A.B.23</vt:lpstr>
      <vt:lpstr>westland_2014_7A.B.24</vt:lpstr>
      <vt:lpstr>westland_2014_7A.B.25</vt:lpstr>
      <vt:lpstr>westland_2014_7A.B.26</vt:lpstr>
      <vt:lpstr>westland_2014_7A.B.27</vt:lpstr>
      <vt:lpstr>westland_2014_7A.B.28</vt:lpstr>
      <vt:lpstr>westland_2014_7A.B.29</vt:lpstr>
      <vt:lpstr>westland_2014_Total_Cost_Ex_1</vt:lpstr>
      <vt:lpstr>westland_2014_Total_Cost_Ex_10</vt:lpstr>
      <vt:lpstr>westland_2014_Total_Cost_Ex_2</vt:lpstr>
      <vt:lpstr>westland_2014_Total_Cost_Ex_3</vt:lpstr>
      <vt:lpstr>westland_2014_Total_Cost_Ex_4</vt:lpstr>
      <vt:lpstr>westland_2014_Total_Cost_Ex_5</vt:lpstr>
      <vt:lpstr>westland_2014_Total_Cost_Ex_6</vt:lpstr>
      <vt:lpstr>westland_2014_Total_Cost_Ex_7</vt:lpstr>
      <vt:lpstr>westland_2014_Total_Cost_Ex_8</vt:lpstr>
      <vt:lpstr>westland_2014_Total_Cost_Ex_9</vt:lpstr>
      <vt:lpstr>westland_2015_2B.E.tot</vt:lpstr>
      <vt:lpstr>westland_2015_3A.A.1</vt:lpstr>
      <vt:lpstr>westland_2015_3A.A.10</vt:lpstr>
      <vt:lpstr>westland_2015_3A.A.11</vt:lpstr>
      <vt:lpstr>westland_2015_3A.A.12</vt:lpstr>
      <vt:lpstr>westland_2015_3A.A.13</vt:lpstr>
      <vt:lpstr>westland_2015_3A.A.15</vt:lpstr>
      <vt:lpstr>westland_2015_3A.A.2</vt:lpstr>
      <vt:lpstr>westland_2015_3A.A.3</vt:lpstr>
      <vt:lpstr>westland_2015_3A.A.4</vt:lpstr>
      <vt:lpstr>westland_2015_3A.A.5</vt:lpstr>
      <vt:lpstr>westland_2015_3A.A.6</vt:lpstr>
      <vt:lpstr>westland_2015_3A.A.7</vt:lpstr>
      <vt:lpstr>westland_2015_3A.A.8</vt:lpstr>
      <vt:lpstr>westland_2015_7A.A.21</vt:lpstr>
      <vt:lpstr>westland_2015_7A.A.22</vt:lpstr>
      <vt:lpstr>westland_2015_7A.A.23</vt:lpstr>
      <vt:lpstr>westland_2015_7A.A.24</vt:lpstr>
      <vt:lpstr>westland_2015_7A.A.25</vt:lpstr>
      <vt:lpstr>westland_2015_7A.A.26</vt:lpstr>
      <vt:lpstr>westland_2015_7A.A.27</vt:lpstr>
      <vt:lpstr>westland_2015_7A.A.28</vt:lpstr>
      <vt:lpstr>westland_2015_7A.A.29</vt:lpstr>
      <vt:lpstr>westland_2015_7A.A.30</vt:lpstr>
      <vt:lpstr>westland_2015_7A.A.31</vt:lpstr>
      <vt:lpstr>westland_2015_7A.A.41</vt:lpstr>
      <vt:lpstr>westland_2015_7A.A.42</vt:lpstr>
      <vt:lpstr>westland_2015_7A.A.43</vt:lpstr>
      <vt:lpstr>westland_2015_7A.A.44</vt:lpstr>
      <vt:lpstr>westland_2015_7A.A.45</vt:lpstr>
      <vt:lpstr>westland_2015_7A.A.46</vt:lpstr>
      <vt:lpstr>westland_2015_7A.A.47</vt:lpstr>
      <vt:lpstr>westland_2015_7A.A.48</vt:lpstr>
      <vt:lpstr>westland_2015_7A.A.49</vt:lpstr>
      <vt:lpstr>westland_2015_7A.A.50</vt:lpstr>
      <vt:lpstr>westland_2015_7A.A.51</vt:lpstr>
      <vt:lpstr>westland_2015_7A.B.21</vt:lpstr>
      <vt:lpstr>westland_2015_7A.B.22</vt:lpstr>
      <vt:lpstr>westland_2015_7A.B.23</vt:lpstr>
      <vt:lpstr>westland_2015_7A.B.24</vt:lpstr>
      <vt:lpstr>westland_2015_7A.B.25</vt:lpstr>
      <vt:lpstr>westland_2015_7A.B.26</vt:lpstr>
      <vt:lpstr>westland_2015_7A.B.27</vt:lpstr>
      <vt:lpstr>westland_2015_7A.B.28</vt:lpstr>
      <vt:lpstr>westland_2015_7A.B.29</vt:lpstr>
      <vt:lpstr>westland_2015_Total_Cost_Ex_1</vt:lpstr>
      <vt:lpstr>westland_2015_Total_Cost_Ex_2</vt:lpstr>
      <vt:lpstr>westland_2015_Total_Cost_Ex_3</vt:lpstr>
      <vt:lpstr>westland_2015_Total_Cost_Ex_4</vt:lpstr>
      <vt:lpstr>westland_2015_Total_Cost_Ex_5</vt:lpstr>
      <vt:lpstr>westland_2015_Total_Cost_Ex_6</vt:lpstr>
      <vt:lpstr>westland_2015_Total_Cost_Ex_7</vt:lpstr>
      <vt:lpstr>westland_2015_Total_Cost_Ex_8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2020-08-13T08:13:14Z</dcterms:modified>
</cp:coreProperties>
</file>