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185" yWindow="-15" windowWidth="10320" windowHeight="7395"/>
  </bookViews>
  <sheets>
    <sheet name="Cover sheet" sheetId="9" r:id="rId1"/>
    <sheet name="Explanation" sheetId="10" r:id="rId2"/>
    <sheet name="Sources and specifics" sheetId="11" r:id="rId3"/>
    <sheet name="Result" sheetId="21" r:id="rId4"/>
    <sheet name="Input --&gt;" sheetId="13" r:id="rId5"/>
    <sheet name="Fuel prices" sheetId="25" r:id="rId6"/>
    <sheet name="Input production data" sheetId="18" r:id="rId7"/>
    <sheet name="Parameters in tariff decisions" sheetId="24" r:id="rId8"/>
    <sheet name="Calculations --&gt;" sheetId="15" r:id="rId9"/>
    <sheet name="Fuel component correction" sheetId="22" r:id="rId10"/>
  </sheets>
  <calcPr calcId="145621"/>
</workbook>
</file>

<file path=xl/calcChain.xml><?xml version="1.0" encoding="utf-8"?>
<calcChain xmlns="http://schemas.openxmlformats.org/spreadsheetml/2006/main">
  <c r="H26" i="21" l="1"/>
  <c r="T30" i="25"/>
  <c r="T28" i="25"/>
  <c r="T34" i="25"/>
  <c r="P26" i="25"/>
  <c r="T25" i="25" l="1"/>
  <c r="J31" i="25"/>
  <c r="J27" i="25"/>
  <c r="N31" i="25"/>
  <c r="N27" i="25"/>
  <c r="N39" i="25"/>
  <c r="T19" i="25"/>
  <c r="P21" i="25"/>
  <c r="P23" i="25"/>
  <c r="P22" i="25"/>
  <c r="T32" i="25" l="1"/>
  <c r="Q16" i="18"/>
  <c r="P16" i="18"/>
  <c r="O16" i="18"/>
  <c r="N16" i="18"/>
  <c r="M16" i="18"/>
  <c r="L16" i="18"/>
  <c r="H18" i="21" l="1"/>
  <c r="H17" i="21"/>
  <c r="H16" i="21"/>
  <c r="H15" i="21"/>
  <c r="H19" i="21" l="1"/>
  <c r="H20" i="21" s="1"/>
  <c r="H30" i="21" s="1"/>
  <c r="H31" i="21" l="1"/>
  <c r="Q26" i="22"/>
  <c r="P26" i="22"/>
  <c r="O26" i="22"/>
  <c r="N26" i="22"/>
  <c r="M26" i="22"/>
  <c r="L26" i="22"/>
  <c r="H17" i="22"/>
  <c r="H24" i="21"/>
  <c r="H25" i="21"/>
  <c r="Q29" i="22"/>
  <c r="P33" i="25"/>
  <c r="P29" i="22"/>
  <c r="P31" i="25"/>
  <c r="O29" i="22"/>
  <c r="P29" i="25"/>
  <c r="N29" i="22"/>
  <c r="P27" i="25"/>
  <c r="M29" i="22"/>
  <c r="P24" i="25"/>
  <c r="P20" i="25"/>
  <c r="L29" i="22"/>
  <c r="P18" i="25"/>
  <c r="P17" i="25"/>
  <c r="Q36" i="22" l="1"/>
  <c r="P36" i="22"/>
  <c r="O36" i="22"/>
  <c r="N36" i="22"/>
  <c r="M36" i="22"/>
  <c r="L36" i="22"/>
  <c r="Q23" i="22"/>
  <c r="Q22" i="22"/>
  <c r="Q35" i="22" s="1"/>
  <c r="P23" i="22"/>
  <c r="P22" i="22"/>
  <c r="P35" i="22" s="1"/>
  <c r="O23" i="22"/>
  <c r="O22" i="22"/>
  <c r="O35" i="22" s="1"/>
  <c r="N23" i="22"/>
  <c r="N22" i="22"/>
  <c r="N35" i="22" s="1"/>
  <c r="M23" i="22"/>
  <c r="L23" i="22"/>
  <c r="M22" i="22"/>
  <c r="L22" i="22"/>
  <c r="N37" i="22" l="1"/>
  <c r="N40" i="22" s="1"/>
  <c r="O37" i="22"/>
  <c r="O40" i="22" s="1"/>
  <c r="L35" i="22"/>
  <c r="L37" i="22" s="1"/>
  <c r="L40" i="22" s="1"/>
  <c r="P37" i="22"/>
  <c r="P40" i="22" s="1"/>
  <c r="M35" i="22"/>
  <c r="M37" i="22" s="1"/>
  <c r="M40" i="22" s="1"/>
  <c r="Q37" i="22"/>
  <c r="Q40" i="22" s="1"/>
  <c r="H42" i="22" l="1"/>
  <c r="H41" i="22"/>
  <c r="H43" i="22" l="1"/>
  <c r="H23" i="21" s="1"/>
  <c r="H27" i="21" l="1"/>
  <c r="H32" i="21" s="1"/>
  <c r="B20" i="10"/>
  <c r="B27" i="10" s="1"/>
  <c r="B21" i="10" l="1"/>
  <c r="B22" i="10" l="1"/>
  <c r="B26" i="10" s="1"/>
</calcChain>
</file>

<file path=xl/comments1.xml><?xml version="1.0" encoding="utf-8"?>
<comments xmlns="http://schemas.openxmlformats.org/spreadsheetml/2006/main">
  <authors>
    <author>Auteur</author>
  </authors>
  <commentList>
    <comment ref="B26" authorId="0">
      <text>
        <r>
          <rPr>
            <sz val="8"/>
            <color indexed="81"/>
            <rFont val="Tahoma"/>
            <family val="2"/>
          </rPr>
          <t>At all times a (group of) pink cell(s) needs an explanantion on its special nature. This explanation will be added through this remark box.</t>
        </r>
      </text>
    </comment>
  </commentList>
</comments>
</file>

<file path=xl/comments2.xml><?xml version="1.0" encoding="utf-8"?>
<comments xmlns="http://schemas.openxmlformats.org/spreadsheetml/2006/main">
  <authors>
    <author>Auteur</author>
  </authors>
  <commentList>
    <comment ref="L29" authorId="0">
      <text>
        <r>
          <rPr>
            <sz val="8"/>
            <color indexed="81"/>
            <rFont val="Tahoma"/>
            <family val="2"/>
          </rPr>
          <t>Please note: cells link to corresponding rows on sheet 'fuel prices'.</t>
        </r>
      </text>
    </comment>
  </commentList>
</comments>
</file>

<file path=xl/sharedStrings.xml><?xml version="1.0" encoding="utf-8"?>
<sst xmlns="http://schemas.openxmlformats.org/spreadsheetml/2006/main" count="314" uniqueCount="226">
  <si>
    <t>Data</t>
  </si>
  <si>
    <t>Input --&gt;</t>
  </si>
  <si>
    <t>About this file</t>
  </si>
  <si>
    <t>Case number</t>
  </si>
  <si>
    <t>File title</t>
  </si>
  <si>
    <t>Other remarks</t>
  </si>
  <si>
    <t>About the status of this file</t>
  </si>
  <si>
    <t>Final version? (y/n)</t>
  </si>
  <si>
    <t>Is this file legally part of the decision(s) listed above? (y/n)</t>
  </si>
  <si>
    <t>When applicable</t>
  </si>
  <si>
    <t xml:space="preserve">Explanation on how this file works </t>
  </si>
  <si>
    <t>Cell colors (for numbers)</t>
  </si>
  <si>
    <t>Description</t>
  </si>
  <si>
    <t>Data and input (source required)</t>
  </si>
  <si>
    <t>Calculated value</t>
  </si>
  <si>
    <t>Result/calculated value that is referred to on another sheet</t>
  </si>
  <si>
    <t>Empty cell (not zero) used in a formula range</t>
  </si>
  <si>
    <t>Value or calculation that needs special attention or explanation</t>
  </si>
  <si>
    <t>Sheet tab colors</t>
  </si>
  <si>
    <t>Sheet with result/output</t>
  </si>
  <si>
    <t>Sheet with input</t>
  </si>
  <si>
    <t>Sheet with calculations</t>
  </si>
  <si>
    <t>Model sheets</t>
  </si>
  <si>
    <t>Result</t>
  </si>
  <si>
    <t>Calculation</t>
  </si>
  <si>
    <t>Explanatory sheets</t>
  </si>
  <si>
    <t>Explanation</t>
  </si>
  <si>
    <t>Empty sheet used for indexing</t>
  </si>
  <si>
    <t>Standardized sheets with general information on this file</t>
  </si>
  <si>
    <t>Special attention:</t>
  </si>
  <si>
    <t>Source overview and specific applications</t>
  </si>
  <si>
    <t>Source overview</t>
  </si>
  <si>
    <t>Each input sheet contains a column 'Source', in which the sources are referred to by their shortened name. These sources are further explained in the table below.</t>
  </si>
  <si>
    <t>No.</t>
  </si>
  <si>
    <t>Shortened name</t>
  </si>
  <si>
    <t>External file name</t>
  </si>
  <si>
    <t>Additional information on this source</t>
  </si>
  <si>
    <t>As referred to in Source column</t>
  </si>
  <si>
    <t>Exact file name</t>
  </si>
  <si>
    <t>Date received, email, URL, file location</t>
  </si>
  <si>
    <t>Case number or reference ACM</t>
  </si>
  <si>
    <t>Unit</t>
  </si>
  <si>
    <t>Constant</t>
  </si>
  <si>
    <t>Row total</t>
  </si>
  <si>
    <t>Remarks</t>
  </si>
  <si>
    <t>Source</t>
  </si>
  <si>
    <t>FIN</t>
  </si>
  <si>
    <t>Explanation of the calculation</t>
  </si>
  <si>
    <t xml:space="preserve">The variable usage tariff is adapted by making two corrections: </t>
  </si>
  <si>
    <t>kWh</t>
  </si>
  <si>
    <t>%</t>
  </si>
  <si>
    <t>Total fuel price correction</t>
  </si>
  <si>
    <t>USD</t>
  </si>
  <si>
    <t>Add-on per kWh for fuel price correction</t>
  </si>
  <si>
    <t>Calculation of correction for fuel price differences</t>
  </si>
  <si>
    <t>Estimated production volume 2020</t>
  </si>
  <si>
    <t>Estimated production volume July to December 2020</t>
  </si>
  <si>
    <t>USD, pl 2020 / kWh</t>
  </si>
  <si>
    <t>USD, pl 2020</t>
  </si>
  <si>
    <t>Calculation new variable usage tariff per 1 July 2020</t>
  </si>
  <si>
    <t>Updated estimation of production price per 1 July 2020</t>
  </si>
  <si>
    <t>New variable usage tariff (including corrections) per 1 July 2020</t>
  </si>
  <si>
    <t>Remark</t>
  </si>
  <si>
    <t>This correction reimburses fuel price differences over the period November 2019 - April 2020.</t>
  </si>
  <si>
    <t>Input data on production</t>
  </si>
  <si>
    <t xml:space="preserve">Description data </t>
  </si>
  <si>
    <t>Explanatory notes</t>
  </si>
  <si>
    <t xml:space="preserve">Decision &amp; period: </t>
  </si>
  <si>
    <t>Production price decision SEC 2019</t>
  </si>
  <si>
    <t>Production price decision SEC 2020</t>
  </si>
  <si>
    <t>User tariffs decision SEC July - Dec 2019</t>
  </si>
  <si>
    <t>User tariffs decision SEC Jan - Jun 2020</t>
  </si>
  <si>
    <t>[1]</t>
  </si>
  <si>
    <t>[2]</t>
  </si>
  <si>
    <t>[3]</t>
  </si>
  <si>
    <t>[4]</t>
  </si>
  <si>
    <t>Parameters that follow from ACM tariff decisions</t>
  </si>
  <si>
    <t>Parameters on production and distribution</t>
  </si>
  <si>
    <t>Production parameters</t>
  </si>
  <si>
    <t>Estimated fuel efficiency</t>
  </si>
  <si>
    <t>liter / kWh</t>
  </si>
  <si>
    <t>Estimated fuel component</t>
  </si>
  <si>
    <t>Estimated fuel component SEC</t>
  </si>
  <si>
    <t>USD / kWh</t>
  </si>
  <si>
    <t>Calculation of difference between estimated and realized fuel component</t>
  </si>
  <si>
    <t>Fuel component = estimated fuel efficiency x estimated share production by fuel x fuel price</t>
  </si>
  <si>
    <t xml:space="preserve">For the production price decisions, ACM makes an estimate of what the fuel costs will be for the producer based on the most recent fuel price. </t>
  </si>
  <si>
    <t>Production price decision input</t>
  </si>
  <si>
    <t>Estimated share production by fuel</t>
  </si>
  <si>
    <t>Most recent fuel price</t>
  </si>
  <si>
    <t>USD / liter</t>
  </si>
  <si>
    <t>Calculation fuel correction</t>
  </si>
  <si>
    <t>Realized fuel component</t>
  </si>
  <si>
    <t>Data on fuel and production</t>
  </si>
  <si>
    <t xml:space="preserve">Year: 
Month: </t>
  </si>
  <si>
    <t>2019
November</t>
  </si>
  <si>
    <t>2019
December</t>
  </si>
  <si>
    <t>2020
January</t>
  </si>
  <si>
    <t>2020
February</t>
  </si>
  <si>
    <t>2020
March</t>
  </si>
  <si>
    <t>2020
April</t>
  </si>
  <si>
    <t>For the estimated fuel component, the most recent fuel price at the time of the usage tariff decision is used. The realized fuel component uses the most recent fuel price at that month, regularly this is month t-2.</t>
  </si>
  <si>
    <t>Difference in fuel component</t>
  </si>
  <si>
    <t>Difference in monthly fuel component</t>
  </si>
  <si>
    <t>Realized production</t>
  </si>
  <si>
    <t>Total realized monthly production</t>
  </si>
  <si>
    <t>Calculation of fuel component correction</t>
  </si>
  <si>
    <t>Correction amount for January - April 2020</t>
  </si>
  <si>
    <t>Correction amount for November - December 2019</t>
  </si>
  <si>
    <t>Monthly difference to be reimbursed</t>
  </si>
  <si>
    <t>USD, pl 2019</t>
  </si>
  <si>
    <t>Total amount fuel component correction</t>
  </si>
  <si>
    <t>Estimated inflation for 2020</t>
  </si>
  <si>
    <t>Estimations in user tariff decision</t>
  </si>
  <si>
    <t>ACM/18/033334, ACM/UIT/503807</t>
  </si>
  <si>
    <t>https://www.acm.nl/nl/publicaties/beschikking-productieprijzen-elektriciteit-2019-saba-caribisch-nederland</t>
  </si>
  <si>
    <t>Rekenmodel SEC 2019</t>
  </si>
  <si>
    <t>https://www.acm.nl/nl/publicaties/beschikking-productieprijs-elektriciteit-2020-saba-sec-caribisch-nederland</t>
  </si>
  <si>
    <t>Rekenmodel SEC 2020</t>
  </si>
  <si>
    <t>ACM/19/035837, ACM/UIT/524810</t>
  </si>
  <si>
    <t>https://www.acm.nl/nl/publicaties/beschikking-distributietarieven-elektriciteit-2020-saba-sec-caribisch-nederland</t>
  </si>
  <si>
    <t>ACM/19/035837, ACM/UIT/524811</t>
  </si>
  <si>
    <t>Based on CPI CBS, see source [4] for details on the determination of estimated inflation.</t>
  </si>
  <si>
    <t>Part of electricity distribution first half of 2020</t>
  </si>
  <si>
    <t>Estimated total production 2020</t>
  </si>
  <si>
    <t>Production price excluding fuel 2020</t>
  </si>
  <si>
    <t>Estimated network loss 2020</t>
  </si>
  <si>
    <t>Monthly production</t>
  </si>
  <si>
    <t>Fuel invoices</t>
  </si>
  <si>
    <t>File name invoice</t>
  </si>
  <si>
    <t>Date of invoice</t>
  </si>
  <si>
    <t>November</t>
  </si>
  <si>
    <t>December</t>
  </si>
  <si>
    <t>January</t>
  </si>
  <si>
    <t>February</t>
  </si>
  <si>
    <t>Relevant month</t>
  </si>
  <si>
    <t>Input data on fuel prices</t>
  </si>
  <si>
    <t>November 2019</t>
  </si>
  <si>
    <t>December 2019</t>
  </si>
  <si>
    <t>January 2020</t>
  </si>
  <si>
    <t>February 2020</t>
  </si>
  <si>
    <t>March 2020</t>
  </si>
  <si>
    <t>April 2020</t>
  </si>
  <si>
    <t>Volume 
(liters)</t>
  </si>
  <si>
    <t>Unit price
(USD/liter)</t>
  </si>
  <si>
    <t>Line total
(USD)</t>
  </si>
  <si>
    <t>Weighted average fuel price for relevant month (USD/unit)</t>
  </si>
  <si>
    <t>Realized production of electricity</t>
  </si>
  <si>
    <t>Total monthly production</t>
  </si>
  <si>
    <t>[5] Monthly production</t>
  </si>
  <si>
    <t>The monthly fuel prices are the basis for the correction of the fuel component.</t>
  </si>
  <si>
    <t xml:space="preserve">In this sheet ACM imports the data from the tariff decisions for 2019 and 2020 (both production price decisions and user tariff decisions). </t>
  </si>
  <si>
    <t>For SEC, ACM assumed an even distribution of production between the first and second half of the year.</t>
  </si>
  <si>
    <t>Estimated fuel efficiency for 2020</t>
  </si>
  <si>
    <t>Estimated share production by fuel for 2020</t>
  </si>
  <si>
    <t>USD, pl 2020 / liter</t>
  </si>
  <si>
    <t>September</t>
  </si>
  <si>
    <t>October</t>
  </si>
  <si>
    <t>Weighted average fuel price in November 2019, basis for fuel component in January 2020.</t>
  </si>
  <si>
    <t>Weighted average fuel price in October 2019, basis for fuel component in December 2019.</t>
  </si>
  <si>
    <t>Weighted average fuel price in September 2019, basis for fuel component in November 2019.</t>
  </si>
  <si>
    <t>Weighted average fuel price in January 2020, basis for fuel component in March 2020.</t>
  </si>
  <si>
    <t>The tariff decisions for July 2019 and January 2020 are used as the basis for the correction for the period November 2019 to April 2020. Sources are indicated in row 14.</t>
  </si>
  <si>
    <t>New variable usage tariff per 1 July 2020</t>
  </si>
  <si>
    <t>Cover sheet</t>
  </si>
  <si>
    <t>Production by solar</t>
  </si>
  <si>
    <t>Production by fuel</t>
  </si>
  <si>
    <t>Belongs to decision(s):</t>
  </si>
  <si>
    <t>Reference number of decision(s)</t>
  </si>
  <si>
    <t>Relationship to other calculation files</t>
  </si>
  <si>
    <t>Contains business-confidential information? (y/n)</t>
  </si>
  <si>
    <t>Objections and appeals can be filed against the decision to which this file belongs.</t>
  </si>
  <si>
    <t>Explanatory notes to this file</t>
  </si>
  <si>
    <t>Legend for the cell and sheet colors</t>
  </si>
  <si>
    <t>Value that is taken from another sheet or cell without calculation</t>
  </si>
  <si>
    <t>Input or calculation that is not yet up-to-date or work in progress</t>
  </si>
  <si>
    <t>Sheet that is not yet up-to-date/work in progress</t>
  </si>
  <si>
    <t>In the overview below, ACM lists the sources that are used for data and calculations in this file.</t>
  </si>
  <si>
    <t>This document contains the model that the Authority for Consumers &amp; Markets (ACM) uses to calculate the adjustment of the variable usage tariff for electricity of Saba Electric (SEC) per July 1, 2020.</t>
  </si>
  <si>
    <t>1. The fuel component is updated. This means that the production price as set in the tariff decision as of January 1, 2020 is updated to match the actual fuel prices more closely.</t>
  </si>
  <si>
    <t>2. The difference between the realized fuel component paid by the distributor and the estimated fuel component for November 2019 to April 2020, will be corrected in the tariff for July-December 2020.</t>
  </si>
  <si>
    <t>For both above mentioned corrections, other values and parameters will remain as were determined in the tariff decision for 2020.</t>
  </si>
  <si>
    <t>Calculation variable usage tariff electricity SEC as of July 1, 2019</t>
  </si>
  <si>
    <t>ACM/19/035491, ACM/UIT/513474</t>
  </si>
  <si>
    <t>https://www.acm.nl/nl/publicaties/beschikking-variabel-tarief-elektriciteit-1-juli-2019-saba-caribisch-nederland</t>
  </si>
  <si>
    <t>First, ACM presents an updated estimation of the production price per 1 July 2020, then ACM calculates the effect (per kWh) of the correction for fuel price differences over November 2019 - April 2020.</t>
  </si>
  <si>
    <t>On this sheet, two corrections are applied to calculate the new variable usage tariff of SEC for the period July to December 2020</t>
  </si>
  <si>
    <t>Estimate for fuel component per 1 July 2020</t>
  </si>
  <si>
    <t>Estimation of production price per 1 July 2020</t>
  </si>
  <si>
    <t>For 2019, this percentage is based on information in rows 20-22 on sheet 'Tariffs' (source [1]).</t>
  </si>
  <si>
    <t>The realized fuel component can vary monthly, due to variations in the fuel price. The difference between the estimated and realized fuel component is calculated here.</t>
  </si>
  <si>
    <t>The most recent fuel price in month t is assumed to be the weighted average fuel price of month t-2.</t>
  </si>
  <si>
    <t>Positive number indicates SEC has had higher purchasing costs than estimated, so SEC receives a positive reimbursement from the fuel correction.</t>
  </si>
  <si>
    <t>ACM/20/038681</t>
  </si>
  <si>
    <t>This file is based on the fuel calculation that was used for SEC for the tariff per 1 January 2020</t>
  </si>
  <si>
    <t>SOL ANTILLES NV $ 98461.44_20191001_09015760</t>
  </si>
  <si>
    <t>SOL ANTILLES NV $ 85747.20_20191011_08535343</t>
  </si>
  <si>
    <t>SOL ANTILLES NV $ 46087.44_20200103_14034457</t>
  </si>
  <si>
    <t>SOL ANTILLES NV $ 69157.44_20200103_14070585</t>
  </si>
  <si>
    <t>SOL ANTILLES NV $ 34033.56_20200103_14080355</t>
  </si>
  <si>
    <t>SOL ANTILLES NV $ 35435.40_20200103_14090377</t>
  </si>
  <si>
    <t>SOL ANTILLES NV $ 12772.32_20200309_09204387</t>
  </si>
  <si>
    <t>Volume (gallons)</t>
  </si>
  <si>
    <t>Unit price (USD/gallon)</t>
  </si>
  <si>
    <t>US gallon to liter</t>
  </si>
  <si>
    <t>Unit price 
(USD/US gallon)</t>
  </si>
  <si>
    <t>ROYAL PETROLEUM CORPORATION $ 223729.90_20200106_15201107</t>
  </si>
  <si>
    <t>ROYAL PETROLEUM CORPORATION $ 213869.20_20200227_10351748</t>
  </si>
  <si>
    <t>new production 2016-2017-2018-2019</t>
  </si>
  <si>
    <t>Multiple, see sheet 'Fuel prices'</t>
  </si>
  <si>
    <t>SEC did not purchase any fuel in February. Therefore, the fuel price of January 2020 is used for February 2020.</t>
  </si>
  <si>
    <t>SEC did not purchase any fuel in December. Therefore, the most recent fuel price of November 2019 is used for December 2019.</t>
  </si>
  <si>
    <t>Has been or will be published? (y/n)</t>
  </si>
  <si>
    <t>In this sheet ACM imports the realized production of SEC for the period November 2019 to April 2020</t>
  </si>
  <si>
    <t>Most recent fuel price, based on invoice of date May 29, 2020</t>
  </si>
  <si>
    <t>Scanned from a Xerox Multifunction Printer</t>
  </si>
  <si>
    <t>Estimated share of production by fuel</t>
  </si>
  <si>
    <t>ACM/UIT/531068</t>
  </si>
  <si>
    <t>Rekenmodel bij aanpassing variabel gebruikstarief elektriciteit SEC 1 juli 2020</t>
  </si>
  <si>
    <t>Beschikking tot vaststelling van het maximale variabele gebruikstarief van elektriciteit per 1 juli 2020 voor Saba Electric Company N.V.</t>
  </si>
  <si>
    <t>Yes</t>
  </si>
  <si>
    <t>No</t>
  </si>
  <si>
    <t>The sources for this data are the fuel invoices from SEC. Every invoice forms a row in the calculation below.</t>
  </si>
  <si>
    <t>It uses this estimate to determine what monthly renumeration the producer will receive from the distributor. This is the estimated fuel component.</t>
  </si>
  <si>
    <t>Attachment in e-mail from SEC to ACM</t>
  </si>
  <si>
    <t>Attachments in e-mail from SEC to ACM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</si>
</sst>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 #,##0.0000_ ;_ * \-#,##0.0000_ ;_ * &quot;-&quot;??_ ;_ @_ "/>
    <numFmt numFmtId="166" formatCode="_ * #,##0.0000_ ;_ * \-#,##0.0000_ ;_ * &quot;-&quot;_ ;_ @_ "/>
    <numFmt numFmtId="167" formatCode="_(* #,##0.00_);_(* \(#,##0.00\);_(* &quot;-&quot;??_);_(@_)"/>
    <numFmt numFmtId="168" formatCode="_ * #,##0.000_ ;_ * \-#,##0.000_ ;_ * &quot;-&quot;??_ ;_ @_ "/>
  </numFmts>
  <fonts count="33"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rgb="FF00B0F0"/>
      <name val="Arial"/>
      <family val="2"/>
    </font>
    <font>
      <sz val="10"/>
      <color rgb="FF00B0F0"/>
      <name val="Arial"/>
      <family val="2"/>
    </font>
    <font>
      <sz val="9.5"/>
      <color theme="1"/>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70">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18" borderId="1">
      <alignment vertical="top"/>
    </xf>
    <xf numFmtId="49" fontId="6" fillId="0" borderId="0">
      <alignment vertical="top"/>
    </xf>
    <xf numFmtId="41" fontId="5" fillId="11" borderId="0">
      <alignment vertical="top"/>
    </xf>
    <xf numFmtId="41" fontId="5" fillId="10" borderId="0">
      <alignment vertical="top"/>
    </xf>
    <xf numFmtId="41" fontId="5" fillId="9" borderId="0">
      <alignment vertical="top"/>
    </xf>
    <xf numFmtId="41" fontId="5" fillId="45" borderId="0">
      <alignment vertical="top"/>
    </xf>
    <xf numFmtId="41" fontId="5" fillId="8" borderId="0">
      <alignment vertical="top"/>
    </xf>
    <xf numFmtId="41" fontId="5" fillId="12" borderId="0">
      <alignment vertical="top"/>
    </xf>
    <xf numFmtId="49" fontId="11" fillId="0" borderId="0">
      <alignment vertical="top"/>
    </xf>
    <xf numFmtId="49" fontId="10" fillId="0" borderId="0">
      <alignment vertical="top"/>
    </xf>
    <xf numFmtId="0" fontId="16" fillId="14" borderId="3" applyNumberFormat="0" applyAlignment="0" applyProtection="0"/>
    <xf numFmtId="0" fontId="17" fillId="15" borderId="4" applyNumberFormat="0" applyAlignment="0" applyProtection="0"/>
    <xf numFmtId="0" fontId="18" fillId="15" borderId="3" applyNumberFormat="0" applyAlignment="0" applyProtection="0"/>
    <xf numFmtId="0" fontId="19" fillId="0" borderId="5" applyNumberFormat="0" applyFill="0" applyAlignment="0" applyProtection="0"/>
    <xf numFmtId="0" fontId="13" fillId="16" borderId="6" applyNumberFormat="0" applyAlignment="0" applyProtection="0"/>
    <xf numFmtId="0" fontId="15" fillId="17" borderId="7" applyNumberFormat="0" applyFont="0" applyAlignment="0" applyProtection="0"/>
    <xf numFmtId="0" fontId="20"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28" fillId="42" borderId="0" applyNumberFormat="0" applyBorder="0" applyAlignment="0" applyProtection="0"/>
    <xf numFmtId="0" fontId="29" fillId="0" borderId="0" applyNumberFormat="0" applyFill="0" applyBorder="0" applyAlignment="0" applyProtection="0"/>
    <xf numFmtId="49" fontId="21" fillId="0" borderId="0" applyFill="0" applyBorder="0" applyAlignment="0" applyProtection="0"/>
    <xf numFmtId="43" fontId="5" fillId="43" borderId="0" applyNumberFormat="0">
      <alignment vertical="top"/>
    </xf>
    <xf numFmtId="43" fontId="5" fillId="10" borderId="0" applyFont="0" applyFill="0" applyBorder="0" applyAlignment="0" applyProtection="0">
      <alignment vertical="top"/>
    </xf>
    <xf numFmtId="10" fontId="5" fillId="0" borderId="0" applyFont="0" applyFill="0" applyBorder="0" applyAlignment="0" applyProtection="0">
      <alignment vertical="top"/>
    </xf>
    <xf numFmtId="41" fontId="5" fillId="44" borderId="0">
      <alignment vertical="top"/>
    </xf>
    <xf numFmtId="49" fontId="6" fillId="18" borderId="1">
      <alignment vertical="top"/>
    </xf>
    <xf numFmtId="43" fontId="5" fillId="44" borderId="0">
      <alignment vertical="top"/>
    </xf>
    <xf numFmtId="167" fontId="5" fillId="0" borderId="0" applyFont="0" applyFill="0" applyBorder="0" applyAlignment="0" applyProtection="0"/>
    <xf numFmtId="0" fontId="5" fillId="0" borderId="0"/>
  </cellStyleXfs>
  <cellXfs count="75">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6" borderId="1" xfId="4" applyFont="1" applyFill="1" applyBorder="1">
      <alignment vertical="top"/>
    </xf>
    <xf numFmtId="0" fontId="10" fillId="0" borderId="0" xfId="4" applyFont="1">
      <alignment vertical="top"/>
    </xf>
    <xf numFmtId="0" fontId="11" fillId="0" borderId="0" xfId="4" applyFont="1">
      <alignment vertical="top"/>
    </xf>
    <xf numFmtId="0" fontId="5" fillId="0" borderId="2" xfId="4" applyBorder="1">
      <alignment vertical="top"/>
    </xf>
    <xf numFmtId="49" fontId="9" fillId="5" borderId="1" xfId="5">
      <alignment vertical="top"/>
    </xf>
    <xf numFmtId="49" fontId="6" fillId="18" borderId="1" xfId="6">
      <alignment vertical="top"/>
    </xf>
    <xf numFmtId="0" fontId="5" fillId="0" borderId="0" xfId="4" applyFill="1">
      <alignment vertical="top"/>
    </xf>
    <xf numFmtId="0" fontId="5" fillId="0" borderId="2" xfId="4" applyBorder="1" applyAlignment="1">
      <alignment horizontal="left" vertical="top" wrapText="1"/>
    </xf>
    <xf numFmtId="0" fontId="8" fillId="6" borderId="1" xfId="4" applyFont="1" applyFill="1" applyBorder="1">
      <alignment vertical="top"/>
    </xf>
    <xf numFmtId="0" fontId="11" fillId="0" borderId="0" xfId="4" applyFont="1" applyFill="1">
      <alignment vertical="top"/>
    </xf>
    <xf numFmtId="0" fontId="5" fillId="7" borderId="0" xfId="4" applyFill="1">
      <alignment vertical="top"/>
    </xf>
    <xf numFmtId="1" fontId="5" fillId="0" borderId="0" xfId="4" applyNumberFormat="1" applyFill="1">
      <alignment vertical="top"/>
    </xf>
    <xf numFmtId="0" fontId="13" fillId="6" borderId="1" xfId="4" applyFont="1" applyFill="1" applyBorder="1">
      <alignment vertical="top"/>
    </xf>
    <xf numFmtId="49" fontId="7" fillId="18" borderId="2" xfId="6" applyFont="1" applyBorder="1">
      <alignment vertical="top"/>
    </xf>
    <xf numFmtId="0" fontId="9" fillId="5" borderId="1" xfId="5" applyNumberFormat="1">
      <alignment vertical="top"/>
    </xf>
    <xf numFmtId="0" fontId="14" fillId="0" borderId="0" xfId="4" applyFont="1">
      <alignment vertical="top"/>
    </xf>
    <xf numFmtId="0" fontId="5" fillId="13" borderId="0" xfId="4" applyFill="1">
      <alignment vertical="top"/>
    </xf>
    <xf numFmtId="0" fontId="5" fillId="0" borderId="0" xfId="4" applyAlignment="1">
      <alignment vertical="top"/>
    </xf>
    <xf numFmtId="0" fontId="5" fillId="0" borderId="0" xfId="4" applyFont="1">
      <alignment vertical="top"/>
    </xf>
    <xf numFmtId="49" fontId="5" fillId="18" borderId="2" xfId="6" applyFont="1" applyBorder="1">
      <alignment vertical="top"/>
    </xf>
    <xf numFmtId="0" fontId="5" fillId="0" borderId="2" xfId="4" applyFont="1" applyBorder="1">
      <alignment vertical="top"/>
    </xf>
    <xf numFmtId="0" fontId="7" fillId="0" borderId="0" xfId="4" applyFont="1" applyFill="1" applyBorder="1" applyAlignment="1">
      <alignment horizontal="left" vertical="top" wrapText="1"/>
    </xf>
    <xf numFmtId="49" fontId="6" fillId="0" borderId="0" xfId="7">
      <alignment vertical="top"/>
    </xf>
    <xf numFmtId="49" fontId="10" fillId="0" borderId="0" xfId="15">
      <alignment vertical="top"/>
    </xf>
    <xf numFmtId="41" fontId="5" fillId="11" borderId="0" xfId="8">
      <alignment vertical="top"/>
    </xf>
    <xf numFmtId="9" fontId="5" fillId="0" borderId="0" xfId="4" applyNumberFormat="1">
      <alignment vertical="top"/>
    </xf>
    <xf numFmtId="41" fontId="5" fillId="9" borderId="0" xfId="10">
      <alignment vertical="top"/>
    </xf>
    <xf numFmtId="41" fontId="5" fillId="8" borderId="0" xfId="12">
      <alignment vertical="top"/>
    </xf>
    <xf numFmtId="41" fontId="5" fillId="45" borderId="0" xfId="11">
      <alignment vertical="top"/>
    </xf>
    <xf numFmtId="0" fontId="5" fillId="0" borderId="2" xfId="4" applyFont="1" applyBorder="1" applyAlignment="1">
      <alignment horizontal="left" vertical="top" wrapText="1"/>
    </xf>
    <xf numFmtId="41" fontId="5" fillId="12" borderId="0" xfId="13">
      <alignment vertical="top"/>
    </xf>
    <xf numFmtId="41" fontId="5" fillId="10" borderId="0" xfId="9">
      <alignment vertical="top"/>
    </xf>
    <xf numFmtId="49" fontId="30" fillId="0" borderId="0" xfId="14" applyFont="1">
      <alignment vertical="top"/>
    </xf>
    <xf numFmtId="0" fontId="31" fillId="0" borderId="0" xfId="4" applyFont="1">
      <alignment vertical="top"/>
    </xf>
    <xf numFmtId="49" fontId="5" fillId="18" borderId="0" xfId="6" applyFont="1" applyBorder="1">
      <alignment vertical="top"/>
    </xf>
    <xf numFmtId="49" fontId="13" fillId="5" borderId="1" xfId="5" applyFont="1">
      <alignment vertical="top"/>
    </xf>
    <xf numFmtId="165" fontId="5" fillId="10" borderId="0" xfId="9" applyNumberFormat="1">
      <alignment vertical="top"/>
    </xf>
    <xf numFmtId="164" fontId="5" fillId="10" borderId="0" xfId="9" applyNumberFormat="1">
      <alignment vertical="top"/>
    </xf>
    <xf numFmtId="10" fontId="5" fillId="12" borderId="0" xfId="64" applyFill="1">
      <alignment vertical="top"/>
    </xf>
    <xf numFmtId="49" fontId="6" fillId="18" borderId="1" xfId="6" applyAlignment="1">
      <alignment vertical="top" wrapText="1"/>
    </xf>
    <xf numFmtId="0" fontId="6" fillId="18" borderId="1" xfId="6" applyNumberFormat="1" applyAlignment="1">
      <alignment vertical="top" wrapText="1"/>
    </xf>
    <xf numFmtId="0" fontId="10" fillId="0" borderId="0" xfId="4" applyFont="1" applyAlignment="1">
      <alignment horizontal="left" vertical="top"/>
    </xf>
    <xf numFmtId="0" fontId="5" fillId="0" borderId="0" xfId="4" applyAlignment="1">
      <alignment vertical="top" wrapText="1"/>
    </xf>
    <xf numFmtId="49" fontId="21" fillId="0" borderId="2" xfId="61" applyBorder="1" applyAlignment="1">
      <alignment vertical="top"/>
    </xf>
    <xf numFmtId="10" fontId="5" fillId="45" borderId="0" xfId="64" applyFill="1">
      <alignment vertical="top"/>
    </xf>
    <xf numFmtId="165" fontId="5" fillId="45" borderId="0" xfId="63" applyNumberFormat="1" applyFill="1">
      <alignment vertical="top"/>
    </xf>
    <xf numFmtId="10" fontId="5" fillId="45" borderId="0" xfId="64" applyNumberFormat="1" applyFill="1">
      <alignment vertical="top"/>
    </xf>
    <xf numFmtId="49" fontId="6" fillId="18" borderId="1" xfId="6" applyNumberFormat="1">
      <alignment vertical="top"/>
    </xf>
    <xf numFmtId="49" fontId="5" fillId="0" borderId="0" xfId="4" applyNumberFormat="1">
      <alignment vertical="top"/>
    </xf>
    <xf numFmtId="14" fontId="5" fillId="45" borderId="0" xfId="11" applyNumberFormat="1">
      <alignment vertical="top"/>
    </xf>
    <xf numFmtId="164" fontId="5" fillId="45" borderId="0" xfId="11" applyNumberFormat="1">
      <alignment vertical="top"/>
    </xf>
    <xf numFmtId="165" fontId="5" fillId="45" borderId="0" xfId="11" applyNumberFormat="1">
      <alignment vertical="top"/>
    </xf>
    <xf numFmtId="49" fontId="6" fillId="18" borderId="1" xfId="66">
      <alignment vertical="top"/>
    </xf>
    <xf numFmtId="10" fontId="5" fillId="12" borderId="0" xfId="13" applyNumberFormat="1">
      <alignment vertical="top"/>
    </xf>
    <xf numFmtId="165" fontId="5" fillId="12" borderId="0" xfId="63" applyNumberFormat="1" applyFill="1">
      <alignment vertical="top"/>
    </xf>
    <xf numFmtId="166" fontId="5" fillId="10" borderId="0" xfId="9" applyNumberFormat="1">
      <alignment vertical="top"/>
    </xf>
    <xf numFmtId="0" fontId="5" fillId="0" borderId="2" xfId="4" applyFont="1" applyBorder="1" applyAlignment="1">
      <alignment horizontal="left" vertical="top" wrapText="1"/>
    </xf>
    <xf numFmtId="165" fontId="5" fillId="10" borderId="0" xfId="63" applyNumberFormat="1">
      <alignment vertical="top"/>
    </xf>
    <xf numFmtId="165" fontId="5" fillId="11" borderId="0" xfId="63" applyNumberFormat="1" applyFill="1">
      <alignment vertical="top"/>
    </xf>
    <xf numFmtId="164" fontId="5" fillId="12" borderId="0" xfId="63" applyNumberFormat="1" applyFill="1">
      <alignment vertical="top"/>
    </xf>
    <xf numFmtId="0" fontId="5" fillId="0" borderId="0" xfId="4" applyFont="1" applyAlignment="1">
      <alignment vertical="top"/>
    </xf>
    <xf numFmtId="164" fontId="5" fillId="10" borderId="0" xfId="63" applyNumberFormat="1">
      <alignment vertical="top"/>
    </xf>
    <xf numFmtId="164" fontId="5" fillId="11" borderId="0" xfId="63" applyNumberFormat="1" applyFill="1">
      <alignment vertical="top"/>
    </xf>
    <xf numFmtId="166" fontId="5" fillId="9" borderId="0" xfId="10" applyNumberFormat="1">
      <alignment vertical="top"/>
    </xf>
    <xf numFmtId="164" fontId="5" fillId="43" borderId="0" xfId="62" applyNumberFormat="1">
      <alignment vertical="top"/>
    </xf>
    <xf numFmtId="41" fontId="5" fillId="43" borderId="0" xfId="62" applyNumberFormat="1">
      <alignment vertical="top"/>
    </xf>
    <xf numFmtId="14" fontId="5" fillId="43" borderId="0" xfId="62" applyNumberFormat="1">
      <alignment vertical="top"/>
    </xf>
    <xf numFmtId="165" fontId="5" fillId="43" borderId="0" xfId="62" applyNumberFormat="1">
      <alignment vertical="top"/>
    </xf>
    <xf numFmtId="0" fontId="32" fillId="0" borderId="0" xfId="0" applyFont="1">
      <alignment vertical="top"/>
    </xf>
    <xf numFmtId="168" fontId="5" fillId="12" borderId="0" xfId="63" applyNumberFormat="1" applyFill="1">
      <alignment vertical="top"/>
    </xf>
    <xf numFmtId="0" fontId="5" fillId="0" borderId="0" xfId="4" applyFont="1" applyFill="1" applyBorder="1" applyAlignment="1">
      <alignment horizontal="left" vertical="top" wrapText="1"/>
    </xf>
  </cellXfs>
  <cellStyles count="70">
    <cellStyle name="_kop1 Bladtitel" xfId="5"/>
    <cellStyle name="_kop2 Bloktitel" xfId="6"/>
    <cellStyle name="_kop2 Bloktitel 2" xfId="66"/>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cellStyle name="Cel Berekening" xfId="9"/>
    <cellStyle name="Cel Bijzonderheid" xfId="10"/>
    <cellStyle name="Cel Dataverzoek" xfId="65"/>
    <cellStyle name="Cel Input" xfId="11"/>
    <cellStyle name="Cel Input Data" xfId="67"/>
    <cellStyle name="Cel n.v.t. (leeg)" xfId="62"/>
    <cellStyle name="Cel PM extern" xfId="12"/>
    <cellStyle name="Cel Verwijzing" xfId="13"/>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mma 2" xfId="68"/>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cellStyle name="Procent" xfId="27" builtinId="5" hidden="1"/>
    <cellStyle name="Procent" xfId="64" builtinId="5"/>
    <cellStyle name="Standaard" xfId="0" builtinId="0" customBuiltin="1"/>
    <cellStyle name="Standaard 2" xfId="69"/>
    <cellStyle name="Standaard ACM-DE" xfId="4"/>
    <cellStyle name="Titel" xfId="28" builtinId="15" hidden="1"/>
    <cellStyle name="Toelichting" xfId="15"/>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E1FFE1"/>
      <color rgb="FF99FF99"/>
      <color rgb="FFFFFFCC"/>
      <color rgb="FFCCC8D9"/>
      <color rgb="FFCCFFCC"/>
      <color rgb="FFCCFFFF"/>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nl/publicaties/beschikking-productieprijs-elektriciteit-2020-saba-sec-caribisch-nederland" TargetMode="External"/><Relationship Id="rId2" Type="http://schemas.openxmlformats.org/officeDocument/2006/relationships/hyperlink" Target="https://www.acm.nl/nl/publicaties/beschikking-productieprijzen-elektriciteit-2019-saba-caribisch-nederland" TargetMode="External"/><Relationship Id="rId1" Type="http://schemas.openxmlformats.org/officeDocument/2006/relationships/hyperlink" Target="https://www.acm.nl/nl/publicaties/beschikking-distributietarieven-elektriciteit-2020-saba-sec-caribisch-nederland" TargetMode="External"/><Relationship Id="rId5" Type="http://schemas.openxmlformats.org/officeDocument/2006/relationships/printerSettings" Target="../printerSettings/printerSettings3.bin"/><Relationship Id="rId4" Type="http://schemas.openxmlformats.org/officeDocument/2006/relationships/hyperlink" Target="https://www.acm.nl/nl/publicaties/beschikking-variabel-tarief-elektriciteit-1-juli-2019-saba-caribisch-nederla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D48"/>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8" customFormat="1" ht="18" x14ac:dyDescent="0.2">
      <c r="B2" s="8" t="s">
        <v>164</v>
      </c>
    </row>
    <row r="6" spans="2:3" x14ac:dyDescent="0.2">
      <c r="B6" s="3"/>
    </row>
    <row r="13" spans="2:3" s="9" customFormat="1" x14ac:dyDescent="0.2">
      <c r="B13" s="9" t="s">
        <v>2</v>
      </c>
    </row>
    <row r="14" spans="2:3" s="10" customFormat="1" x14ac:dyDescent="0.2"/>
    <row r="15" spans="2:3" x14ac:dyDescent="0.2">
      <c r="B15" s="33" t="s">
        <v>3</v>
      </c>
      <c r="C15" s="11" t="s">
        <v>193</v>
      </c>
    </row>
    <row r="16" spans="2:3" x14ac:dyDescent="0.2">
      <c r="B16" s="33" t="s">
        <v>4</v>
      </c>
      <c r="C16" s="72" t="s">
        <v>218</v>
      </c>
    </row>
    <row r="17" spans="2:4" ht="25.5" x14ac:dyDescent="0.2">
      <c r="B17" s="60" t="s">
        <v>167</v>
      </c>
      <c r="C17" s="60" t="s">
        <v>219</v>
      </c>
    </row>
    <row r="18" spans="2:4" x14ac:dyDescent="0.2">
      <c r="B18" s="60" t="s">
        <v>168</v>
      </c>
      <c r="C18" s="60" t="s">
        <v>217</v>
      </c>
    </row>
    <row r="19" spans="2:4" x14ac:dyDescent="0.2">
      <c r="B19" s="60" t="s">
        <v>169</v>
      </c>
      <c r="C19" s="33" t="s">
        <v>194</v>
      </c>
    </row>
    <row r="20" spans="2:4" x14ac:dyDescent="0.2">
      <c r="B20" s="33" t="s">
        <v>5</v>
      </c>
      <c r="C20" s="11"/>
    </row>
    <row r="23" spans="2:4" s="9" customFormat="1" x14ac:dyDescent="0.2">
      <c r="B23" s="9" t="s">
        <v>6</v>
      </c>
    </row>
    <row r="25" spans="2:4" x14ac:dyDescent="0.2">
      <c r="B25" s="33" t="s">
        <v>7</v>
      </c>
      <c r="C25" s="11" t="s">
        <v>220</v>
      </c>
    </row>
    <row r="26" spans="2:4" x14ac:dyDescent="0.2">
      <c r="B26" s="60" t="s">
        <v>212</v>
      </c>
      <c r="C26" s="11" t="s">
        <v>220</v>
      </c>
    </row>
    <row r="27" spans="2:4" ht="25.5" x14ac:dyDescent="0.2">
      <c r="B27" s="33" t="s">
        <v>8</v>
      </c>
      <c r="C27" s="11" t="s">
        <v>220</v>
      </c>
    </row>
    <row r="28" spans="2:4" ht="25.5" x14ac:dyDescent="0.2">
      <c r="B28" s="60" t="s">
        <v>170</v>
      </c>
      <c r="C28" s="11" t="s">
        <v>221</v>
      </c>
    </row>
    <row r="29" spans="2:4" x14ac:dyDescent="0.2">
      <c r="B29" s="33" t="s">
        <v>5</v>
      </c>
      <c r="C29" s="11"/>
    </row>
    <row r="31" spans="2:4" x14ac:dyDescent="0.2">
      <c r="B31" s="27"/>
    </row>
    <row r="32" spans="2:4" ht="12.75" customHeight="1" x14ac:dyDescent="0.2">
      <c r="B32" s="74" t="s">
        <v>171</v>
      </c>
      <c r="C32" s="74"/>
      <c r="D32" s="6"/>
    </row>
    <row r="33" spans="2:4" x14ac:dyDescent="0.2">
      <c r="B33" s="25"/>
      <c r="C33" s="25"/>
      <c r="D33" s="6"/>
    </row>
    <row r="36" spans="2:4" x14ac:dyDescent="0.2">
      <c r="B36" s="2" t="s">
        <v>46</v>
      </c>
    </row>
    <row r="48" spans="2:4" x14ac:dyDescent="0.2">
      <c r="C48" s="36"/>
    </row>
  </sheetData>
  <mergeCells count="1">
    <mergeCell ref="B32:C32"/>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B2:U46"/>
  <sheetViews>
    <sheetView showGridLines="0" zoomScale="85" zoomScaleNormal="85" workbookViewId="0">
      <pane xSplit="6" ySplit="15" topLeftCell="G16" activePane="bottomRight" state="frozen"/>
      <selection activeCell="R6" sqref="R6"/>
      <selection pane="topRight" activeCell="R6" sqref="R6"/>
      <selection pane="bottomLeft" activeCell="R6" sqref="R6"/>
      <selection pane="bottomRight" activeCell="G16" sqref="G16"/>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3.42578125" style="2" customWidth="1"/>
    <col min="18" max="20" width="2.7109375" style="2" customWidth="1"/>
    <col min="21" max="35" width="13.7109375" style="2" customWidth="1"/>
    <col min="36" max="16384" width="9.140625" style="2"/>
  </cols>
  <sheetData>
    <row r="2" spans="2:21" s="18" customFormat="1" ht="18" x14ac:dyDescent="0.2">
      <c r="B2" s="18" t="s">
        <v>84</v>
      </c>
    </row>
    <row r="4" spans="2:21" x14ac:dyDescent="0.2">
      <c r="B4" s="26" t="s">
        <v>12</v>
      </c>
      <c r="C4" s="1"/>
      <c r="D4" s="1"/>
    </row>
    <row r="5" spans="2:21" x14ac:dyDescent="0.2">
      <c r="B5" s="21" t="s">
        <v>86</v>
      </c>
      <c r="C5" s="3"/>
      <c r="D5" s="3"/>
      <c r="H5" s="19"/>
    </row>
    <row r="6" spans="2:21" x14ac:dyDescent="0.2">
      <c r="B6" s="21" t="s">
        <v>223</v>
      </c>
      <c r="C6" s="3"/>
      <c r="D6" s="3"/>
      <c r="H6" s="19"/>
    </row>
    <row r="7" spans="2:21" x14ac:dyDescent="0.2">
      <c r="B7" s="64" t="s">
        <v>190</v>
      </c>
      <c r="C7" s="3"/>
      <c r="D7" s="3"/>
      <c r="H7" s="19"/>
    </row>
    <row r="8" spans="2:21" x14ac:dyDescent="0.2">
      <c r="B8" s="22"/>
      <c r="C8" s="3"/>
      <c r="D8" s="3"/>
      <c r="H8" s="19"/>
    </row>
    <row r="9" spans="2:21" x14ac:dyDescent="0.2">
      <c r="B9" s="27" t="s">
        <v>66</v>
      </c>
      <c r="C9" s="3"/>
      <c r="D9" s="3"/>
      <c r="H9" s="19"/>
    </row>
    <row r="10" spans="2:21" x14ac:dyDescent="0.2">
      <c r="B10" s="45" t="s">
        <v>85</v>
      </c>
      <c r="C10" s="3"/>
      <c r="D10" s="3"/>
    </row>
    <row r="11" spans="2:21" x14ac:dyDescent="0.2">
      <c r="B11" s="5" t="s">
        <v>101</v>
      </c>
      <c r="C11" s="3"/>
      <c r="D11" s="3"/>
    </row>
    <row r="12" spans="2:21" x14ac:dyDescent="0.2">
      <c r="B12" s="5"/>
      <c r="C12" s="3"/>
      <c r="D12" s="3"/>
    </row>
    <row r="14" spans="2:21" s="9" customFormat="1" ht="25.5" x14ac:dyDescent="0.2">
      <c r="B14" s="9" t="s">
        <v>12</v>
      </c>
      <c r="F14" s="9" t="s">
        <v>41</v>
      </c>
      <c r="H14" s="9" t="s">
        <v>42</v>
      </c>
      <c r="J14" s="43" t="s">
        <v>94</v>
      </c>
      <c r="L14" s="43" t="s">
        <v>95</v>
      </c>
      <c r="M14" s="43" t="s">
        <v>96</v>
      </c>
      <c r="N14" s="43" t="s">
        <v>97</v>
      </c>
      <c r="O14" s="43" t="s">
        <v>98</v>
      </c>
      <c r="P14" s="43" t="s">
        <v>99</v>
      </c>
      <c r="Q14" s="43" t="s">
        <v>100</v>
      </c>
      <c r="U14" s="9" t="s">
        <v>44</v>
      </c>
    </row>
    <row r="17" spans="2:21" x14ac:dyDescent="0.2">
      <c r="B17" s="2" t="s">
        <v>112</v>
      </c>
      <c r="F17" s="2" t="s">
        <v>50</v>
      </c>
      <c r="H17" s="57">
        <f>'Parameters in tariff decisions'!O28</f>
        <v>3.0000000000000001E-3</v>
      </c>
    </row>
    <row r="19" spans="2:21" s="9" customFormat="1" x14ac:dyDescent="0.2">
      <c r="B19" s="9" t="s">
        <v>93</v>
      </c>
    </row>
    <row r="21" spans="2:21" x14ac:dyDescent="0.2">
      <c r="B21" s="1" t="s">
        <v>87</v>
      </c>
    </row>
    <row r="22" spans="2:21" x14ac:dyDescent="0.2">
      <c r="B22" s="2" t="s">
        <v>79</v>
      </c>
      <c r="F22" s="2" t="s">
        <v>80</v>
      </c>
      <c r="L22" s="58">
        <f>'Parameters in tariff decisions'!$L$19</f>
        <v>0.26200000000000001</v>
      </c>
      <c r="M22" s="58">
        <f>'Parameters in tariff decisions'!$L$19</f>
        <v>0.26200000000000001</v>
      </c>
      <c r="N22" s="58">
        <f>'Parameters in tariff decisions'!$M$19</f>
        <v>0.23135346900146023</v>
      </c>
      <c r="O22" s="58">
        <f>'Parameters in tariff decisions'!$M$19</f>
        <v>0.23135346900146023</v>
      </c>
      <c r="P22" s="58">
        <f>'Parameters in tariff decisions'!$M$19</f>
        <v>0.23135346900146023</v>
      </c>
      <c r="Q22" s="58">
        <f>'Parameters in tariff decisions'!$M$19</f>
        <v>0.23135346900146023</v>
      </c>
    </row>
    <row r="23" spans="2:21" x14ac:dyDescent="0.2">
      <c r="B23" s="22" t="s">
        <v>88</v>
      </c>
      <c r="F23" s="2" t="s">
        <v>50</v>
      </c>
      <c r="L23" s="42">
        <f>'Parameters in tariff decisions'!$L$20</f>
        <v>0.67084559548318745</v>
      </c>
      <c r="M23" s="42">
        <f>'Parameters in tariff decisions'!$L$20</f>
        <v>0.67084559548318745</v>
      </c>
      <c r="N23" s="42">
        <f>'Parameters in tariff decisions'!$M$20</f>
        <v>0.62142327748557913</v>
      </c>
      <c r="O23" s="42">
        <f>'Parameters in tariff decisions'!$M$20</f>
        <v>0.62142327748557913</v>
      </c>
      <c r="P23" s="42">
        <f>'Parameters in tariff decisions'!$M$20</f>
        <v>0.62142327748557913</v>
      </c>
      <c r="Q23" s="42">
        <f>'Parameters in tariff decisions'!$M$20</f>
        <v>0.62142327748557913</v>
      </c>
    </row>
    <row r="25" spans="2:21" x14ac:dyDescent="0.2">
      <c r="B25" s="1" t="s">
        <v>104</v>
      </c>
    </row>
    <row r="26" spans="2:21" x14ac:dyDescent="0.2">
      <c r="B26" s="2" t="s">
        <v>105</v>
      </c>
      <c r="F26" s="2" t="s">
        <v>49</v>
      </c>
      <c r="L26" s="34">
        <f>'Input production data'!L16</f>
        <v>806654</v>
      </c>
      <c r="M26" s="34">
        <f>'Input production data'!M16</f>
        <v>758848</v>
      </c>
      <c r="N26" s="34">
        <f>'Input production data'!N16</f>
        <v>737232</v>
      </c>
      <c r="O26" s="34">
        <f>'Input production data'!O16</f>
        <v>701662</v>
      </c>
      <c r="P26" s="34">
        <f>'Input production data'!P16</f>
        <v>725451</v>
      </c>
      <c r="Q26" s="34">
        <f>'Input production data'!Q16</f>
        <v>677360</v>
      </c>
    </row>
    <row r="28" spans="2:21" x14ac:dyDescent="0.2">
      <c r="B28" s="1" t="s">
        <v>89</v>
      </c>
    </row>
    <row r="29" spans="2:21" x14ac:dyDescent="0.2">
      <c r="B29" s="2" t="s">
        <v>89</v>
      </c>
      <c r="F29" s="2" t="s">
        <v>90</v>
      </c>
      <c r="L29" s="67">
        <f>'Fuel prices'!T19</f>
        <v>0.73920000000000008</v>
      </c>
      <c r="M29" s="67">
        <f>'Fuel prices'!T25</f>
        <v>0.76964101499999993</v>
      </c>
      <c r="N29" s="67">
        <f>'Fuel prices'!T28</f>
        <v>0.71132362816377592</v>
      </c>
      <c r="O29" s="67">
        <f>'Fuel prices'!T30</f>
        <v>0.70782259708842288</v>
      </c>
      <c r="P29" s="67">
        <f>'Fuel prices'!T32</f>
        <v>0.63126553631503146</v>
      </c>
      <c r="Q29" s="67">
        <f>'Fuel prices'!T34</f>
        <v>0.63126553631503146</v>
      </c>
      <c r="U29" s="2" t="s">
        <v>191</v>
      </c>
    </row>
    <row r="32" spans="2:21" s="9" customFormat="1" x14ac:dyDescent="0.2">
      <c r="B32" s="9" t="s">
        <v>91</v>
      </c>
    </row>
    <row r="34" spans="2:21" x14ac:dyDescent="0.2">
      <c r="B34" s="1" t="s">
        <v>103</v>
      </c>
    </row>
    <row r="35" spans="2:21" x14ac:dyDescent="0.2">
      <c r="B35" s="22" t="s">
        <v>92</v>
      </c>
      <c r="F35" s="2" t="s">
        <v>83</v>
      </c>
      <c r="L35" s="59">
        <f t="shared" ref="L35:Q35" si="0">L22*L23*L29</f>
        <v>0.12992293481546713</v>
      </c>
      <c r="M35" s="59">
        <f t="shared" si="0"/>
        <v>0.13527329467418148</v>
      </c>
      <c r="N35" s="59">
        <f t="shared" si="0"/>
        <v>0.10226588192911402</v>
      </c>
      <c r="O35" s="59">
        <f t="shared" si="0"/>
        <v>0.1017625441846524</v>
      </c>
      <c r="P35" s="59">
        <f t="shared" si="0"/>
        <v>9.0756055678004544E-2</v>
      </c>
      <c r="Q35" s="59">
        <f t="shared" si="0"/>
        <v>9.0756055678004544E-2</v>
      </c>
    </row>
    <row r="36" spans="2:21" x14ac:dyDescent="0.2">
      <c r="B36" s="22" t="s">
        <v>81</v>
      </c>
      <c r="F36" s="2" t="s">
        <v>83</v>
      </c>
      <c r="L36" s="58">
        <f>'Parameters in tariff decisions'!$N$23</f>
        <v>0.1463039109042138</v>
      </c>
      <c r="M36" s="58">
        <f>'Parameters in tariff decisions'!$N$23</f>
        <v>0.1463039109042138</v>
      </c>
      <c r="N36" s="58">
        <f>'Parameters in tariff decisions'!$O$23</f>
        <v>0.10627362416899222</v>
      </c>
      <c r="O36" s="58">
        <f>'Parameters in tariff decisions'!$O$23</f>
        <v>0.10627362416899222</v>
      </c>
      <c r="P36" s="58">
        <f>'Parameters in tariff decisions'!$O$23</f>
        <v>0.10627362416899222</v>
      </c>
      <c r="Q36" s="58">
        <f>'Parameters in tariff decisions'!$O$23</f>
        <v>0.10627362416899222</v>
      </c>
    </row>
    <row r="37" spans="2:21" x14ac:dyDescent="0.2">
      <c r="B37" s="2" t="s">
        <v>102</v>
      </c>
      <c r="F37" s="2" t="s">
        <v>83</v>
      </c>
      <c r="L37" s="59">
        <f t="shared" ref="L37:Q37" si="1">L35-L36</f>
        <v>-1.6380976088746668E-2</v>
      </c>
      <c r="M37" s="59">
        <f t="shared" si="1"/>
        <v>-1.103061623003232E-2</v>
      </c>
      <c r="N37" s="59">
        <f t="shared" si="1"/>
        <v>-4.0077422398781953E-3</v>
      </c>
      <c r="O37" s="59">
        <f t="shared" si="1"/>
        <v>-4.5110799843398192E-3</v>
      </c>
      <c r="P37" s="59">
        <f t="shared" si="1"/>
        <v>-1.5517568490987677E-2</v>
      </c>
      <c r="Q37" s="59">
        <f t="shared" si="1"/>
        <v>-1.5517568490987677E-2</v>
      </c>
      <c r="U37" s="22" t="s">
        <v>192</v>
      </c>
    </row>
    <row r="39" spans="2:21" x14ac:dyDescent="0.2">
      <c r="B39" s="1" t="s">
        <v>106</v>
      </c>
    </row>
    <row r="40" spans="2:21" x14ac:dyDescent="0.2">
      <c r="B40" s="22" t="s">
        <v>109</v>
      </c>
      <c r="F40" s="2" t="s">
        <v>52</v>
      </c>
      <c r="L40" s="35">
        <f t="shared" ref="L40:Q40" si="2">L37*L26</f>
        <v>-13213.779885891854</v>
      </c>
      <c r="M40" s="35">
        <f t="shared" si="2"/>
        <v>-8370.5610649275659</v>
      </c>
      <c r="N40" s="35">
        <f t="shared" si="2"/>
        <v>-2954.6358269898815</v>
      </c>
      <c r="O40" s="35">
        <f t="shared" si="2"/>
        <v>-3165.2534039718462</v>
      </c>
      <c r="P40" s="35">
        <f t="shared" si="2"/>
        <v>-11257.235579355502</v>
      </c>
      <c r="Q40" s="35">
        <f t="shared" si="2"/>
        <v>-10510.980193055413</v>
      </c>
    </row>
    <row r="41" spans="2:21" x14ac:dyDescent="0.2">
      <c r="B41" s="22" t="s">
        <v>108</v>
      </c>
      <c r="F41" s="2" t="s">
        <v>110</v>
      </c>
      <c r="H41" s="65">
        <f>L40+M40</f>
        <v>-21584.34095081942</v>
      </c>
    </row>
    <row r="42" spans="2:21" x14ac:dyDescent="0.2">
      <c r="B42" s="22" t="s">
        <v>107</v>
      </c>
      <c r="F42" s="2" t="s">
        <v>58</v>
      </c>
      <c r="H42" s="65">
        <f>SUM(N40:Q40)</f>
        <v>-27888.105003372642</v>
      </c>
    </row>
    <row r="43" spans="2:21" x14ac:dyDescent="0.2">
      <c r="B43" s="2" t="s">
        <v>111</v>
      </c>
      <c r="F43" s="2" t="s">
        <v>58</v>
      </c>
      <c r="H43" s="66">
        <f>H41*(1+H17)+H42</f>
        <v>-49537.198977044522</v>
      </c>
    </row>
    <row r="46" spans="2:21" x14ac:dyDescent="0.2">
      <c r="B46" s="2" t="s">
        <v>46</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H45"/>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27.85546875" style="2" customWidth="1"/>
    <col min="3" max="3" width="7.140625" style="2" customWidth="1"/>
    <col min="4" max="4" width="56.85546875" style="2" customWidth="1"/>
    <col min="5" max="5" width="29.85546875" style="2" customWidth="1"/>
    <col min="6" max="6" width="24.7109375" style="2" customWidth="1"/>
    <col min="7" max="7" width="37.28515625" style="2" customWidth="1"/>
    <col min="8" max="16384" width="9.140625" style="2"/>
  </cols>
  <sheetData>
    <row r="2" spans="2:8" s="8" customFormat="1" ht="18" x14ac:dyDescent="0.2">
      <c r="B2" s="8" t="s">
        <v>172</v>
      </c>
    </row>
    <row r="3" spans="2:8" x14ac:dyDescent="0.2">
      <c r="B3" s="37"/>
    </row>
    <row r="4" spans="2:8" s="9" customFormat="1" x14ac:dyDescent="0.2">
      <c r="B4" s="9" t="s">
        <v>10</v>
      </c>
    </row>
    <row r="6" spans="2:8" x14ac:dyDescent="0.2">
      <c r="B6" s="22" t="s">
        <v>178</v>
      </c>
    </row>
    <row r="7" spans="2:8" x14ac:dyDescent="0.2">
      <c r="B7" s="22"/>
      <c r="H7" s="29"/>
    </row>
    <row r="8" spans="2:8" x14ac:dyDescent="0.2">
      <c r="B8" s="1" t="s">
        <v>47</v>
      </c>
    </row>
    <row r="9" spans="2:8" x14ac:dyDescent="0.2">
      <c r="B9" s="22" t="s">
        <v>48</v>
      </c>
    </row>
    <row r="10" spans="2:8" x14ac:dyDescent="0.2">
      <c r="B10" s="22" t="s">
        <v>179</v>
      </c>
    </row>
    <row r="11" spans="2:8" x14ac:dyDescent="0.2">
      <c r="B11" s="22" t="s">
        <v>180</v>
      </c>
    </row>
    <row r="12" spans="2:8" x14ac:dyDescent="0.2">
      <c r="B12" s="22" t="s">
        <v>181</v>
      </c>
    </row>
    <row r="15" spans="2:8" s="9" customFormat="1" x14ac:dyDescent="0.2">
      <c r="B15" s="9" t="s">
        <v>173</v>
      </c>
    </row>
    <row r="16" spans="2:8" x14ac:dyDescent="0.2">
      <c r="C16" s="10"/>
    </row>
    <row r="17" spans="2:6" x14ac:dyDescent="0.2">
      <c r="B17" s="26" t="s">
        <v>11</v>
      </c>
      <c r="C17" s="10"/>
      <c r="D17" s="26" t="s">
        <v>12</v>
      </c>
      <c r="F17" s="13"/>
    </row>
    <row r="18" spans="2:6" x14ac:dyDescent="0.2">
      <c r="C18" s="10"/>
    </row>
    <row r="19" spans="2:6" x14ac:dyDescent="0.2">
      <c r="B19" s="32">
        <v>123</v>
      </c>
      <c r="C19" s="10"/>
      <c r="D19" s="22" t="s">
        <v>13</v>
      </c>
    </row>
    <row r="20" spans="2:6" x14ac:dyDescent="0.2">
      <c r="B20" s="34">
        <f>B19</f>
        <v>123</v>
      </c>
      <c r="C20" s="10"/>
      <c r="D20" s="2" t="s">
        <v>174</v>
      </c>
    </row>
    <row r="21" spans="2:6" x14ac:dyDescent="0.2">
      <c r="B21" s="35">
        <f>B20+B19</f>
        <v>246</v>
      </c>
      <c r="C21" s="10"/>
      <c r="D21" s="2" t="s">
        <v>14</v>
      </c>
    </row>
    <row r="22" spans="2:6" x14ac:dyDescent="0.2">
      <c r="B22" s="28">
        <f>B20+B21</f>
        <v>369</v>
      </c>
      <c r="C22" s="10"/>
      <c r="D22" s="22" t="s">
        <v>15</v>
      </c>
      <c r="E22" s="13"/>
      <c r="F22" s="6"/>
    </row>
    <row r="23" spans="2:6" x14ac:dyDescent="0.2">
      <c r="B23" s="14"/>
      <c r="C23" s="10"/>
      <c r="D23" s="22" t="s">
        <v>16</v>
      </c>
      <c r="E23" s="13"/>
    </row>
    <row r="24" spans="2:6" x14ac:dyDescent="0.2">
      <c r="B24" s="10"/>
      <c r="C24" s="10"/>
    </row>
    <row r="25" spans="2:6" x14ac:dyDescent="0.2">
      <c r="B25" s="27" t="s">
        <v>29</v>
      </c>
      <c r="C25" s="10"/>
    </row>
    <row r="26" spans="2:6" x14ac:dyDescent="0.2">
      <c r="B26" s="30">
        <f>B22+16</f>
        <v>385</v>
      </c>
      <c r="C26" s="10"/>
      <c r="D26" s="2" t="s">
        <v>17</v>
      </c>
    </row>
    <row r="27" spans="2:6" x14ac:dyDescent="0.2">
      <c r="B27" s="31">
        <f>B20*PI()</f>
        <v>386.41589639154455</v>
      </c>
      <c r="C27" s="15"/>
      <c r="D27" s="2" t="s">
        <v>175</v>
      </c>
    </row>
    <row r="28" spans="2:6" x14ac:dyDescent="0.2">
      <c r="B28" s="15"/>
      <c r="C28" s="15"/>
    </row>
    <row r="30" spans="2:6" x14ac:dyDescent="0.2">
      <c r="B30" s="26" t="s">
        <v>18</v>
      </c>
    </row>
    <row r="31" spans="2:6" x14ac:dyDescent="0.2">
      <c r="B31" s="1"/>
    </row>
    <row r="32" spans="2:6" x14ac:dyDescent="0.2">
      <c r="B32" s="27" t="s">
        <v>22</v>
      </c>
    </row>
    <row r="33" spans="2:4" x14ac:dyDescent="0.2">
      <c r="B33" s="28" t="s">
        <v>23</v>
      </c>
      <c r="C33" s="10"/>
      <c r="D33" s="22" t="s">
        <v>19</v>
      </c>
    </row>
    <row r="34" spans="2:4" x14ac:dyDescent="0.2">
      <c r="B34" s="32" t="s">
        <v>0</v>
      </c>
      <c r="C34" s="10"/>
      <c r="D34" s="22" t="s">
        <v>20</v>
      </c>
    </row>
    <row r="35" spans="2:4" x14ac:dyDescent="0.2">
      <c r="B35" s="35" t="s">
        <v>24</v>
      </c>
      <c r="C35" s="10"/>
      <c r="D35" s="22" t="s">
        <v>21</v>
      </c>
    </row>
    <row r="36" spans="2:4" x14ac:dyDescent="0.2">
      <c r="B36" s="31" t="s">
        <v>24</v>
      </c>
      <c r="C36" s="10"/>
      <c r="D36" s="22" t="s">
        <v>176</v>
      </c>
    </row>
    <row r="37" spans="2:4" x14ac:dyDescent="0.2">
      <c r="C37" s="10"/>
      <c r="D37" s="3"/>
    </row>
    <row r="38" spans="2:4" x14ac:dyDescent="0.2">
      <c r="B38" s="27" t="s">
        <v>25</v>
      </c>
      <c r="C38" s="10"/>
      <c r="D38" s="3"/>
    </row>
    <row r="39" spans="2:4" x14ac:dyDescent="0.2">
      <c r="B39" s="20" t="s">
        <v>1</v>
      </c>
      <c r="C39" s="10"/>
      <c r="D39" s="22" t="s">
        <v>27</v>
      </c>
    </row>
    <row r="40" spans="2:4" x14ac:dyDescent="0.2">
      <c r="B40" s="38" t="s">
        <v>26</v>
      </c>
      <c r="D40" s="22" t="s">
        <v>28</v>
      </c>
    </row>
    <row r="45" spans="2:4" x14ac:dyDescent="0.2">
      <c r="B45" s="2" t="s">
        <v>46</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21"/>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7.5703125" style="2" customWidth="1"/>
    <col min="3" max="3" width="37.42578125" style="2" customWidth="1"/>
    <col min="4" max="5" width="36.28515625" style="2" customWidth="1"/>
    <col min="6" max="6" width="94.85546875" style="2" customWidth="1"/>
    <col min="7" max="7" width="4.5703125" style="2" customWidth="1"/>
    <col min="8" max="16384" width="9.140625" style="2"/>
  </cols>
  <sheetData>
    <row r="2" spans="2:6" s="12" customFormat="1" ht="18" x14ac:dyDescent="0.2">
      <c r="B2" s="4" t="s">
        <v>30</v>
      </c>
    </row>
    <row r="4" spans="2:6" s="9" customFormat="1" x14ac:dyDescent="0.2">
      <c r="B4" s="9" t="s">
        <v>31</v>
      </c>
    </row>
    <row r="6" spans="2:6" x14ac:dyDescent="0.2">
      <c r="B6" s="5" t="s">
        <v>177</v>
      </c>
    </row>
    <row r="7" spans="2:6" x14ac:dyDescent="0.2">
      <c r="B7" s="5" t="s">
        <v>32</v>
      </c>
    </row>
    <row r="9" spans="2:6" x14ac:dyDescent="0.2">
      <c r="B9" s="16" t="s">
        <v>33</v>
      </c>
      <c r="C9" s="39" t="s">
        <v>34</v>
      </c>
      <c r="D9" s="39" t="s">
        <v>35</v>
      </c>
      <c r="E9" s="16" t="s">
        <v>40</v>
      </c>
      <c r="F9" s="39" t="s">
        <v>36</v>
      </c>
    </row>
    <row r="10" spans="2:6" x14ac:dyDescent="0.2">
      <c r="B10" s="17"/>
      <c r="C10" s="23" t="s">
        <v>37</v>
      </c>
      <c r="D10" s="23" t="s">
        <v>38</v>
      </c>
      <c r="E10" s="23" t="s">
        <v>9</v>
      </c>
      <c r="F10" s="23" t="s">
        <v>39</v>
      </c>
    </row>
    <row r="11" spans="2:6" x14ac:dyDescent="0.2">
      <c r="B11" s="24">
        <v>1</v>
      </c>
      <c r="C11" s="7" t="s">
        <v>68</v>
      </c>
      <c r="D11" s="7" t="s">
        <v>116</v>
      </c>
      <c r="E11" s="7" t="s">
        <v>114</v>
      </c>
      <c r="F11" s="47" t="s">
        <v>115</v>
      </c>
    </row>
    <row r="12" spans="2:6" x14ac:dyDescent="0.2">
      <c r="B12" s="7">
        <v>2</v>
      </c>
      <c r="C12" s="7" t="s">
        <v>69</v>
      </c>
      <c r="D12" s="7" t="s">
        <v>118</v>
      </c>
      <c r="E12" t="s">
        <v>119</v>
      </c>
      <c r="F12" s="47" t="s">
        <v>117</v>
      </c>
    </row>
    <row r="13" spans="2:6" x14ac:dyDescent="0.2">
      <c r="B13" s="7">
        <v>3</v>
      </c>
      <c r="C13" s="7" t="s">
        <v>70</v>
      </c>
      <c r="D13" s="24" t="s">
        <v>182</v>
      </c>
      <c r="E13" s="24" t="s">
        <v>183</v>
      </c>
      <c r="F13" s="47" t="s">
        <v>184</v>
      </c>
    </row>
    <row r="14" spans="2:6" x14ac:dyDescent="0.2">
      <c r="B14" s="7">
        <v>4</v>
      </c>
      <c r="C14" s="7" t="s">
        <v>71</v>
      </c>
      <c r="D14" s="7" t="s">
        <v>118</v>
      </c>
      <c r="E14" s="7" t="s">
        <v>121</v>
      </c>
      <c r="F14" s="47" t="s">
        <v>120</v>
      </c>
    </row>
    <row r="15" spans="2:6" x14ac:dyDescent="0.2">
      <c r="B15" s="7">
        <v>5</v>
      </c>
      <c r="C15" s="7" t="s">
        <v>127</v>
      </c>
      <c r="D15" s="7" t="s">
        <v>208</v>
      </c>
      <c r="E15" s="7"/>
      <c r="F15" s="7" t="s">
        <v>224</v>
      </c>
    </row>
    <row r="16" spans="2:6" x14ac:dyDescent="0.2">
      <c r="B16" s="7">
        <v>6</v>
      </c>
      <c r="C16" s="7" t="s">
        <v>128</v>
      </c>
      <c r="D16" s="7" t="s">
        <v>209</v>
      </c>
      <c r="E16" s="7"/>
      <c r="F16" s="7" t="s">
        <v>225</v>
      </c>
    </row>
    <row r="18" spans="2:5" x14ac:dyDescent="0.2">
      <c r="B18" s="27"/>
    </row>
    <row r="20" spans="2:5" x14ac:dyDescent="0.2">
      <c r="E20" s="46"/>
    </row>
    <row r="21" spans="2:5" x14ac:dyDescent="0.2">
      <c r="B21" s="2" t="s">
        <v>46</v>
      </c>
    </row>
  </sheetData>
  <hyperlinks>
    <hyperlink ref="F14" r:id="rId1"/>
    <hyperlink ref="F11" r:id="rId2"/>
    <hyperlink ref="F12" r:id="rId3"/>
    <hyperlink ref="F13" r:id="rId4"/>
  </hyperlinks>
  <pageMargins left="0.75" right="0.75" top="1" bottom="1" header="0.5" footer="0.5"/>
  <pageSetup paperSize="9"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J37"/>
  <sheetViews>
    <sheetView showGridLines="0" zoomScale="85" zoomScaleNormal="85" workbookViewId="0">
      <pane xSplit="6" ySplit="10" topLeftCell="G11" activePane="bottomRight" state="frozen"/>
      <selection activeCell="O39" sqref="O39"/>
      <selection pane="topRight" activeCell="O39" sqref="O39"/>
      <selection pane="bottomLeft" activeCell="O39" sqref="O39"/>
      <selection pane="bottomRight" activeCell="G11" sqref="G11"/>
    </sheetView>
  </sheetViews>
  <sheetFormatPr defaultRowHeight="12.75" x14ac:dyDescent="0.2"/>
  <cols>
    <col min="1" max="1" width="4.7109375" style="2" customWidth="1"/>
    <col min="2" max="2" width="56.42578125" style="2" customWidth="1"/>
    <col min="3" max="5" width="4.7109375" style="2" customWidth="1"/>
    <col min="6" max="6" width="20.28515625" style="2" customWidth="1"/>
    <col min="7" max="7" width="2.7109375" style="2" customWidth="1"/>
    <col min="8" max="8" width="13.7109375" style="2" customWidth="1"/>
    <col min="9" max="9" width="2.7109375" style="2" customWidth="1"/>
    <col min="10" max="22" width="13.7109375" style="2" customWidth="1"/>
    <col min="23" max="16384" width="9.140625" style="2"/>
  </cols>
  <sheetData>
    <row r="2" spans="2:10" s="18" customFormat="1" ht="18" x14ac:dyDescent="0.2">
      <c r="B2" s="18" t="s">
        <v>23</v>
      </c>
    </row>
    <row r="4" spans="2:10" x14ac:dyDescent="0.2">
      <c r="B4" s="26" t="s">
        <v>12</v>
      </c>
      <c r="C4" s="1"/>
      <c r="D4" s="1"/>
    </row>
    <row r="5" spans="2:10" x14ac:dyDescent="0.2">
      <c r="B5" s="22" t="s">
        <v>186</v>
      </c>
      <c r="C5" s="3"/>
      <c r="D5" s="3"/>
      <c r="H5" s="19"/>
    </row>
    <row r="6" spans="2:10" x14ac:dyDescent="0.2">
      <c r="B6" s="22" t="s">
        <v>185</v>
      </c>
      <c r="C6" s="3"/>
      <c r="D6" s="3"/>
      <c r="H6" s="19"/>
    </row>
    <row r="7" spans="2:10" x14ac:dyDescent="0.2">
      <c r="B7" s="22"/>
      <c r="C7" s="3"/>
      <c r="D7" s="3"/>
      <c r="H7" s="19"/>
    </row>
    <row r="9" spans="2:10" s="9" customFormat="1" x14ac:dyDescent="0.2">
      <c r="B9" s="9" t="s">
        <v>12</v>
      </c>
      <c r="F9" s="9" t="s">
        <v>41</v>
      </c>
      <c r="H9" s="9" t="s">
        <v>42</v>
      </c>
      <c r="J9" s="9" t="s">
        <v>62</v>
      </c>
    </row>
    <row r="12" spans="2:10" s="9" customFormat="1" x14ac:dyDescent="0.2">
      <c r="B12" s="9" t="s">
        <v>163</v>
      </c>
    </row>
    <row r="14" spans="2:10" x14ac:dyDescent="0.2">
      <c r="B14" s="1" t="s">
        <v>60</v>
      </c>
    </row>
    <row r="15" spans="2:10" x14ac:dyDescent="0.2">
      <c r="B15" s="22" t="s">
        <v>125</v>
      </c>
      <c r="F15" s="2" t="s">
        <v>57</v>
      </c>
      <c r="H15" s="58">
        <f>'Parameters in tariff decisions'!O24</f>
        <v>0.15147771275716165</v>
      </c>
    </row>
    <row r="16" spans="2:10" x14ac:dyDescent="0.2">
      <c r="B16" s="2" t="s">
        <v>153</v>
      </c>
      <c r="F16" s="2" t="s">
        <v>80</v>
      </c>
      <c r="H16" s="73">
        <f>'Parameters in tariff decisions'!M19</f>
        <v>0.23135346900146023</v>
      </c>
    </row>
    <row r="17" spans="2:10" x14ac:dyDescent="0.2">
      <c r="B17" s="22" t="s">
        <v>154</v>
      </c>
      <c r="F17" s="2" t="s">
        <v>50</v>
      </c>
      <c r="H17" s="42">
        <f>'Parameters in tariff decisions'!M20</f>
        <v>0.62142327748557913</v>
      </c>
    </row>
    <row r="18" spans="2:10" x14ac:dyDescent="0.2">
      <c r="B18" s="22" t="s">
        <v>214</v>
      </c>
      <c r="F18" s="2" t="s">
        <v>155</v>
      </c>
      <c r="H18" s="58">
        <f>'Fuel prices'!N39</f>
        <v>0.44264669093131348</v>
      </c>
    </row>
    <row r="19" spans="2:10" x14ac:dyDescent="0.2">
      <c r="B19" s="22" t="s">
        <v>187</v>
      </c>
      <c r="F19" s="2" t="s">
        <v>57</v>
      </c>
      <c r="H19" s="59">
        <f>H16*H17*H18</f>
        <v>6.3638620226843162E-2</v>
      </c>
    </row>
    <row r="20" spans="2:10" x14ac:dyDescent="0.2">
      <c r="B20" s="2" t="s">
        <v>188</v>
      </c>
      <c r="F20" s="2" t="s">
        <v>57</v>
      </c>
      <c r="H20" s="61">
        <f>H15+H19</f>
        <v>0.21511633298400482</v>
      </c>
    </row>
    <row r="22" spans="2:10" x14ac:dyDescent="0.2">
      <c r="B22" s="26" t="s">
        <v>54</v>
      </c>
    </row>
    <row r="23" spans="2:10" x14ac:dyDescent="0.2">
      <c r="B23" s="2" t="s">
        <v>51</v>
      </c>
      <c r="F23" s="2" t="s">
        <v>58</v>
      </c>
      <c r="H23" s="63">
        <f>'Fuel component correction'!H43</f>
        <v>-49537.198977044522</v>
      </c>
      <c r="J23" s="2" t="s">
        <v>63</v>
      </c>
    </row>
    <row r="24" spans="2:10" x14ac:dyDescent="0.2">
      <c r="B24" s="2" t="s">
        <v>55</v>
      </c>
      <c r="F24" s="2" t="s">
        <v>49</v>
      </c>
      <c r="H24" s="34">
        <f>'Parameters in tariff decisions'!O25</f>
        <v>8795161.8969195001</v>
      </c>
    </row>
    <row r="25" spans="2:10" x14ac:dyDescent="0.2">
      <c r="B25" s="2" t="s">
        <v>123</v>
      </c>
      <c r="F25" s="2" t="s">
        <v>50</v>
      </c>
      <c r="H25" s="42">
        <f>'Parameters in tariff decisions'!O26</f>
        <v>0.5</v>
      </c>
      <c r="J25" s="22"/>
    </row>
    <row r="26" spans="2:10" x14ac:dyDescent="0.2">
      <c r="B26" s="2" t="s">
        <v>56</v>
      </c>
      <c r="F26" s="2" t="s">
        <v>49</v>
      </c>
      <c r="H26" s="35">
        <f>H24*(1-H25)</f>
        <v>4397580.94845975</v>
      </c>
    </row>
    <row r="27" spans="2:10" x14ac:dyDescent="0.2">
      <c r="B27" s="2" t="s">
        <v>53</v>
      </c>
      <c r="F27" s="2" t="s">
        <v>57</v>
      </c>
      <c r="H27" s="61">
        <f>H23/H26</f>
        <v>-1.1264647440860616E-2</v>
      </c>
    </row>
    <row r="29" spans="2:10" x14ac:dyDescent="0.2">
      <c r="B29" s="1" t="s">
        <v>59</v>
      </c>
    </row>
    <row r="30" spans="2:10" x14ac:dyDescent="0.2">
      <c r="B30" s="2" t="s">
        <v>60</v>
      </c>
      <c r="F30" s="2" t="s">
        <v>57</v>
      </c>
      <c r="H30" s="58">
        <f>H20</f>
        <v>0.21511633298400482</v>
      </c>
    </row>
    <row r="31" spans="2:10" x14ac:dyDescent="0.2">
      <c r="B31" s="2" t="s">
        <v>126</v>
      </c>
      <c r="F31" s="2" t="s">
        <v>50</v>
      </c>
      <c r="H31" s="57">
        <f>'Parameters in tariff decisions'!O27</f>
        <v>5.2147912682161707E-2</v>
      </c>
    </row>
    <row r="32" spans="2:10" x14ac:dyDescent="0.2">
      <c r="B32" s="2" t="s">
        <v>61</v>
      </c>
      <c r="F32" s="2" t="s">
        <v>57</v>
      </c>
      <c r="H32" s="62">
        <f>(H30+H27)/(1-H31)</f>
        <v>0.21506697961702928</v>
      </c>
    </row>
    <row r="33" spans="2:2" x14ac:dyDescent="0.2">
      <c r="B33" s="6"/>
    </row>
    <row r="37" spans="2:2" x14ac:dyDescent="0.2">
      <c r="B37" s="2" t="s">
        <v>46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x14ac:dyDescent="0.2"/>
  <cols>
    <col min="1" max="16384" width="9.140625" style="20"/>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FFE1"/>
  </sheetPr>
  <dimension ref="A2:GE47"/>
  <sheetViews>
    <sheetView showGridLines="0" zoomScale="85" zoomScaleNormal="85" workbookViewId="0">
      <pane xSplit="4" ySplit="10" topLeftCell="E11" activePane="bottomRight" state="frozen"/>
      <selection pane="topRight" activeCell="E1" sqref="E1"/>
      <selection pane="bottomLeft" activeCell="A13" sqref="A13"/>
      <selection pane="bottomRight" activeCell="E11" sqref="E11"/>
    </sheetView>
  </sheetViews>
  <sheetFormatPr defaultRowHeight="12.75" x14ac:dyDescent="0.2"/>
  <cols>
    <col min="1" max="1" width="4.7109375" style="2" customWidth="1"/>
    <col min="2" max="2" width="48.28515625" style="2" customWidth="1"/>
    <col min="3" max="3" width="14.85546875" style="2" customWidth="1"/>
    <col min="4" max="5" width="4.5703125" style="2" customWidth="1"/>
    <col min="6" max="6" width="9.5703125" style="2" bestFit="1" customWidth="1"/>
    <col min="7" max="7" width="4.5703125" style="2" customWidth="1"/>
    <col min="8" max="8" width="19.140625" style="2" customWidth="1"/>
    <col min="9" max="9" width="2.7109375" style="2" customWidth="1"/>
    <col min="10" max="10" width="19.140625" style="2" customWidth="1"/>
    <col min="11" max="11" width="2.7109375" style="2" customWidth="1"/>
    <col min="12" max="12" width="19.140625" style="2" customWidth="1"/>
    <col min="13" max="13" width="2.7109375" style="2" customWidth="1"/>
    <col min="14" max="14" width="13.7109375" style="2" customWidth="1"/>
    <col min="15" max="15" width="2.7109375" style="2" customWidth="1"/>
    <col min="16" max="16" width="13.7109375" style="2" customWidth="1"/>
    <col min="17" max="17" width="2.7109375" style="2" customWidth="1"/>
    <col min="18" max="18" width="14.5703125" style="2" customWidth="1"/>
    <col min="19" max="19" width="3" style="2" customWidth="1"/>
    <col min="20" max="20" width="28.5703125" style="2" bestFit="1" customWidth="1"/>
    <col min="21" max="22" width="2.85546875" style="2" customWidth="1"/>
    <col min="23" max="24" width="14.5703125" style="2" customWidth="1"/>
    <col min="25" max="36" width="13.7109375" style="2" customWidth="1"/>
    <col min="37" max="16384" width="9.140625" style="2"/>
  </cols>
  <sheetData>
    <row r="2" spans="1:187" s="18" customFormat="1" ht="18" x14ac:dyDescent="0.2">
      <c r="B2" s="18" t="s">
        <v>136</v>
      </c>
    </row>
    <row r="4" spans="1:187" x14ac:dyDescent="0.2">
      <c r="B4" s="26" t="s">
        <v>65</v>
      </c>
      <c r="C4" s="1"/>
      <c r="D4" s="1"/>
    </row>
    <row r="5" spans="1:187" x14ac:dyDescent="0.2">
      <c r="B5" s="22" t="s">
        <v>150</v>
      </c>
      <c r="C5" s="3"/>
      <c r="D5" s="3"/>
      <c r="N5" s="19"/>
    </row>
    <row r="6" spans="1:187" x14ac:dyDescent="0.2">
      <c r="B6" s="22" t="s">
        <v>222</v>
      </c>
      <c r="C6" s="3"/>
      <c r="D6" s="3"/>
      <c r="N6" s="19"/>
    </row>
    <row r="7" spans="1:187" x14ac:dyDescent="0.2">
      <c r="B7" s="22"/>
      <c r="C7" s="3"/>
      <c r="D7" s="3"/>
      <c r="N7" s="19"/>
    </row>
    <row r="9" spans="1:187" s="9" customFormat="1" ht="25.5" x14ac:dyDescent="0.2">
      <c r="B9" s="9" t="s">
        <v>12</v>
      </c>
      <c r="F9" s="9" t="s">
        <v>42</v>
      </c>
      <c r="H9" s="43" t="s">
        <v>202</v>
      </c>
      <c r="J9" s="43" t="s">
        <v>143</v>
      </c>
      <c r="L9" s="43" t="s">
        <v>205</v>
      </c>
      <c r="N9" s="43" t="s">
        <v>144</v>
      </c>
      <c r="P9" s="43" t="s">
        <v>145</v>
      </c>
      <c r="R9" s="9" t="s">
        <v>135</v>
      </c>
      <c r="T9" s="43" t="s">
        <v>146</v>
      </c>
      <c r="W9" s="51" t="s">
        <v>44</v>
      </c>
    </row>
    <row r="12" spans="1:187" x14ac:dyDescent="0.2">
      <c r="B12" s="1" t="s">
        <v>204</v>
      </c>
      <c r="F12" s="55">
        <v>3.7854117839999999</v>
      </c>
    </row>
    <row r="14" spans="1:187" customFormat="1" x14ac:dyDescent="0.2">
      <c r="A14" s="9"/>
      <c r="B14" s="9" t="s">
        <v>128</v>
      </c>
      <c r="C14" s="9"/>
      <c r="D14" s="9"/>
      <c r="E14" s="9"/>
      <c r="F14" s="9"/>
      <c r="G14" s="9"/>
      <c r="H14" s="9"/>
      <c r="I14" s="9"/>
      <c r="J14" s="9"/>
      <c r="K14" s="9"/>
      <c r="L14" s="9"/>
      <c r="M14" s="9"/>
      <c r="N14" s="9"/>
      <c r="O14" s="9"/>
      <c r="P14" s="9"/>
      <c r="Q14" s="9"/>
      <c r="R14" s="9"/>
      <c r="S14" s="9"/>
      <c r="T14" s="9"/>
      <c r="U14" s="9"/>
      <c r="V14" s="9"/>
      <c r="W14" s="51"/>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row>
    <row r="15" spans="1:187" customFormat="1" x14ac:dyDescent="0.2">
      <c r="A15" s="2"/>
      <c r="B15" s="2"/>
      <c r="C15" s="2"/>
      <c r="D15" s="2"/>
      <c r="E15" s="2"/>
      <c r="F15" s="2"/>
      <c r="G15" s="2"/>
      <c r="H15" s="2"/>
      <c r="I15" s="2"/>
      <c r="J15" s="2"/>
      <c r="K15" s="2"/>
      <c r="L15" s="2"/>
      <c r="M15" s="2"/>
      <c r="N15" s="2"/>
      <c r="O15" s="2"/>
      <c r="P15" s="2"/>
      <c r="Q15" s="2"/>
      <c r="R15" s="2"/>
      <c r="S15" s="2"/>
      <c r="T15" s="2"/>
      <c r="U15" s="2"/>
      <c r="V15" s="2"/>
      <c r="W15" s="5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customFormat="1" x14ac:dyDescent="0.2">
      <c r="A16" s="2"/>
      <c r="B16" s="1" t="s">
        <v>129</v>
      </c>
      <c r="C16" s="1" t="s">
        <v>130</v>
      </c>
      <c r="D16" s="2"/>
      <c r="E16" s="2"/>
      <c r="F16" s="2"/>
      <c r="G16" s="2"/>
      <c r="H16" s="2"/>
      <c r="I16" s="2"/>
      <c r="J16" s="2"/>
      <c r="K16" s="2"/>
      <c r="L16" s="2"/>
      <c r="M16" s="2"/>
      <c r="N16" s="2"/>
      <c r="O16" s="2"/>
      <c r="P16" s="2"/>
      <c r="Q16" s="2"/>
      <c r="R16" s="2"/>
      <c r="S16" s="2"/>
      <c r="T16" s="2"/>
      <c r="U16" s="2"/>
      <c r="V16" s="2"/>
      <c r="W16" s="5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customFormat="1" x14ac:dyDescent="0.2">
      <c r="A17" s="2"/>
      <c r="B17" s="32" t="s">
        <v>195</v>
      </c>
      <c r="C17" s="53">
        <v>43714</v>
      </c>
      <c r="D17" s="2"/>
      <c r="E17" s="2"/>
      <c r="F17" s="2"/>
      <c r="G17" s="2"/>
      <c r="H17" s="68"/>
      <c r="I17" s="2"/>
      <c r="J17" s="54">
        <v>133200</v>
      </c>
      <c r="K17" s="2"/>
      <c r="L17" s="68"/>
      <c r="M17" s="2"/>
      <c r="N17" s="55">
        <v>0.73919999999999997</v>
      </c>
      <c r="O17" s="2"/>
      <c r="P17" s="41">
        <f>J17*N17</f>
        <v>98461.440000000002</v>
      </c>
      <c r="Q17" s="2"/>
      <c r="R17" s="32" t="s">
        <v>156</v>
      </c>
      <c r="S17" s="2"/>
      <c r="T17" s="2"/>
      <c r="U17" s="2"/>
      <c r="V17" s="2"/>
      <c r="W17" s="5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customFormat="1" x14ac:dyDescent="0.2">
      <c r="A18" s="2"/>
      <c r="B18" s="32" t="s">
        <v>196</v>
      </c>
      <c r="C18" s="53">
        <v>43733</v>
      </c>
      <c r="D18" s="2"/>
      <c r="E18" s="2"/>
      <c r="F18" s="2"/>
      <c r="G18" s="2"/>
      <c r="H18" s="68"/>
      <c r="I18" s="2"/>
      <c r="J18" s="54">
        <v>116000</v>
      </c>
      <c r="K18" s="2"/>
      <c r="L18" s="68"/>
      <c r="M18" s="2"/>
      <c r="N18" s="55">
        <v>0.73919999999999997</v>
      </c>
      <c r="O18" s="2"/>
      <c r="P18" s="41">
        <f>J18*N18</f>
        <v>85747.199999999997</v>
      </c>
      <c r="Q18" s="2"/>
      <c r="R18" s="32" t="s">
        <v>156</v>
      </c>
      <c r="S18" s="2"/>
      <c r="T18" s="2"/>
      <c r="U18" s="2"/>
      <c r="V18" s="2"/>
      <c r="W18" s="5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x14ac:dyDescent="0.2">
      <c r="T19" s="40">
        <f>SUMPRODUCT(J17:J18,N17:N18)/SUMPRODUCT(J17:J18)</f>
        <v>0.73920000000000008</v>
      </c>
      <c r="W19" s="52" t="s">
        <v>160</v>
      </c>
    </row>
    <row r="20" spans="1:187" customFormat="1" x14ac:dyDescent="0.2">
      <c r="A20" s="2"/>
      <c r="B20" s="32" t="s">
        <v>197</v>
      </c>
      <c r="C20" s="53">
        <v>43759</v>
      </c>
      <c r="D20" s="2"/>
      <c r="E20" s="2"/>
      <c r="F20" s="2"/>
      <c r="G20" s="2"/>
      <c r="H20" s="68"/>
      <c r="I20" s="2"/>
      <c r="J20" s="54">
        <v>55509</v>
      </c>
      <c r="K20" s="2"/>
      <c r="L20" s="68"/>
      <c r="M20" s="2"/>
      <c r="N20" s="55">
        <v>0.73919999999999997</v>
      </c>
      <c r="O20" s="2"/>
      <c r="P20" s="41">
        <f>J20*N20</f>
        <v>41032.252799999995</v>
      </c>
      <c r="Q20" s="2"/>
      <c r="R20" s="32" t="s">
        <v>157</v>
      </c>
      <c r="S20" s="2"/>
      <c r="T20" s="2"/>
      <c r="U20" s="2"/>
      <c r="V20" s="2"/>
      <c r="W20" s="5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row>
    <row r="21" spans="1:187" customFormat="1" x14ac:dyDescent="0.2">
      <c r="A21" s="2"/>
      <c r="B21" s="32" t="s">
        <v>197</v>
      </c>
      <c r="C21" s="53">
        <v>43759</v>
      </c>
      <c r="D21" s="2"/>
      <c r="E21" s="2"/>
      <c r="F21" s="2"/>
      <c r="G21" s="2"/>
      <c r="H21" s="68"/>
      <c r="I21" s="2"/>
      <c r="J21" s="54">
        <v>6491</v>
      </c>
      <c r="K21" s="2"/>
      <c r="L21" s="68"/>
      <c r="M21" s="2"/>
      <c r="N21" s="55">
        <v>0.77880000000000005</v>
      </c>
      <c r="O21" s="2"/>
      <c r="P21" s="41">
        <f>J21*N21</f>
        <v>5055.1908000000003</v>
      </c>
      <c r="Q21" s="2"/>
      <c r="R21" s="32" t="s">
        <v>157</v>
      </c>
      <c r="S21" s="2"/>
      <c r="T21" s="2"/>
      <c r="U21" s="2"/>
      <c r="V21" s="2"/>
      <c r="W21" s="5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row>
    <row r="22" spans="1:187" customFormat="1" x14ac:dyDescent="0.2">
      <c r="A22" s="2"/>
      <c r="B22" s="32" t="s">
        <v>198</v>
      </c>
      <c r="C22" s="53">
        <v>43761</v>
      </c>
      <c r="D22" s="2"/>
      <c r="E22" s="2"/>
      <c r="F22" s="2"/>
      <c r="G22" s="2"/>
      <c r="H22" s="68"/>
      <c r="I22" s="2"/>
      <c r="J22" s="54">
        <v>88800</v>
      </c>
      <c r="K22" s="2"/>
      <c r="L22" s="68"/>
      <c r="M22" s="2"/>
      <c r="N22" s="55">
        <v>0.77880000000000005</v>
      </c>
      <c r="O22" s="2"/>
      <c r="P22" s="41">
        <f>J22*N22</f>
        <v>69157.440000000002</v>
      </c>
      <c r="Q22" s="2"/>
      <c r="R22" s="32" t="s">
        <v>157</v>
      </c>
      <c r="S22" s="2"/>
      <c r="T22" s="2"/>
      <c r="U22" s="2"/>
      <c r="V22" s="2"/>
      <c r="W22" s="5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187" customFormat="1" x14ac:dyDescent="0.2">
      <c r="A23" s="2"/>
      <c r="B23" s="32" t="s">
        <v>199</v>
      </c>
      <c r="C23" s="53">
        <v>43766</v>
      </c>
      <c r="D23" s="2"/>
      <c r="E23" s="2"/>
      <c r="F23" s="2"/>
      <c r="G23" s="2"/>
      <c r="H23" s="68"/>
      <c r="I23" s="2"/>
      <c r="J23" s="54">
        <v>43700</v>
      </c>
      <c r="K23" s="2"/>
      <c r="L23" s="68"/>
      <c r="M23" s="2"/>
      <c r="N23" s="55">
        <v>0.77880000000000005</v>
      </c>
      <c r="O23" s="2"/>
      <c r="P23" s="41">
        <f>J23*N23</f>
        <v>34033.560000000005</v>
      </c>
      <c r="Q23" s="2"/>
      <c r="R23" s="32" t="s">
        <v>157</v>
      </c>
      <c r="S23" s="2"/>
      <c r="T23" s="2"/>
      <c r="U23" s="2"/>
      <c r="V23" s="2"/>
      <c r="W23" s="5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row>
    <row r="24" spans="1:187" customFormat="1" x14ac:dyDescent="0.2">
      <c r="A24" s="2"/>
      <c r="B24" s="32" t="s">
        <v>200</v>
      </c>
      <c r="C24" s="53">
        <v>43769</v>
      </c>
      <c r="D24" s="2"/>
      <c r="E24" s="2"/>
      <c r="F24" s="2"/>
      <c r="G24" s="2"/>
      <c r="H24" s="68"/>
      <c r="I24" s="2"/>
      <c r="J24" s="54">
        <v>45500</v>
      </c>
      <c r="K24" s="2"/>
      <c r="L24" s="68"/>
      <c r="M24" s="2"/>
      <c r="N24" s="55">
        <v>0.77880000000000005</v>
      </c>
      <c r="O24" s="2"/>
      <c r="P24" s="41">
        <f>J24*N24</f>
        <v>35435.4</v>
      </c>
      <c r="Q24" s="2"/>
      <c r="R24" s="32" t="s">
        <v>157</v>
      </c>
      <c r="S24" s="2"/>
      <c r="T24" s="2"/>
      <c r="U24" s="2"/>
      <c r="V24" s="2"/>
      <c r="W24" s="5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1:187" x14ac:dyDescent="0.2">
      <c r="T25" s="40">
        <f>SUMPRODUCT(J20:J24,N20:N24)/SUMPRODUCT(J20:J24)</f>
        <v>0.76964101499999993</v>
      </c>
      <c r="W25" s="52" t="s">
        <v>159</v>
      </c>
    </row>
    <row r="26" spans="1:187" customFormat="1" x14ac:dyDescent="0.2">
      <c r="A26" s="2"/>
      <c r="B26" s="32" t="s">
        <v>201</v>
      </c>
      <c r="C26" s="53">
        <v>43793</v>
      </c>
      <c r="D26" s="2"/>
      <c r="E26" s="2"/>
      <c r="F26" s="2"/>
      <c r="G26" s="2"/>
      <c r="H26" s="68"/>
      <c r="I26" s="2"/>
      <c r="J26" s="54">
        <v>16400</v>
      </c>
      <c r="K26" s="2"/>
      <c r="L26" s="68"/>
      <c r="M26" s="2"/>
      <c r="N26" s="55">
        <v>0.77880000000000005</v>
      </c>
      <c r="O26" s="2"/>
      <c r="P26" s="41">
        <f>J26*N26</f>
        <v>12772.320000000002</v>
      </c>
      <c r="Q26" s="2"/>
      <c r="R26" s="32" t="s">
        <v>131</v>
      </c>
      <c r="S26" s="2"/>
      <c r="T26" s="2"/>
      <c r="U26" s="2"/>
      <c r="V26" s="2"/>
      <c r="W26" s="5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row>
    <row r="27" spans="1:187" customFormat="1" x14ac:dyDescent="0.2">
      <c r="A27" s="2"/>
      <c r="B27" s="32" t="s">
        <v>206</v>
      </c>
      <c r="C27" s="53">
        <v>43794</v>
      </c>
      <c r="D27" s="2"/>
      <c r="E27" s="2"/>
      <c r="F27" s="2"/>
      <c r="G27" s="2"/>
      <c r="H27" s="54">
        <v>83500</v>
      </c>
      <c r="I27" s="2"/>
      <c r="J27" s="35">
        <f>H27*$F$12</f>
        <v>316081.88396399998</v>
      </c>
      <c r="K27" s="2"/>
      <c r="L27" s="55">
        <v>2.6793999999999998</v>
      </c>
      <c r="M27" s="2"/>
      <c r="N27" s="59">
        <f>L27/$F$12</f>
        <v>0.70782259708842288</v>
      </c>
      <c r="O27" s="2"/>
      <c r="P27" s="41">
        <f>J27*N27</f>
        <v>223729.9</v>
      </c>
      <c r="Q27" s="2"/>
      <c r="R27" s="32" t="s">
        <v>131</v>
      </c>
      <c r="S27" s="2"/>
      <c r="T27" s="2"/>
      <c r="U27" s="2"/>
      <c r="V27" s="2"/>
      <c r="W27" s="5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row>
    <row r="28" spans="1:187" x14ac:dyDescent="0.2">
      <c r="T28" s="40">
        <f>SUMPRODUCT(J26:J27,N26:N27)/SUMPRODUCT(J26:J27)</f>
        <v>0.71132362816377592</v>
      </c>
      <c r="W28" s="52" t="s">
        <v>158</v>
      </c>
    </row>
    <row r="29" spans="1:187" customFormat="1" x14ac:dyDescent="0.2">
      <c r="A29" s="2"/>
      <c r="B29" s="69" t="s">
        <v>132</v>
      </c>
      <c r="C29" s="70"/>
      <c r="D29" s="2"/>
      <c r="E29" s="2"/>
      <c r="F29" s="2"/>
      <c r="G29" s="2"/>
      <c r="H29" s="68"/>
      <c r="I29" s="2"/>
      <c r="J29" s="68"/>
      <c r="K29" s="2"/>
      <c r="L29" s="68"/>
      <c r="M29" s="2"/>
      <c r="N29" s="71"/>
      <c r="O29" s="2"/>
      <c r="P29" s="69">
        <f>J29*N29</f>
        <v>0</v>
      </c>
      <c r="Q29" s="2"/>
      <c r="R29" s="32" t="s">
        <v>132</v>
      </c>
      <c r="S29" s="2"/>
      <c r="T29" s="2"/>
      <c r="U29" s="2"/>
      <c r="V29" s="2"/>
      <c r="W29" s="5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row>
    <row r="30" spans="1:187" x14ac:dyDescent="0.2">
      <c r="T30" s="67">
        <f>N27</f>
        <v>0.70782259708842288</v>
      </c>
      <c r="W30" s="52" t="s">
        <v>211</v>
      </c>
    </row>
    <row r="31" spans="1:187" customFormat="1" x14ac:dyDescent="0.2">
      <c r="A31" s="2"/>
      <c r="B31" s="32" t="s">
        <v>207</v>
      </c>
      <c r="C31" s="53">
        <v>43861</v>
      </c>
      <c r="D31" s="2"/>
      <c r="E31" s="2"/>
      <c r="F31" s="2"/>
      <c r="G31" s="2"/>
      <c r="H31" s="54">
        <v>89500</v>
      </c>
      <c r="I31" s="2"/>
      <c r="J31" s="35">
        <f>H31*$F$12</f>
        <v>338794.35466800001</v>
      </c>
      <c r="K31" s="2"/>
      <c r="L31" s="55">
        <v>2.3896000000000002</v>
      </c>
      <c r="M31" s="2"/>
      <c r="N31" s="59">
        <f>L31/$F$12</f>
        <v>0.63126553631503146</v>
      </c>
      <c r="O31" s="2"/>
      <c r="P31" s="41">
        <f>J31*N31</f>
        <v>213869.2</v>
      </c>
      <c r="Q31" s="2"/>
      <c r="R31" s="32" t="s">
        <v>133</v>
      </c>
      <c r="S31" s="2"/>
      <c r="T31" s="2"/>
      <c r="U31" s="2"/>
      <c r="V31" s="2"/>
      <c r="W31" s="5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row>
    <row r="32" spans="1:187" x14ac:dyDescent="0.2">
      <c r="T32" s="40">
        <f>SUMPRODUCT(J31,N31)/SUMPRODUCT(J31)</f>
        <v>0.63126553631503146</v>
      </c>
      <c r="W32" s="52" t="s">
        <v>161</v>
      </c>
    </row>
    <row r="33" spans="1:187" customFormat="1" x14ac:dyDescent="0.2">
      <c r="A33" s="2"/>
      <c r="B33" s="69" t="s">
        <v>134</v>
      </c>
      <c r="C33" s="69"/>
      <c r="D33" s="2"/>
      <c r="E33" s="2"/>
      <c r="F33" s="2"/>
      <c r="G33" s="2"/>
      <c r="H33" s="68"/>
      <c r="I33" s="2"/>
      <c r="J33" s="68"/>
      <c r="K33" s="2"/>
      <c r="L33" s="68"/>
      <c r="M33" s="2"/>
      <c r="N33" s="68"/>
      <c r="O33" s="2"/>
      <c r="P33" s="41">
        <f>J33*N33</f>
        <v>0</v>
      </c>
      <c r="Q33" s="2"/>
      <c r="R33" s="32" t="s">
        <v>134</v>
      </c>
      <c r="S33" s="2"/>
      <c r="T33" s="2"/>
      <c r="U33" s="2"/>
      <c r="V33" s="2"/>
      <c r="W33" s="5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row>
    <row r="34" spans="1:187" x14ac:dyDescent="0.2">
      <c r="T34" s="67">
        <f>T32</f>
        <v>0.63126553631503146</v>
      </c>
      <c r="W34" s="52" t="s">
        <v>210</v>
      </c>
    </row>
    <row r="35" spans="1:187" x14ac:dyDescent="0.2">
      <c r="W35" s="52"/>
    </row>
    <row r="36" spans="1:187" s="9" customFormat="1" ht="25.5" x14ac:dyDescent="0.2">
      <c r="B36" s="9" t="s">
        <v>89</v>
      </c>
      <c r="J36" s="43"/>
      <c r="L36" s="43" t="s">
        <v>203</v>
      </c>
      <c r="N36" s="43" t="s">
        <v>144</v>
      </c>
    </row>
    <row r="37" spans="1:187" x14ac:dyDescent="0.2">
      <c r="W37" s="52"/>
    </row>
    <row r="38" spans="1:187" customFormat="1" x14ac:dyDescent="0.2">
      <c r="A38" s="2"/>
      <c r="B38" s="1" t="s">
        <v>129</v>
      </c>
      <c r="C38" s="1" t="s">
        <v>130</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row>
    <row r="39" spans="1:187" x14ac:dyDescent="0.2">
      <c r="B39" s="32" t="s">
        <v>215</v>
      </c>
      <c r="C39" s="53">
        <v>43980</v>
      </c>
      <c r="L39" s="55">
        <v>1.6756</v>
      </c>
      <c r="N39" s="59">
        <f>L39/F12</f>
        <v>0.44264669093131348</v>
      </c>
    </row>
    <row r="40" spans="1:187" customFormat="1" x14ac:dyDescent="0.2">
      <c r="A40" s="2"/>
      <c r="B40" s="2"/>
      <c r="C40" s="2"/>
      <c r="D40" s="2"/>
      <c r="E40" s="2"/>
      <c r="F40" s="2"/>
      <c r="G40" s="2"/>
      <c r="H40" s="2"/>
      <c r="I40" s="2"/>
      <c r="J40" s="2"/>
      <c r="K40" s="2"/>
      <c r="L40" s="2"/>
      <c r="M40" s="2"/>
      <c r="N40" s="2"/>
      <c r="O40" s="2"/>
      <c r="P40" s="2"/>
      <c r="Q40" s="2"/>
      <c r="R40" s="2"/>
      <c r="S40" s="2"/>
      <c r="T40" s="2"/>
      <c r="U40" s="2"/>
      <c r="V40" s="2"/>
      <c r="W40" s="5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row>
    <row r="41" spans="1:187" customFormat="1" x14ac:dyDescent="0.2">
      <c r="A41" s="2"/>
      <c r="B41" s="2"/>
      <c r="C41" s="2"/>
      <c r="D41" s="2"/>
      <c r="E41" s="2"/>
      <c r="F41" s="2"/>
      <c r="G41" s="2"/>
      <c r="H41" s="2"/>
      <c r="I41" s="2"/>
      <c r="J41" s="2"/>
      <c r="K41" s="2"/>
      <c r="L41" s="2"/>
      <c r="M41" s="2"/>
      <c r="N41" s="2"/>
      <c r="O41" s="2"/>
      <c r="P41" s="2"/>
      <c r="Q41" s="2"/>
      <c r="R41" s="2"/>
      <c r="S41" s="2"/>
      <c r="T41" s="2"/>
      <c r="U41" s="2"/>
      <c r="V41" s="2"/>
      <c r="W41" s="5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row>
    <row r="42" spans="1:187" customFormat="1" x14ac:dyDescent="0.2">
      <c r="A42" s="2"/>
      <c r="B42" s="2" t="s">
        <v>46</v>
      </c>
      <c r="C42" s="2"/>
      <c r="D42" s="2"/>
      <c r="E42" s="2"/>
      <c r="F42" s="2"/>
      <c r="G42" s="2"/>
      <c r="H42" s="2"/>
      <c r="I42" s="2"/>
      <c r="J42" s="2"/>
      <c r="K42" s="2"/>
      <c r="L42" s="2"/>
      <c r="M42" s="2"/>
      <c r="N42" s="2"/>
      <c r="O42" s="2"/>
      <c r="P42" s="2"/>
      <c r="Q42" s="2"/>
      <c r="R42" s="2"/>
      <c r="S42" s="2"/>
      <c r="T42" s="2"/>
      <c r="U42" s="2"/>
      <c r="V42" s="2"/>
      <c r="W42" s="5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1:187" customFormat="1" x14ac:dyDescent="0.2">
      <c r="A43" s="2"/>
      <c r="B43" s="2"/>
      <c r="C43" s="2"/>
      <c r="D43" s="2"/>
      <c r="E43" s="2"/>
      <c r="F43" s="2"/>
      <c r="G43" s="2"/>
      <c r="H43" s="2"/>
      <c r="I43" s="2"/>
      <c r="J43" s="2"/>
      <c r="K43" s="2"/>
      <c r="L43" s="2"/>
      <c r="M43" s="2"/>
      <c r="N43" s="2"/>
      <c r="O43" s="2"/>
      <c r="P43" s="2"/>
      <c r="Q43" s="2"/>
      <c r="R43" s="2"/>
      <c r="S43" s="2"/>
      <c r="T43" s="2"/>
      <c r="U43" s="2"/>
      <c r="V43" s="2"/>
      <c r="W43" s="5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1:187" customFormat="1" x14ac:dyDescent="0.2">
      <c r="A44" s="2"/>
      <c r="B44" s="2"/>
      <c r="C44" s="2"/>
      <c r="D44" s="2"/>
      <c r="E44" s="2"/>
      <c r="F44" s="2"/>
      <c r="G44" s="2"/>
      <c r="H44" s="2"/>
      <c r="I44" s="2"/>
      <c r="J44" s="2"/>
      <c r="K44" s="2"/>
      <c r="L44" s="2"/>
      <c r="M44" s="2"/>
      <c r="N44" s="2"/>
      <c r="O44" s="2"/>
      <c r="P44" s="2"/>
      <c r="Q44" s="2"/>
      <c r="R44" s="2"/>
      <c r="S44" s="2"/>
      <c r="T44" s="2"/>
      <c r="U44" s="2"/>
      <c r="V44" s="2"/>
      <c r="W44" s="5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1:187" customFormat="1" x14ac:dyDescent="0.2">
      <c r="A45" s="2"/>
      <c r="B45" s="2"/>
      <c r="C45" s="2"/>
      <c r="D45" s="2"/>
      <c r="E45" s="2"/>
      <c r="F45" s="2"/>
      <c r="G45" s="2"/>
      <c r="H45" s="2"/>
      <c r="I45" s="2"/>
      <c r="J45" s="2"/>
      <c r="K45" s="2"/>
      <c r="L45" s="2"/>
      <c r="M45" s="2"/>
      <c r="N45" s="2"/>
      <c r="O45" s="2"/>
      <c r="P45" s="2"/>
      <c r="Q45" s="2"/>
      <c r="R45" s="2"/>
      <c r="S45" s="2"/>
      <c r="T45" s="2"/>
      <c r="U45" s="2"/>
      <c r="V45" s="2"/>
      <c r="W45" s="5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row>
    <row r="46" spans="1:187" customFormat="1" x14ac:dyDescent="0.2">
      <c r="A46" s="2"/>
      <c r="B46" s="2"/>
      <c r="C46" s="2"/>
      <c r="D46" s="2"/>
      <c r="E46" s="2"/>
      <c r="F46" s="2"/>
      <c r="G46" s="2"/>
      <c r="H46" s="2"/>
      <c r="I46" s="2"/>
      <c r="J46" s="2"/>
      <c r="K46" s="2"/>
      <c r="L46" s="2"/>
      <c r="M46" s="2"/>
      <c r="N46" s="2"/>
      <c r="O46" s="2"/>
      <c r="P46" s="2"/>
      <c r="Q46" s="2"/>
      <c r="R46" s="2"/>
      <c r="S46" s="2"/>
      <c r="T46" s="2"/>
      <c r="U46" s="2"/>
      <c r="V46" s="2"/>
      <c r="W46" s="5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row>
    <row r="47" spans="1:187" customFormat="1" x14ac:dyDescent="0.2">
      <c r="A47" s="2"/>
      <c r="B47" s="2"/>
      <c r="C47" s="2"/>
      <c r="D47" s="2"/>
      <c r="E47" s="2"/>
      <c r="F47" s="2"/>
      <c r="G47" s="2"/>
      <c r="H47" s="2"/>
      <c r="I47" s="2"/>
      <c r="J47" s="2"/>
      <c r="K47" s="2"/>
      <c r="L47" s="2"/>
      <c r="M47" s="2"/>
      <c r="N47" s="2"/>
      <c r="O47" s="2"/>
      <c r="P47" s="2"/>
      <c r="Q47" s="2"/>
      <c r="R47" s="2"/>
      <c r="S47" s="2"/>
      <c r="T47" s="2"/>
      <c r="U47" s="2"/>
      <c r="V47" s="2"/>
      <c r="W47" s="5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FFE1"/>
  </sheetPr>
  <dimension ref="B2:U19"/>
  <sheetViews>
    <sheetView showGridLines="0" zoomScale="85" zoomScaleNormal="85" workbookViewId="0">
      <pane xSplit="6" ySplit="9" topLeftCell="G10" activePane="bottomRight" state="frozen"/>
      <selection activeCell="R6" sqref="R6"/>
      <selection pane="topRight" activeCell="R6" sqref="R6"/>
      <selection pane="bottomLeft" activeCell="R6" sqref="R6"/>
      <selection pane="bottomRight" activeCell="G10" sqref="G10"/>
    </sheetView>
  </sheetViews>
  <sheetFormatPr defaultRowHeight="12.75" x14ac:dyDescent="0.2"/>
  <cols>
    <col min="1" max="1" width="4.7109375" style="2" customWidth="1"/>
    <col min="2" max="2" width="37.7109375" style="2" customWidth="1"/>
    <col min="3" max="3" width="4.7109375" style="2" customWidth="1"/>
    <col min="4" max="5" width="4.5703125" style="2" customWidth="1"/>
    <col min="6" max="6" width="11.28515625" style="2" customWidth="1"/>
    <col min="7" max="7" width="2.7109375" style="2" customWidth="1"/>
    <col min="8" max="8" width="11.42578125" style="2" customWidth="1"/>
    <col min="9" max="9" width="2.7109375" style="2" customWidth="1"/>
    <col min="10" max="10" width="11.42578125" style="2" customWidth="1"/>
    <col min="11" max="11" width="2.7109375" style="2" customWidth="1"/>
    <col min="12" max="17" width="16.710937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2:21" s="18" customFormat="1" ht="18" x14ac:dyDescent="0.2">
      <c r="B2" s="18" t="s">
        <v>64</v>
      </c>
    </row>
    <row r="4" spans="2:21" x14ac:dyDescent="0.2">
      <c r="B4" s="26" t="s">
        <v>65</v>
      </c>
      <c r="C4" s="1"/>
      <c r="D4" s="1"/>
    </row>
    <row r="5" spans="2:21" x14ac:dyDescent="0.2">
      <c r="B5" s="22" t="s">
        <v>213</v>
      </c>
      <c r="C5" s="3"/>
      <c r="D5" s="3"/>
      <c r="H5" s="19"/>
    </row>
    <row r="6" spans="2:21" x14ac:dyDescent="0.2">
      <c r="B6" s="5"/>
      <c r="C6" s="3"/>
      <c r="D6" s="3"/>
    </row>
    <row r="8" spans="2:21" s="9" customFormat="1" x14ac:dyDescent="0.2">
      <c r="B8" s="9" t="s">
        <v>12</v>
      </c>
      <c r="F8" s="9" t="s">
        <v>41</v>
      </c>
      <c r="H8" s="9" t="s">
        <v>42</v>
      </c>
      <c r="J8" s="9" t="s">
        <v>43</v>
      </c>
      <c r="L8" s="56" t="s">
        <v>137</v>
      </c>
      <c r="M8" s="56" t="s">
        <v>138</v>
      </c>
      <c r="N8" s="56" t="s">
        <v>139</v>
      </c>
      <c r="O8" s="56" t="s">
        <v>140</v>
      </c>
      <c r="P8" s="56" t="s">
        <v>141</v>
      </c>
      <c r="Q8" s="56" t="s">
        <v>142</v>
      </c>
      <c r="S8" s="9" t="s">
        <v>45</v>
      </c>
      <c r="U8" s="9" t="s">
        <v>44</v>
      </c>
    </row>
    <row r="11" spans="2:21" s="9" customFormat="1" x14ac:dyDescent="0.2">
      <c r="B11" s="9" t="s">
        <v>127</v>
      </c>
    </row>
    <row r="13" spans="2:21" x14ac:dyDescent="0.2">
      <c r="B13" s="1" t="s">
        <v>147</v>
      </c>
    </row>
    <row r="14" spans="2:21" x14ac:dyDescent="0.2">
      <c r="B14" s="22" t="s">
        <v>165</v>
      </c>
      <c r="F14" s="2" t="s">
        <v>49</v>
      </c>
      <c r="L14" s="32">
        <v>124286</v>
      </c>
      <c r="M14" s="32">
        <v>116445</v>
      </c>
      <c r="N14" s="32">
        <v>115294</v>
      </c>
      <c r="O14" s="32">
        <v>126164</v>
      </c>
      <c r="P14" s="32">
        <v>218318</v>
      </c>
      <c r="Q14" s="32">
        <v>287802</v>
      </c>
      <c r="S14" s="2" t="s">
        <v>149</v>
      </c>
    </row>
    <row r="15" spans="2:21" x14ac:dyDescent="0.2">
      <c r="B15" s="22" t="s">
        <v>166</v>
      </c>
      <c r="F15" s="2" t="s">
        <v>49</v>
      </c>
      <c r="L15" s="32">
        <v>682368</v>
      </c>
      <c r="M15" s="32">
        <v>642403</v>
      </c>
      <c r="N15" s="32">
        <v>621938</v>
      </c>
      <c r="O15" s="32">
        <v>575498</v>
      </c>
      <c r="P15" s="32">
        <v>507133</v>
      </c>
      <c r="Q15" s="32">
        <v>389558</v>
      </c>
      <c r="S15" s="2" t="s">
        <v>149</v>
      </c>
    </row>
    <row r="16" spans="2:21" x14ac:dyDescent="0.2">
      <c r="B16" s="2" t="s">
        <v>148</v>
      </c>
      <c r="F16" s="2" t="s">
        <v>49</v>
      </c>
      <c r="L16" s="35">
        <f t="shared" ref="L16:Q16" si="0">L14+L15</f>
        <v>806654</v>
      </c>
      <c r="M16" s="35">
        <f t="shared" si="0"/>
        <v>758848</v>
      </c>
      <c r="N16" s="35">
        <f t="shared" si="0"/>
        <v>737232</v>
      </c>
      <c r="O16" s="35">
        <f t="shared" si="0"/>
        <v>701662</v>
      </c>
      <c r="P16" s="35">
        <f t="shared" si="0"/>
        <v>725451</v>
      </c>
      <c r="Q16" s="35">
        <f t="shared" si="0"/>
        <v>677360</v>
      </c>
    </row>
    <row r="19" spans="2:2" x14ac:dyDescent="0.2">
      <c r="B19" s="2" t="s">
        <v>46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FFE1"/>
  </sheetPr>
  <dimension ref="B2:Q31"/>
  <sheetViews>
    <sheetView showGridLines="0" zoomScale="85" zoomScaleNormal="85" workbookViewId="0">
      <pane xSplit="6" ySplit="12" topLeftCell="G13" activePane="bottomRight" state="frozen"/>
      <selection activeCell="R6" sqref="R6"/>
      <selection pane="topRight" activeCell="R6" sqref="R6"/>
      <selection pane="bottomLeft" activeCell="R6" sqref="R6"/>
      <selection pane="bottomRight" activeCell="O23" sqref="O23"/>
    </sheetView>
  </sheetViews>
  <sheetFormatPr defaultRowHeight="12.75" x14ac:dyDescent="0.2"/>
  <cols>
    <col min="1" max="1" width="4.7109375" style="2" customWidth="1"/>
    <col min="2" max="2" width="40.28515625" style="2" customWidth="1"/>
    <col min="3" max="3" width="4.7109375" style="2" customWidth="1"/>
    <col min="4" max="5" width="4.5703125" style="2" customWidth="1"/>
    <col min="6" max="6" width="16.5703125" style="2" customWidth="1"/>
    <col min="7" max="7" width="2.7109375" style="2" customWidth="1"/>
    <col min="8" max="8" width="12.85546875" style="2" customWidth="1"/>
    <col min="9" max="9" width="2.7109375" style="2" customWidth="1"/>
    <col min="10" max="10" width="11.85546875" style="2" customWidth="1"/>
    <col min="11" max="11" width="2.28515625" style="2" customWidth="1"/>
    <col min="12" max="14" width="20.5703125" style="2" customWidth="1"/>
    <col min="15" max="15" width="21.140625" style="2" customWidth="1"/>
    <col min="16" max="16" width="2.7109375" style="2" customWidth="1"/>
    <col min="17" max="31" width="13.7109375" style="2" customWidth="1"/>
    <col min="32" max="16384" width="9.140625" style="2"/>
  </cols>
  <sheetData>
    <row r="2" spans="2:17" s="18" customFormat="1" ht="18" x14ac:dyDescent="0.2">
      <c r="B2" s="18" t="s">
        <v>76</v>
      </c>
    </row>
    <row r="4" spans="2:17" x14ac:dyDescent="0.2">
      <c r="B4" s="26" t="s">
        <v>65</v>
      </c>
      <c r="C4" s="1"/>
      <c r="D4" s="1"/>
    </row>
    <row r="5" spans="2:17" x14ac:dyDescent="0.2">
      <c r="B5" s="22" t="s">
        <v>151</v>
      </c>
      <c r="C5" s="3"/>
      <c r="D5" s="3"/>
      <c r="J5" s="19"/>
    </row>
    <row r="6" spans="2:17" x14ac:dyDescent="0.2">
      <c r="B6" s="22"/>
      <c r="C6" s="3"/>
      <c r="D6" s="3"/>
      <c r="J6" s="19"/>
    </row>
    <row r="7" spans="2:17" x14ac:dyDescent="0.2">
      <c r="B7" s="27" t="s">
        <v>66</v>
      </c>
      <c r="C7" s="3"/>
      <c r="D7" s="3"/>
      <c r="J7" s="19"/>
    </row>
    <row r="8" spans="2:17" x14ac:dyDescent="0.2">
      <c r="B8" s="5" t="s">
        <v>162</v>
      </c>
      <c r="C8" s="3"/>
      <c r="D8" s="3"/>
    </row>
    <row r="9" spans="2:17" x14ac:dyDescent="0.2">
      <c r="B9" s="5"/>
      <c r="C9" s="3"/>
      <c r="D9" s="3"/>
    </row>
    <row r="11" spans="2:17" s="9" customFormat="1" ht="25.5" x14ac:dyDescent="0.2">
      <c r="B11" s="9" t="s">
        <v>12</v>
      </c>
      <c r="F11" s="9" t="s">
        <v>41</v>
      </c>
      <c r="H11" s="9" t="s">
        <v>42</v>
      </c>
      <c r="J11" s="43" t="s">
        <v>67</v>
      </c>
      <c r="L11" s="44" t="s">
        <v>68</v>
      </c>
      <c r="M11" s="44" t="s">
        <v>69</v>
      </c>
      <c r="N11" s="44" t="s">
        <v>70</v>
      </c>
      <c r="O11" s="44" t="s">
        <v>71</v>
      </c>
      <c r="Q11" s="9" t="s">
        <v>44</v>
      </c>
    </row>
    <row r="14" spans="2:17" x14ac:dyDescent="0.2">
      <c r="B14" s="2" t="s">
        <v>45</v>
      </c>
      <c r="L14" s="2" t="s">
        <v>72</v>
      </c>
      <c r="M14" s="2" t="s">
        <v>73</v>
      </c>
      <c r="N14" s="2" t="s">
        <v>74</v>
      </c>
      <c r="O14" s="2" t="s">
        <v>75</v>
      </c>
    </row>
    <row r="16" spans="2:17" s="9" customFormat="1" x14ac:dyDescent="0.2">
      <c r="B16" s="9" t="s">
        <v>77</v>
      </c>
    </row>
    <row r="18" spans="2:17" x14ac:dyDescent="0.2">
      <c r="B18" s="1" t="s">
        <v>78</v>
      </c>
    </row>
    <row r="19" spans="2:17" x14ac:dyDescent="0.2">
      <c r="B19" s="2" t="s">
        <v>79</v>
      </c>
      <c r="F19" s="2" t="s">
        <v>80</v>
      </c>
      <c r="L19" s="49">
        <v>0.26200000000000001</v>
      </c>
      <c r="M19" s="49">
        <v>0.23135346900146023</v>
      </c>
    </row>
    <row r="20" spans="2:17" x14ac:dyDescent="0.2">
      <c r="B20" s="2" t="s">
        <v>216</v>
      </c>
      <c r="F20" s="2" t="s">
        <v>50</v>
      </c>
      <c r="L20" s="48">
        <v>0.67084559548318745</v>
      </c>
      <c r="M20" s="50">
        <v>0.62142327748557913</v>
      </c>
      <c r="Q20" s="2" t="s">
        <v>189</v>
      </c>
    </row>
    <row r="22" spans="2:17" x14ac:dyDescent="0.2">
      <c r="B22" s="1" t="s">
        <v>113</v>
      </c>
    </row>
    <row r="23" spans="2:17" x14ac:dyDescent="0.2">
      <c r="B23" s="2" t="s">
        <v>82</v>
      </c>
      <c r="F23" s="2" t="s">
        <v>83</v>
      </c>
      <c r="N23" s="49">
        <v>0.1463039109042138</v>
      </c>
      <c r="O23" s="49">
        <v>0.10627362416899222</v>
      </c>
    </row>
    <row r="24" spans="2:17" x14ac:dyDescent="0.2">
      <c r="B24" s="22" t="s">
        <v>125</v>
      </c>
      <c r="F24" s="2" t="s">
        <v>57</v>
      </c>
      <c r="O24" s="49">
        <v>0.15147771275716165</v>
      </c>
    </row>
    <row r="25" spans="2:17" x14ac:dyDescent="0.2">
      <c r="B25" s="22" t="s">
        <v>124</v>
      </c>
      <c r="F25" s="2" t="s">
        <v>49</v>
      </c>
      <c r="O25" s="32">
        <v>8795161.8969195001</v>
      </c>
    </row>
    <row r="26" spans="2:17" x14ac:dyDescent="0.2">
      <c r="B26" s="2" t="s">
        <v>123</v>
      </c>
      <c r="F26" s="2" t="s">
        <v>50</v>
      </c>
      <c r="O26" s="48">
        <v>0.5</v>
      </c>
      <c r="Q26" s="22" t="s">
        <v>152</v>
      </c>
    </row>
    <row r="27" spans="2:17" x14ac:dyDescent="0.2">
      <c r="B27" s="2" t="s">
        <v>126</v>
      </c>
      <c r="F27" s="2" t="s">
        <v>50</v>
      </c>
      <c r="O27" s="48">
        <v>5.2147912682161707E-2</v>
      </c>
      <c r="Q27" s="22"/>
    </row>
    <row r="28" spans="2:17" x14ac:dyDescent="0.2">
      <c r="B28" s="2" t="s">
        <v>112</v>
      </c>
      <c r="F28" s="2" t="s">
        <v>50</v>
      </c>
      <c r="O28" s="48">
        <v>3.0000000000000001E-3</v>
      </c>
      <c r="Q28" s="2" t="s">
        <v>122</v>
      </c>
    </row>
    <row r="31" spans="2:17" x14ac:dyDescent="0.2">
      <c r="B31" s="2" t="s">
        <v>46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x14ac:dyDescent="0.2"/>
  <cols>
    <col min="1" max="16384" width="9.140625" style="20"/>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9CDAB9D1-B815-4B0E-93E7-4496A7FE99F6}">
  <ds:schemaRefs>
    <ds:schemaRef ds:uri="http://purl.org/dc/terms/"/>
    <ds:schemaRef ds:uri="http://schemas.microsoft.com/office/2006/metadata/propertie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Cover sheet</vt:lpstr>
      <vt:lpstr>Explanation</vt:lpstr>
      <vt:lpstr>Sources and specifics</vt:lpstr>
      <vt:lpstr>Result</vt:lpstr>
      <vt:lpstr>Input --&gt;</vt:lpstr>
      <vt:lpstr>Fuel prices</vt:lpstr>
      <vt:lpstr>Input production data</vt:lpstr>
      <vt:lpstr>Parameters in tariff decisions</vt:lpstr>
      <vt:lpstr>Calculations --&gt;</vt:lpstr>
      <vt:lpstr>Fuel component correction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2020-06-18T14:09:54Z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