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9980" windowHeight="7560" tabRatio="886"/>
  </bookViews>
  <sheets>
    <sheet name="Titelblad" sheetId="9" r:id="rId1"/>
    <sheet name="Toelichting" sheetId="10" r:id="rId2"/>
    <sheet name="Bronnen en toepassingen" sheetId="11" r:id="rId3"/>
    <sheet name="Resultaat" sheetId="21" r:id="rId4"/>
    <sheet name="Input --&gt;" sheetId="13" r:id="rId5"/>
    <sheet name="Parameters" sheetId="18" r:id="rId6"/>
    <sheet name="Gegevens kosten 2018" sheetId="24" r:id="rId7"/>
    <sheet name="Gegevens volumes 2018" sheetId="25" r:id="rId8"/>
    <sheet name="Gegevens raming 2020" sheetId="30" r:id="rId9"/>
    <sheet name="Correcties (incl. berekening)" sheetId="26" r:id="rId10"/>
    <sheet name="Berekeningen --&gt;" sheetId="15" r:id="rId11"/>
    <sheet name="Berekening kostenbasis 2020" sheetId="22" r:id="rId12"/>
    <sheet name="Variabel tarief elektriciteit" sheetId="33" r:id="rId13"/>
    <sheet name="Vaste tarieven elektriciteit" sheetId="34" r:id="rId14"/>
    <sheet name="Variabel tarief drinkwater" sheetId="32" r:id="rId15"/>
    <sheet name="Vaste tarieven drinkwater" sheetId="35" r:id="rId16"/>
  </sheets>
  <calcPr calcId="145621"/>
</workbook>
</file>

<file path=xl/calcChain.xml><?xml version="1.0" encoding="utf-8"?>
<calcChain xmlns="http://schemas.openxmlformats.org/spreadsheetml/2006/main">
  <c r="J21" i="24" l="1"/>
  <c r="J18" i="24"/>
  <c r="J17" i="24"/>
  <c r="C72" i="30" l="1"/>
  <c r="C71" i="30"/>
  <c r="C70" i="30"/>
  <c r="C69" i="30"/>
  <c r="C68" i="30"/>
  <c r="C50" i="25"/>
  <c r="H54" i="35" l="1"/>
  <c r="H50" i="35"/>
  <c r="H51" i="35" s="1"/>
  <c r="C27" i="35"/>
  <c r="C28" i="35"/>
  <c r="C29" i="35"/>
  <c r="C30" i="35"/>
  <c r="C26" i="35"/>
  <c r="H12" i="35"/>
  <c r="H62" i="21" l="1"/>
  <c r="H55" i="35"/>
  <c r="H53" i="34"/>
  <c r="H49" i="34"/>
  <c r="H50" i="34" s="1"/>
  <c r="H39" i="21" s="1"/>
  <c r="H12" i="34"/>
  <c r="C27" i="34"/>
  <c r="C28" i="34"/>
  <c r="C29" i="34"/>
  <c r="C30" i="34"/>
  <c r="C31" i="34"/>
  <c r="C32" i="34"/>
  <c r="C33" i="34"/>
  <c r="C34" i="34"/>
  <c r="C35" i="34"/>
  <c r="C26" i="34"/>
  <c r="H63" i="21" l="1"/>
  <c r="H54" i="34"/>
  <c r="H40" i="21" s="1"/>
  <c r="H33" i="33"/>
  <c r="L29" i="22" l="1"/>
  <c r="J63" i="26"/>
  <c r="N40" i="26" l="1"/>
  <c r="N39" i="26"/>
  <c r="N41" i="26" s="1"/>
  <c r="J26" i="26" l="1"/>
  <c r="J25" i="26"/>
  <c r="J22" i="26"/>
  <c r="J21" i="26"/>
  <c r="J18" i="26"/>
  <c r="J17" i="26"/>
  <c r="H22" i="33" l="1"/>
  <c r="H21" i="33"/>
  <c r="H24" i="32" l="1"/>
  <c r="H47" i="26"/>
  <c r="H46" i="26"/>
  <c r="M61" i="26" s="1"/>
  <c r="N45" i="22"/>
  <c r="N60" i="26" l="1"/>
  <c r="J60" i="26" s="1"/>
  <c r="M62" i="26"/>
  <c r="O57" i="26"/>
  <c r="M56" i="26"/>
  <c r="N55" i="26"/>
  <c r="J55" i="26" s="1"/>
  <c r="P56" i="26"/>
  <c r="O56" i="26"/>
  <c r="O67" i="26" s="1"/>
  <c r="H32" i="32" s="1"/>
  <c r="H33" i="32" s="1"/>
  <c r="J61" i="26"/>
  <c r="M57" i="26"/>
  <c r="N50" i="26"/>
  <c r="M52" i="26"/>
  <c r="P51" i="26"/>
  <c r="O52" i="26"/>
  <c r="M51" i="26"/>
  <c r="J62" i="26" l="1"/>
  <c r="M68" i="26"/>
  <c r="H32" i="33" s="1"/>
  <c r="J57" i="26"/>
  <c r="P67" i="26"/>
  <c r="H37" i="35" s="1"/>
  <c r="M69" i="26"/>
  <c r="H18" i="34" s="1"/>
  <c r="J52" i="26"/>
  <c r="J51" i="26"/>
  <c r="M67" i="26"/>
  <c r="H31" i="33" s="1"/>
  <c r="N66" i="26"/>
  <c r="J50" i="26"/>
  <c r="O69" i="26"/>
  <c r="H18" i="35" s="1"/>
  <c r="J56" i="26"/>
  <c r="N24" i="22"/>
  <c r="J66" i="26" l="1"/>
  <c r="H20" i="32"/>
  <c r="J69" i="26"/>
  <c r="J67" i="26"/>
  <c r="J68" i="26"/>
  <c r="M29" i="22"/>
  <c r="N29" i="22"/>
  <c r="N56" i="22" s="1"/>
  <c r="O29" i="22"/>
  <c r="M27" i="22"/>
  <c r="N27" i="22"/>
  <c r="O27" i="22"/>
  <c r="P27" i="22"/>
  <c r="M28" i="22"/>
  <c r="N28" i="22"/>
  <c r="O28" i="22"/>
  <c r="P28" i="22"/>
  <c r="L27" i="22"/>
  <c r="L28" i="22"/>
  <c r="M24" i="22"/>
  <c r="O24" i="22"/>
  <c r="P24" i="22"/>
  <c r="L24" i="22"/>
  <c r="M22" i="22"/>
  <c r="N22" i="22"/>
  <c r="O22" i="22"/>
  <c r="P22" i="22"/>
  <c r="M23" i="22"/>
  <c r="N23" i="22"/>
  <c r="O23" i="22"/>
  <c r="P23" i="22"/>
  <c r="L23" i="22"/>
  <c r="L22" i="22"/>
  <c r="O55" i="22" l="1"/>
  <c r="P55" i="22"/>
  <c r="P63" i="22"/>
  <c r="L56" i="22"/>
  <c r="L64" i="22" s="1"/>
  <c r="N55" i="22"/>
  <c r="P54" i="22"/>
  <c r="O54" i="22"/>
  <c r="L54" i="22"/>
  <c r="N54" i="22"/>
  <c r="O56" i="22"/>
  <c r="O64" i="22" s="1"/>
  <c r="L55" i="22"/>
  <c r="M55" i="22"/>
  <c r="M54" i="22"/>
  <c r="M56" i="22"/>
  <c r="M64" i="22" s="1"/>
  <c r="M80" i="30"/>
  <c r="L15" i="30"/>
  <c r="P39" i="30"/>
  <c r="M40" i="30"/>
  <c r="H41" i="34" s="1"/>
  <c r="O38" i="30"/>
  <c r="H35" i="32" s="1"/>
  <c r="M38" i="30"/>
  <c r="H38" i="33" s="1"/>
  <c r="M73" i="22" l="1"/>
  <c r="H21" i="34"/>
  <c r="L33" i="22"/>
  <c r="H16" i="33"/>
  <c r="N63" i="22"/>
  <c r="P62" i="22"/>
  <c r="M62" i="22"/>
  <c r="O62" i="22"/>
  <c r="N62" i="22"/>
  <c r="L62" i="22"/>
  <c r="M63" i="22"/>
  <c r="L63" i="22"/>
  <c r="O63" i="22"/>
  <c r="L80" i="30"/>
  <c r="L81" i="30"/>
  <c r="P29" i="24"/>
  <c r="P29" i="22" s="1"/>
  <c r="P56" i="22" s="1"/>
  <c r="P64" i="22" s="1"/>
  <c r="H25" i="33" l="1"/>
  <c r="L73" i="22"/>
  <c r="L65" i="25"/>
  <c r="O80" i="30"/>
  <c r="O73" i="30"/>
  <c r="M63" i="30"/>
  <c r="P80" i="30"/>
  <c r="H36" i="33" l="1"/>
  <c r="H35" i="33"/>
  <c r="P73" i="22"/>
  <c r="H40" i="35"/>
  <c r="O73" i="22"/>
  <c r="H21" i="35"/>
  <c r="L66" i="25"/>
  <c r="O65" i="25"/>
  <c r="O33" i="22" s="1"/>
  <c r="M65" i="25"/>
  <c r="M33" i="22" s="1"/>
  <c r="H19" i="22"/>
  <c r="H18" i="22"/>
  <c r="H17" i="22"/>
  <c r="P58" i="22" l="1"/>
  <c r="N58" i="22"/>
  <c r="M58" i="22"/>
  <c r="M59" i="22" s="1"/>
  <c r="M74" i="22" s="1"/>
  <c r="O58" i="22"/>
  <c r="O59" i="22" s="1"/>
  <c r="O74" i="22" s="1"/>
  <c r="L58" i="22"/>
  <c r="L66" i="22"/>
  <c r="O66" i="22"/>
  <c r="P66" i="22"/>
  <c r="M66" i="22"/>
  <c r="J24" i="22"/>
  <c r="J22" i="22"/>
  <c r="J23" i="22"/>
  <c r="O75" i="22" l="1"/>
  <c r="M75" i="22"/>
  <c r="L59" i="22"/>
  <c r="L74" i="22" s="1"/>
  <c r="J58" i="22"/>
  <c r="J55" i="22"/>
  <c r="J56" i="22"/>
  <c r="J62" i="22"/>
  <c r="J63" i="22"/>
  <c r="J54" i="22"/>
  <c r="H17" i="35" l="1"/>
  <c r="H19" i="35" s="1"/>
  <c r="H17" i="34"/>
  <c r="H19" i="34" s="1"/>
  <c r="L75" i="22"/>
  <c r="P65" i="25"/>
  <c r="P33" i="22" s="1"/>
  <c r="P59" i="22" s="1"/>
  <c r="H22" i="34" l="1"/>
  <c r="H22" i="35"/>
  <c r="H27" i="35" s="1"/>
  <c r="H35" i="34"/>
  <c r="H35" i="21" s="1"/>
  <c r="H28" i="34"/>
  <c r="H36" i="34"/>
  <c r="H31" i="34"/>
  <c r="H31" i="21" s="1"/>
  <c r="H26" i="34"/>
  <c r="H26" i="21" s="1"/>
  <c r="H34" i="34"/>
  <c r="H34" i="21" s="1"/>
  <c r="H27" i="34"/>
  <c r="H43" i="34" s="1"/>
  <c r="H33" i="34"/>
  <c r="H33" i="21" s="1"/>
  <c r="H30" i="34"/>
  <c r="H30" i="21" s="1"/>
  <c r="H32" i="34"/>
  <c r="H32" i="21" s="1"/>
  <c r="H29" i="34"/>
  <c r="H29" i="21" s="1"/>
  <c r="H14" i="33"/>
  <c r="P74" i="22"/>
  <c r="O54" i="25"/>
  <c r="M42" i="25"/>
  <c r="H26" i="35" l="1"/>
  <c r="H56" i="21"/>
  <c r="H55" i="21"/>
  <c r="H30" i="35"/>
  <c r="H28" i="35"/>
  <c r="H29" i="35"/>
  <c r="H17" i="33"/>
  <c r="H18" i="33" s="1"/>
  <c r="H24" i="33" s="1"/>
  <c r="H40" i="33" s="1"/>
  <c r="H41" i="33" s="1"/>
  <c r="H28" i="21"/>
  <c r="H27" i="21"/>
  <c r="H44" i="22"/>
  <c r="N46" i="22" s="1"/>
  <c r="J66" i="22" s="1"/>
  <c r="H36" i="21"/>
  <c r="P75" i="22"/>
  <c r="J74" i="22"/>
  <c r="H36" i="35" l="1"/>
  <c r="H38" i="35" s="1"/>
  <c r="H17" i="21"/>
  <c r="H58" i="21"/>
  <c r="H57" i="21"/>
  <c r="H59" i="21"/>
  <c r="H23" i="32"/>
  <c r="H42" i="34"/>
  <c r="H44" i="34" s="1"/>
  <c r="H18" i="21"/>
  <c r="N75" i="22"/>
  <c r="H42" i="35" l="1"/>
  <c r="H19" i="32"/>
  <c r="H21" i="32" s="1"/>
  <c r="H21" i="21"/>
  <c r="H25" i="32"/>
  <c r="H22" i="21"/>
  <c r="J75" i="22"/>
  <c r="B30" i="10"/>
  <c r="H27" i="32" l="1"/>
  <c r="H28" i="32" s="1"/>
  <c r="H43" i="35"/>
  <c r="H44" i="35" s="1"/>
  <c r="H45" i="35" s="1"/>
  <c r="B18" i="10"/>
  <c r="B25" i="10" s="1"/>
  <c r="H36" i="32" l="1"/>
  <c r="H37" i="32" s="1"/>
  <c r="H47" i="21"/>
  <c r="H50" i="21"/>
  <c r="H51" i="21"/>
  <c r="B19" i="10"/>
  <c r="B20" i="10" l="1"/>
  <c r="B24" i="10" s="1"/>
</calcChain>
</file>

<file path=xl/comments1.xml><?xml version="1.0" encoding="utf-8"?>
<comments xmlns="http://schemas.openxmlformats.org/spreadsheetml/2006/main">
  <authors>
    <author>Auteur</author>
  </authors>
  <commentList>
    <comment ref="B24" authorId="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authors>
    <author>Auteur</author>
  </authors>
  <commentList>
    <comment ref="L29" authorId="0">
      <text>
        <r>
          <rPr>
            <sz val="8"/>
            <color indexed="81"/>
            <rFont val="Tahoma"/>
            <family val="2"/>
          </rPr>
          <t>Oorspronkelijk is voor productie elektriciteit een percentage variabele kosten van 8% vastgesteld. Echter, gegeven dat de productie met Aggreko's wegvalt, en uitsluitend de productie van het zonnepark overblijft, ligt een percentage van 0% meer voor de hand: de variabele kosten die waren toegrekend aan productie elektriciteit zagen grotendeels op onderhoud en inkoop materialen/smeerolie die verband hielden met het productieniveau van de Aggreko's. ACM verwacht geen variabele kosten bij de productie met het zonnepark.</t>
        </r>
      </text>
    </comment>
    <comment ref="P29" authorId="0">
      <text>
        <r>
          <rPr>
            <sz val="8"/>
            <color indexed="81"/>
            <rFont val="Tahoma"/>
            <family val="2"/>
          </rPr>
          <t>Percentaqe niet afzonderlijk bepaald voor drinkwater per truck. Aanname: gelijkgesteld aan drinkwater via het netwerk</t>
        </r>
      </text>
    </comment>
  </commentList>
</comments>
</file>

<file path=xl/comments3.xml><?xml version="1.0" encoding="utf-8"?>
<comments xmlns="http://schemas.openxmlformats.org/spreadsheetml/2006/main">
  <authors>
    <author>Auteur</author>
  </authors>
  <commentList>
    <comment ref="N19" authorId="0">
      <text>
        <r>
          <rPr>
            <sz val="8"/>
            <color indexed="81"/>
            <rFont val="Tahoma"/>
            <family val="2"/>
          </rPr>
          <t>Gegevens en/of berekening aangepast i.v.m. bedrijfsvertrouwelijkheid</t>
        </r>
      </text>
    </comment>
    <comment ref="N20" authorId="0">
      <text>
        <r>
          <rPr>
            <sz val="8"/>
            <color indexed="81"/>
            <rFont val="Tahoma"/>
            <family val="2"/>
          </rPr>
          <t>Gegevens en/of berekening aangepast i.v.m. bedrijfsvertrouwelijkheid</t>
        </r>
      </text>
    </comment>
    <comment ref="C26" authorId="0">
      <text>
        <r>
          <rPr>
            <sz val="8"/>
            <color indexed="81"/>
            <rFont val="Tahoma"/>
            <family val="2"/>
          </rPr>
          <t xml:space="preserve">Voor de categorieën 3*25 en 3*35 wordt een rekencapaciteit van 4,4 gehanteerd (in plaats van de hogere technische capaciteit)
</t>
        </r>
      </text>
    </comment>
    <comment ref="M42" authorId="0">
      <text>
        <r>
          <rPr>
            <sz val="8"/>
            <color indexed="81"/>
            <rFont val="Tahoma"/>
            <family val="2"/>
          </rPr>
          <t>Op basis van vastgesteld gemiddeld verwacht verbruik van 2500 kWh per aansluiting.</t>
        </r>
      </text>
    </comment>
    <comment ref="M44" authorId="0">
      <text>
        <r>
          <rPr>
            <sz val="8"/>
            <color indexed="81"/>
            <rFont val="Tahoma"/>
            <family val="2"/>
          </rPr>
          <t xml:space="preserve">Toelichting WEB:
NRE 2018 op jaarbasis:
productie WEB &amp; CGB = 113.067 MWh
NRE = 9.594 MWh (zie jaarverslag)
EV = 604 MWh (niet zijnde elektriciteit voor productie drinkwater)
NRE regulatorisch = 9.594 + 604 = 10.198 MWh
NRE regulatorisch = 10.198  / 113.067 = 9,02%
</t>
        </r>
      </text>
    </comment>
    <comment ref="C50" authorId="0">
      <text>
        <r>
          <rPr>
            <sz val="8"/>
            <color indexed="81"/>
            <rFont val="Tahoma"/>
            <family val="2"/>
          </rPr>
          <t xml:space="preserve">Hier werd eerder een afgeronde rekencapaciteit gebruikt, o.b.v. 2,3 (2,3 / 4 = 0,575), dat is minder precies dan de berekening o.b.v. 3/4 ^2
</t>
        </r>
      </text>
    </comment>
    <comment ref="O58" authorId="0">
      <text>
        <r>
          <rPr>
            <sz val="8"/>
            <color indexed="81"/>
            <rFont val="Tahoma"/>
            <family val="2"/>
          </rPr>
          <t xml:space="preserve">Toelichting WEB:
NRW 2018:
productie WEB &amp; GE = 1.750,93 M3*1.000
verkopen=1.502,91 M3*1.000 (zie jaarverslag) 
NRW = 248,02 M3*1.000 (productie min verkopen)
NRW = 248,02 / 1.750,93 = 14,17%
</t>
        </r>
      </text>
    </comment>
    <comment ref="N65" authorId="0">
      <text>
        <r>
          <rPr>
            <sz val="8"/>
            <color indexed="81"/>
            <rFont val="Tahoma"/>
            <family val="2"/>
          </rPr>
          <t>Gegevens en/of berekening aangepast i.v.m. bedrijfsvertrouwelijkheid</t>
        </r>
      </text>
    </comment>
    <comment ref="N66" authorId="0">
      <text>
        <r>
          <rPr>
            <sz val="8"/>
            <color indexed="81"/>
            <rFont val="Tahoma"/>
            <family val="2"/>
          </rPr>
          <t>Gegevens en/of berekening aangepast i.v.m. bedrijfsvertrouwelijkheid</t>
        </r>
      </text>
    </comment>
  </commentList>
</comments>
</file>

<file path=xl/comments4.xml><?xml version="1.0" encoding="utf-8"?>
<comments xmlns="http://schemas.openxmlformats.org/spreadsheetml/2006/main">
  <authors>
    <author>Auteur</author>
  </authors>
  <commentList>
    <comment ref="N25" authorId="0">
      <text>
        <r>
          <rPr>
            <sz val="8"/>
            <color indexed="81"/>
            <rFont val="Tahoma"/>
            <family val="2"/>
          </rPr>
          <t>Gegevens en/of berekening aangepast i.v.m. bedrijfsvertrouwelijkheid</t>
        </r>
      </text>
    </comment>
    <comment ref="N30" authorId="0">
      <text>
        <r>
          <rPr>
            <sz val="8"/>
            <color indexed="81"/>
            <rFont val="Tahoma"/>
            <family val="2"/>
          </rPr>
          <t>Gegevens en/of berekening aangepast i.v.m. bedrijfsvertrouwelijkheid</t>
        </r>
      </text>
    </comment>
    <comment ref="N31" authorId="0">
      <text>
        <r>
          <rPr>
            <sz val="8"/>
            <color indexed="81"/>
            <rFont val="Tahoma"/>
            <family val="2"/>
          </rPr>
          <t>Gegevens en/of berekening aangepast i.v.m. bedrijfsvertrouwelijkheid</t>
        </r>
      </text>
    </comment>
    <comment ref="N80" authorId="0">
      <text>
        <r>
          <rPr>
            <sz val="8"/>
            <color indexed="81"/>
            <rFont val="Tahoma"/>
            <family val="2"/>
          </rPr>
          <t>Gegevens en/of berekening aangepast i.v.m. bedrijfsvertrouwelijkheid</t>
        </r>
      </text>
    </comment>
    <comment ref="N81" authorId="0">
      <text>
        <r>
          <rPr>
            <sz val="8"/>
            <color indexed="81"/>
            <rFont val="Tahoma"/>
            <family val="2"/>
          </rPr>
          <t>Gegevens en/of berekening aangepast i.v.m. bedrijfsvertrouwelijkheid</t>
        </r>
      </text>
    </comment>
  </commentList>
</comments>
</file>

<file path=xl/comments5.xml><?xml version="1.0" encoding="utf-8"?>
<comments xmlns="http://schemas.openxmlformats.org/spreadsheetml/2006/main">
  <authors>
    <author>Auteur</author>
  </authors>
  <commentList>
    <comment ref="L50" authorId="0">
      <text>
        <r>
          <rPr>
            <sz val="8"/>
            <color indexed="81"/>
            <rFont val="Tahoma"/>
            <family val="2"/>
          </rPr>
          <t xml:space="preserve">Correctiebedragen die zien op productie elektriciteit gaan mee in totale correctie op variabel gebruikstarief elektriciteit
</t>
        </r>
      </text>
    </comment>
    <comment ref="M51" authorId="0">
      <text>
        <r>
          <rPr>
            <sz val="8"/>
            <color indexed="81"/>
            <rFont val="Tahoma"/>
            <family val="2"/>
          </rPr>
          <t xml:space="preserve">Correctiebedragen die zien op productie elektriciteit gaan mee in totale correctie op variabel gebruikstarief elektriciteit
</t>
        </r>
      </text>
    </comment>
    <comment ref="L55" authorId="0">
      <text>
        <r>
          <rPr>
            <sz val="8"/>
            <color indexed="81"/>
            <rFont val="Tahoma"/>
            <family val="2"/>
          </rPr>
          <t xml:space="preserve">Correctiebedragen die zien op productie elektriciteit gaan mee in totale correctie op variabel gebruikstarief elektriciteit
</t>
        </r>
      </text>
    </comment>
    <comment ref="M56" authorId="0">
      <text>
        <r>
          <rPr>
            <sz val="8"/>
            <color indexed="81"/>
            <rFont val="Tahoma"/>
            <family val="2"/>
          </rPr>
          <t xml:space="preserve">Correctiebedragen die zien op productie elektriciteit gaan mee in totale correctie op variabel gebruikstarief elektriciteit
</t>
        </r>
      </text>
    </comment>
    <comment ref="L60" authorId="0">
      <text>
        <r>
          <rPr>
            <sz val="8"/>
            <color indexed="81"/>
            <rFont val="Tahoma"/>
            <family val="2"/>
          </rPr>
          <t xml:space="preserve">Correctiebedragen die zien op productie elektriciteit gaan mee in totale correctie op variabel gebruikstarief elektriciteit
</t>
        </r>
      </text>
    </comment>
    <comment ref="M61" authorId="0">
      <text>
        <r>
          <rPr>
            <sz val="8"/>
            <color indexed="81"/>
            <rFont val="Tahoma"/>
            <family val="2"/>
          </rPr>
          <t xml:space="preserve">Correctiebedragen die zien op productie elektriciteit gaan mee in totale correctie op variabel gebruikstarief elektriciteit
</t>
        </r>
      </text>
    </comment>
  </commentList>
</comments>
</file>

<file path=xl/comments6.xml><?xml version="1.0" encoding="utf-8"?>
<comments xmlns="http://schemas.openxmlformats.org/spreadsheetml/2006/main">
  <authors>
    <author>Auteur</author>
  </authors>
  <commentList>
    <comment ref="L33" authorId="0">
      <text>
        <r>
          <rPr>
            <sz val="8"/>
            <color indexed="81"/>
            <rFont val="Tahoma"/>
            <family val="2"/>
          </rPr>
          <t>Dit betreft het alleen het volume dat geproduceerd wordt met het zonnepark. Aangezien de kosten 2018 al zijn aangepast voor de situatie na wegvallen productie met Aggreko's, wordt het volume hier ook op aangepast.</t>
        </r>
      </text>
    </comment>
    <comment ref="N33" authorId="0">
      <text>
        <r>
          <rPr>
            <sz val="8"/>
            <color indexed="81"/>
            <rFont val="Tahoma"/>
            <family val="2"/>
          </rPr>
          <t>Gegevens en/of berekening aangepast i.v.m. bedrijfsvertrouwelijkheid</t>
        </r>
      </text>
    </comment>
    <comment ref="N39" authorId="0">
      <text>
        <r>
          <rPr>
            <sz val="8"/>
            <color indexed="81"/>
            <rFont val="Tahoma"/>
            <family val="2"/>
          </rPr>
          <t>Gegevens en/of berekening aangepast i.v.m. bedrijfsvertrouwelijkheid</t>
        </r>
      </text>
    </comment>
    <comment ref="N40" authorId="0">
      <text>
        <r>
          <rPr>
            <sz val="8"/>
            <color indexed="81"/>
            <rFont val="Tahoma"/>
            <family val="2"/>
          </rPr>
          <t>Gegevens en/of berekening aangepast i.v.m. bedrijfsvertrouwelijkheid</t>
        </r>
      </text>
    </comment>
    <comment ref="N41" authorId="0">
      <text>
        <r>
          <rPr>
            <sz val="8"/>
            <color indexed="81"/>
            <rFont val="Tahoma"/>
            <family val="2"/>
          </rPr>
          <t>Gegevens en/of berekening aangepast i.v.m. bedrijfsvertrouwelijkheid</t>
        </r>
      </text>
    </comment>
    <comment ref="B48" authorId="0">
      <text>
        <r>
          <rPr>
            <sz val="8"/>
            <color indexed="81"/>
            <rFont val="Tahoma"/>
            <family val="2"/>
          </rPr>
          <t>Gegevens en/of berekening aangepast i.v.m. bedrijfsvertrouwelijkheid</t>
        </r>
      </text>
    </comment>
    <comment ref="N48" authorId="0">
      <text>
        <r>
          <rPr>
            <sz val="8"/>
            <color indexed="81"/>
            <rFont val="Tahoma"/>
            <family val="2"/>
          </rPr>
          <t>Gegevens en/of berekening aangepast i.v.m. bedrijfsvertrouwelijkheid</t>
        </r>
      </text>
    </comment>
    <comment ref="N59" authorId="0">
      <text>
        <r>
          <rPr>
            <sz val="8"/>
            <color indexed="81"/>
            <rFont val="Tahoma"/>
            <family val="2"/>
          </rPr>
          <t>Gegevens en/of berekening aangepast i.v.m. bedrijfsvertrouwelijkheid</t>
        </r>
      </text>
    </comment>
    <comment ref="J64" authorId="0">
      <text>
        <r>
          <rPr>
            <sz val="8"/>
            <color indexed="81"/>
            <rFont val="Tahoma"/>
            <family val="2"/>
          </rPr>
          <t>Gegevens en/of berekening aangepast i.v.m. bedrijfsvertrouwelijkheid</t>
        </r>
      </text>
    </comment>
    <comment ref="N64" authorId="0">
      <text>
        <r>
          <rPr>
            <sz val="8"/>
            <color indexed="81"/>
            <rFont val="Tahoma"/>
            <family val="2"/>
          </rPr>
          <t>Gegevens en/of berekening aangepast i.v.m. bedrijfsvertrouwelijkheid</t>
        </r>
      </text>
    </comment>
    <comment ref="N66" authorId="0">
      <text>
        <r>
          <rPr>
            <sz val="8"/>
            <color indexed="81"/>
            <rFont val="Tahoma"/>
            <family val="2"/>
          </rPr>
          <t>Inclusief productie drinkwater via GE en kosten elektriciteitsaansluiting (beide vaste kosten)
Gegevens en/of berekening aangepast i.v.m. bedrijfsvertrouwelijkheid</t>
        </r>
      </text>
    </comment>
    <comment ref="N73" authorId="0">
      <text>
        <r>
          <rPr>
            <sz val="8"/>
            <color indexed="81"/>
            <rFont val="Tahoma"/>
            <family val="2"/>
          </rPr>
          <t>Gegevens en/of berekening aangepast i.v.m. bedrijfsvertrouwelijkheid</t>
        </r>
      </text>
    </comment>
    <comment ref="N74" authorId="0">
      <text>
        <r>
          <rPr>
            <sz val="8"/>
            <color indexed="81"/>
            <rFont val="Tahoma"/>
            <family val="2"/>
          </rPr>
          <t>Gegevens en/of berekening aangepast i.v.m. bedrijfsvertrouwelijkheid</t>
        </r>
      </text>
    </comment>
    <comment ref="N75" authorId="0">
      <text>
        <r>
          <rPr>
            <sz val="8"/>
            <color indexed="81"/>
            <rFont val="Tahoma"/>
            <family val="2"/>
          </rPr>
          <t>Gegevens en/of berekening aangepast i.v.m. bedrijfsvertrouwelijkheid</t>
        </r>
      </text>
    </comment>
  </commentList>
</comments>
</file>

<file path=xl/comments7.xml><?xml version="1.0" encoding="utf-8"?>
<comments xmlns="http://schemas.openxmlformats.org/spreadsheetml/2006/main">
  <authors>
    <author>Auteur</author>
  </authors>
  <commentList>
    <comment ref="H14" authorId="0">
      <text>
        <r>
          <rPr>
            <sz val="8"/>
            <color indexed="81"/>
            <rFont val="Tahoma"/>
            <family val="2"/>
          </rPr>
          <t>Gegevens en/of berekening aangepast i.v.m. bedrijfsvertrouwelijkheid</t>
        </r>
      </text>
    </comment>
    <comment ref="H16" authorId="0">
      <text>
        <r>
          <rPr>
            <sz val="8"/>
            <color indexed="81"/>
            <rFont val="Tahoma"/>
            <family val="2"/>
          </rPr>
          <t>Gegevens en/of berekening aangepast i.v.m. bedrijfsvertrouwelijkheid</t>
        </r>
      </text>
    </comment>
  </commentList>
</comments>
</file>

<file path=xl/sharedStrings.xml><?xml version="1.0" encoding="utf-8"?>
<sst xmlns="http://schemas.openxmlformats.org/spreadsheetml/2006/main" count="993" uniqueCount="461">
  <si>
    <t>Titelblad</t>
  </si>
  <si>
    <t>Over dit bestand</t>
  </si>
  <si>
    <t>Zaaknummer</t>
  </si>
  <si>
    <t>Titel</t>
  </si>
  <si>
    <t>Hoort bij besluit(en):</t>
  </si>
  <si>
    <t>Kenmerk besluit(en)</t>
  </si>
  <si>
    <t>Samenhang met andere rekenbestanden</t>
  </si>
  <si>
    <t>Overig opmerkingen</t>
  </si>
  <si>
    <t>Over de status van dit bestand</t>
  </si>
  <si>
    <t>Definitief? (j/n)</t>
  </si>
  <si>
    <t>Juridisch integraal onderdeel van bovenstaande besluit(en) (j/n)?</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</si>
  <si>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</si>
  <si>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</si>
  <si>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</si>
  <si>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</si>
  <si>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</si>
  <si>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</si>
  <si>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</si>
  <si>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</si>
  <si>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</si>
  <si>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</si>
  <si>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</si>
  <si>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</si>
  <si>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</si>
  <si>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</si>
  <si>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</si>
  <si>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</si>
  <si>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</si>
  <si>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</si>
  <si>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</si>
  <si>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</si>
  <si>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</si>
  <si>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</si>
  <si>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</si>
  <si>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</si>
  <si>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</si>
  <si>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</si>
  <si>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</si>
  <si>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</si>
  <si>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</si>
  <si>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</si>
  <si>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</si>
  <si>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</si>
  <si>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</si>
  <si>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</si>
  <si>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Rijtotaal</t>
  </si>
  <si>
    <t>Toelichting bij dit bestand</t>
  </si>
  <si>
    <t>Nr.</t>
  </si>
  <si>
    <t xml:space="preserve">Verkorte naam </t>
  </si>
  <si>
    <t>Naam bestand extern</t>
  </si>
  <si>
    <t>Beschrijving resultaat</t>
  </si>
  <si>
    <t>Grijze cijfers geven de uitkomt van een check berekening; dit is geen resultaat waarmee verder wordt gerekend</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</si>
  <si>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</si>
  <si>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</si>
  <si>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</si>
  <si>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</si>
  <si>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</si>
  <si>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</si>
  <si>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</si>
  <si>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</si>
  <si>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Mogelijkheden van bezwaar en beroep staan open tegen het besluit waarbij dit bestand hoort (zie kenmerken hierboven)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</si>
  <si>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</si>
  <si>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</si>
  <si>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</si>
  <si>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</si>
  <si>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</si>
  <si>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</si>
  <si>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</si>
  <si>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Berekening tarieven voor WEB 2020</t>
  </si>
  <si>
    <t>Overige gegevens en parameters</t>
  </si>
  <si>
    <t>Enkele parameters en gegevens die de ACM nodig heeft in de berekeningen in dit bestand.</t>
  </si>
  <si>
    <t xml:space="preserve">CPI </t>
  </si>
  <si>
    <t>%</t>
  </si>
  <si>
    <t>Geschatte inflatie 2019</t>
  </si>
  <si>
    <t>CPI gegevens CBS (2017=100)</t>
  </si>
  <si>
    <t>FIN</t>
  </si>
  <si>
    <t>Geschatte inflatie 2020</t>
  </si>
  <si>
    <t>WACC 2020</t>
  </si>
  <si>
    <t>Gegevens kosten 2018</t>
  </si>
  <si>
    <t>Elektriciteit-productie</t>
  </si>
  <si>
    <t>Elektriciteit-distributie</t>
  </si>
  <si>
    <t>Water-productie</t>
  </si>
  <si>
    <t>Water-distributie</t>
  </si>
  <si>
    <t>Water per truck</t>
  </si>
  <si>
    <t>Kapitaalkosten</t>
  </si>
  <si>
    <t>Kostengegevens 2018 t.b.v. kostenbasis voor tarieven 2020</t>
  </si>
  <si>
    <t>Totale waarde RAB ultimo 2018</t>
  </si>
  <si>
    <t>Totale Afschrijvingen in 2018</t>
  </si>
  <si>
    <t>Operationele kosten</t>
  </si>
  <si>
    <t>USD, pp 2018</t>
  </si>
  <si>
    <t xml:space="preserve">Op dit tabblad geeft de ACM productie- en volumegegevens weer. </t>
  </si>
  <si>
    <t>Productie Elektriciteit</t>
  </si>
  <si>
    <t>Productie WEB</t>
  </si>
  <si>
    <t>kWh</t>
  </si>
  <si>
    <t>Productie Drinkwater</t>
  </si>
  <si>
    <t>m3</t>
  </si>
  <si>
    <t>Rendement productie WEB drinkwater</t>
  </si>
  <si>
    <t>kWh/m3</t>
  </si>
  <si>
    <t xml:space="preserve">Totaal kVA voor elektriciteitsaansluiting voor de productie van drinkwater </t>
  </si>
  <si>
    <t>KVA</t>
  </si>
  <si>
    <t>Productie GE</t>
  </si>
  <si>
    <t>Distributiegegevens (divers)</t>
  </si>
  <si>
    <t>Pagabon rekenwaarde voor gemiddeld verbruik</t>
  </si>
  <si>
    <t>kWh / maand</t>
  </si>
  <si>
    <t>artikel 3.4 Ministeriële regeling</t>
  </si>
  <si>
    <t xml:space="preserve">Tariefcategorieën en aansluitingen </t>
  </si>
  <si>
    <t>Rekencapaciteit (gewicht o.b.v. kVA)</t>
  </si>
  <si>
    <t>1*25</t>
  </si>
  <si>
    <t>#</t>
  </si>
  <si>
    <t>3*25</t>
  </si>
  <si>
    <t>3*35</t>
  </si>
  <si>
    <t>3*50</t>
  </si>
  <si>
    <t>3*63</t>
  </si>
  <si>
    <t>3*80</t>
  </si>
  <si>
    <t>3*100</t>
  </si>
  <si>
    <t>3*125</t>
  </si>
  <si>
    <t>3*160</t>
  </si>
  <si>
    <t>3*200</t>
  </si>
  <si>
    <t>grootverbruikers (deze groep van afnemers betaalt per kVA per maand)</t>
  </si>
  <si>
    <t>1/2 ''</t>
  </si>
  <si>
    <t>3/4 ''</t>
  </si>
  <si>
    <t>1''</t>
  </si>
  <si>
    <t>2''</t>
  </si>
  <si>
    <t>4''</t>
  </si>
  <si>
    <t>Productie: ramingen 2020</t>
  </si>
  <si>
    <t>Totaal geschat productievolume WEB 2020 (alleen PV)</t>
  </si>
  <si>
    <t>USD, pp 2020 / kWh</t>
  </si>
  <si>
    <t>Verwachte deel verkoopvolume in eerste helft van 2020</t>
  </si>
  <si>
    <t>Totaal geschat productievolume 2020</t>
  </si>
  <si>
    <t>Gerealiseerd volume distributie drinkwater via  truck 2018</t>
  </si>
  <si>
    <t>Netverliespercentage geschat voor 2020 (o.b.v. realisaties 2018)</t>
  </si>
  <si>
    <t>Gerealiseerde volumes elektriciteit over 2018</t>
  </si>
  <si>
    <t>Aansluitcategorie</t>
  </si>
  <si>
    <t>Rekencapaciteit (inches^2)</t>
  </si>
  <si>
    <t>Volume Pagabon (gewicht 4,4 kVA)</t>
  </si>
  <si>
    <t>Excl. Pagabon</t>
  </si>
  <si>
    <t>Input bepaling variabele kosten o.b.v. tarievenvoorstel WEB 2020</t>
  </si>
  <si>
    <t>USD, pp 2020</t>
  </si>
  <si>
    <t>Beschrijving berekening kostenbasis</t>
  </si>
  <si>
    <t>De kostenbasis wordt gebaseerd op de kapitaalkosten en opex over 2018</t>
  </si>
  <si>
    <t>Voordat de totale kosten worden vertaald in een kostenbasis voor 2020, wordt deze nog gesplitst in een vast deel en een variabel deel.</t>
  </si>
  <si>
    <t>Totale netto-OPEX t.b.v. kostenbasis voor tarieven 2020</t>
  </si>
  <si>
    <t>Voor de vaststelling van de geschatte kosten voor 2020 worden ook de verwachte kosten van omvangrijke gebeurtenissen meegeteld</t>
  </si>
  <si>
    <t>Gerealiseerde volumes 2018</t>
  </si>
  <si>
    <t>Eenheid waarin volume is uitgedrukt</t>
  </si>
  <si>
    <t>(zie kolom)</t>
  </si>
  <si>
    <t>kVA</t>
  </si>
  <si>
    <t>inch^2</t>
  </si>
  <si>
    <t>Totale gerealiseerde volumes 2018</t>
  </si>
  <si>
    <t>Productie: realisaties 2018</t>
  </si>
  <si>
    <t>Totale productie WEB</t>
  </si>
  <si>
    <t>Productie WEB met Aggreko's</t>
  </si>
  <si>
    <t>Productie WEB met PV</t>
  </si>
  <si>
    <t>Distributie: realisaties 2018</t>
  </si>
  <si>
    <t>Gerealiseerde volumes drinkwater over 2018</t>
  </si>
  <si>
    <t>Volumegegevens Pagabon (elektriciteit)</t>
  </si>
  <si>
    <t>Netverliespercentage realisatie 2018</t>
  </si>
  <si>
    <t>Lekverliespercentage realisatie 2018</t>
  </si>
  <si>
    <t>Berekening inkomsten 2020 op basis van kostenbasis 2018</t>
  </si>
  <si>
    <t>Gerealiseerd volume WEB</t>
  </si>
  <si>
    <t>Totaal gerealiseerd volume (productie)</t>
  </si>
  <si>
    <t>Berekening variabele kosten in kostenbasis 2018 t.b.v. situatie 2020</t>
  </si>
  <si>
    <t>Berekening vaste kosten in kostenbasis 2018 t.b.v. situatie 2020</t>
  </si>
  <si>
    <t>Raming volumes elektriciteit voor 2020</t>
  </si>
  <si>
    <t>WACC-besluit Caribisch Nederland 2020-2022</t>
  </si>
  <si>
    <t>WACC voor WEB</t>
  </si>
  <si>
    <t>Percentage variabele operationele kosten van totale netto OPEX</t>
  </si>
  <si>
    <t>Percentage variabele kapitaalkosten: RAB ultimo 2016</t>
  </si>
  <si>
    <t>Tarievenvoorstel WEB 2020</t>
  </si>
  <si>
    <t>Percentage variabele kapitaalkosten: Afschirjvingen 2016</t>
  </si>
  <si>
    <t>Percentages variabele kosten in reguliere kosten 2018</t>
  </si>
  <si>
    <t>Gelijk gesteld aan 2018 productie op basis van tarievenvoorstel WEB.</t>
  </si>
  <si>
    <t>USD, pp 2020 / m3</t>
  </si>
  <si>
    <t>Inclusief Pagabon</t>
  </si>
  <si>
    <t>Tussenberekening geschatte volumes 2020</t>
  </si>
  <si>
    <t>Totaal gerealiseerd volume Bonaire (productie)</t>
  </si>
  <si>
    <t>Kostengegevens 2018 (incl. effect wegvallen productie Aggreko's)</t>
  </si>
  <si>
    <t xml:space="preserve">De enige bekende omvangrijke gebeurtenis voor WEB voor het jaar 2020 is het wegvallen van de productie met de Aggreko's. Dit leidt tot een aanzienlijke daling van het volume voor productie elektriciteit, en een daarmee gepaard gaande daling van de kosten. </t>
  </si>
  <si>
    <t>Kosten en volumes omvangrijke gebeurtenissen 2019 - 2020</t>
  </si>
  <si>
    <t>Bedragen inclusief effecten van wegvallen productie met Aggreko's</t>
  </si>
  <si>
    <t>Totale variabele kosten t.b.v. kostenbasis 2020 per eenheid output</t>
  </si>
  <si>
    <t>Berekening kostenbasis 2020</t>
  </si>
  <si>
    <t>Berekening kostenbasis 2020 op basis van geraamde volumes</t>
  </si>
  <si>
    <t>Geraamde volumes 2020</t>
  </si>
  <si>
    <t>Gerealiseerd volume door WEB 2018</t>
  </si>
  <si>
    <t>Kostenbasis 2020 o.b.v. geraamde volumes 2020</t>
  </si>
  <si>
    <t>Totale variabele kosten t.b.v. kostenbasis 2020, in prijspeil 2020</t>
  </si>
  <si>
    <t>Totale vaste kosten t.b.v. kostenbasis 2020, in prijspeil 2020</t>
  </si>
  <si>
    <t>USD, pp 2020 / #</t>
  </si>
  <si>
    <t>Contractuele productieprijs bij geraamd volume</t>
  </si>
  <si>
    <t>Geraamd volume voor 2020</t>
  </si>
  <si>
    <t>Totale kosten 2020 o.b.v. geraamde volumes 2020</t>
  </si>
  <si>
    <t>Berekening kosten productie drinkwater via GE</t>
  </si>
  <si>
    <t>Aanvullende kosten voor drinkwaterproductie in 2020</t>
  </si>
  <si>
    <t>Let op: vooruitverwijzing in het model</t>
  </si>
  <si>
    <t>KVA zwaarte van drinkwaterproductie</t>
  </si>
  <si>
    <t>Toevoegen aan kosten drinkwaterproductie (12 maanden)</t>
  </si>
  <si>
    <t>USD, pp 2019</t>
  </si>
  <si>
    <t>Tarief per kVA voor elektriciteitsaansluiting</t>
  </si>
  <si>
    <t>Betreft vaste kosten</t>
  </si>
  <si>
    <t>Toevoeging kosten elektriciteitsaansluiting voor waterproductie</t>
  </si>
  <si>
    <t>NB: variabele kosten dus exclusief volume drinkwaterproductie via GE</t>
  </si>
  <si>
    <t>Berekening totaalbedragen correcties voor 2020</t>
  </si>
  <si>
    <t>Totale correctiebedragen in prijspeil 2020</t>
  </si>
  <si>
    <t>Correctiebedrag te verrekenen in productieprijs (alleen DW)</t>
  </si>
  <si>
    <t>Correctiebedrag te verrekenen in variabel gebruikstarief</t>
  </si>
  <si>
    <t>Correctiebedrag te verrekenen in vast gebruikstarief</t>
  </si>
  <si>
    <t>M3</t>
  </si>
  <si>
    <t>Benodigde hoeveelheid elektriciteit voor productie drinkwater</t>
  </si>
  <si>
    <t>kWh/M3</t>
  </si>
  <si>
    <t>Totale verwachte productie drinkwater 2019</t>
  </si>
  <si>
    <t>Variabele gebruikstarief elektriciteit per 1 juli 2019</t>
  </si>
  <si>
    <t>Variabele gebruikstarief elektriciteit per 1 januari 2019</t>
  </si>
  <si>
    <t>USD, pp 2019 /kWh</t>
  </si>
  <si>
    <t>Verschil tussen variabele gebruikstarief zoals ingeschat en aanpassing 1 juli 2019</t>
  </si>
  <si>
    <t>Rendement productie WEB</t>
  </si>
  <si>
    <t>kWh / m3</t>
  </si>
  <si>
    <t>Netverliespercentage</t>
  </si>
  <si>
    <t>Berekening productieprijs en variabel gebruikstarief drinkwater</t>
  </si>
  <si>
    <t>Bedrag productie drinkwater is inclusief kosten productie via GE</t>
  </si>
  <si>
    <t>Berekening productieprijs en variabel gebruikstarief elektriciteit</t>
  </si>
  <si>
    <t>Verwachte deel verkoopvolume in eerste helft van 2019</t>
  </si>
  <si>
    <t>Totale kosten voor productie WEB in 2020</t>
  </si>
  <si>
    <t>Productieprijs voor productie WEB</t>
  </si>
  <si>
    <t>Berekening productieprijs WEB (voor heel 2020)</t>
  </si>
  <si>
    <t>Totaalbedrag inkomsten productie WEB in 2020</t>
  </si>
  <si>
    <t>Berekening gewogen gemiddelde productieprijs voor januari 2020</t>
  </si>
  <si>
    <t>Geraamd productievolume WEB 2020 (uitsluitend solar)</t>
  </si>
  <si>
    <t>Geraamd productievolume CGB 2020</t>
  </si>
  <si>
    <t>Vastgestelde productieprijs voor CGB voor januari 2020</t>
  </si>
  <si>
    <t>Te verrekenen correcties in het variabele gebruikstarief voor 2020</t>
  </si>
  <si>
    <t>De percentages voor variabele OPEX zijn gebaseerd op een berekening in het OPEX model over 2018, maar hier afgerond opgenomen. Overigens wordt bij productie elektriciteit dit percentage op 0% gesteld, i.v.m. wegvallen van de productie met Aggreko's.</t>
  </si>
  <si>
    <t>Totale productievolume CGB 2018</t>
  </si>
  <si>
    <t>Totale productie via GE</t>
  </si>
  <si>
    <t>Bedragen volumecorrectie per activiteit</t>
  </si>
  <si>
    <t>Volumecorrectie op te nemen in tarieven 2020</t>
  </si>
  <si>
    <t>Bedragen profit sharing per activiteit</t>
  </si>
  <si>
    <t>Bedrag profit sharing 2018 over netverliezen / lekverliezen</t>
  </si>
  <si>
    <t>Bedragen brandstofcorrectie elektriciteit</t>
  </si>
  <si>
    <t>Correctie voor verschil in doorrekening van brandstofcomponent mei - okt 2019</t>
  </si>
  <si>
    <t>Correctie voor brandstofprijs verschillen in 2018</t>
  </si>
  <si>
    <t>Ophalen gegevens uit rekenmodel profit sharing en brandstofmodel</t>
  </si>
  <si>
    <t>Correctie voor hogere inkoopkosten door veranderde inkoop-mix in 2018</t>
  </si>
  <si>
    <t>Voor periode april - december 2018</t>
  </si>
  <si>
    <t>Tariefmodel WEB 2019, tabblad 'variabel tarief water', regel 16</t>
  </si>
  <si>
    <t>Tariefmodel WEB 2019, tabblad 'variabel tarief water', regel 49</t>
  </si>
  <si>
    <t>Berekening variabel gebruikstarief elektriciteit per 1 juli 2019</t>
  </si>
  <si>
    <t>Gebaseerd op aanname voor 2019</t>
  </si>
  <si>
    <t>Tariefmodel WEB 2019, tabblad 'variabel tarief water', regel 17</t>
  </si>
  <si>
    <t>Nacalculatie elektriciteitskosten voor drinkwaterproductie</t>
  </si>
  <si>
    <t>Benodigde gegevens voor berekening</t>
  </si>
  <si>
    <t>Berekening nacalculatiebedrag</t>
  </si>
  <si>
    <t>Benodigde hoeveelheid elektriciteit voor productie in tweede helft 2019</t>
  </si>
  <si>
    <t>Negatief bedrag = WEB heeft meer vergoed gekregen dan er kosten waren. Bedrag optellen bij inkomsten 2020</t>
  </si>
  <si>
    <t>Bedragen volumecorrectie in prijspeil 2020</t>
  </si>
  <si>
    <t>Correctiebedrag te verrekenen in productieprijs</t>
  </si>
  <si>
    <t>Correctiebedragen die zien op productie elektriciteit gaan mee in totale correctie op variabel gebruikstarief elektriciteit</t>
  </si>
  <si>
    <t>Bedragen profit sharing in prijspeil 2020</t>
  </si>
  <si>
    <t>Bedragen brandstofcorrectie (ook kWh-prijs DW) in prijspeil 2020</t>
  </si>
  <si>
    <t>Correctiebedragen die zien op productie elektriciteit gaan mee in totale correctie op variabel gebruikstarief elektriciteit. Correctiebedragen voor profit sharing over net- en lekverliezen gaan mee in het variabele gebruikstarief.</t>
  </si>
  <si>
    <t>Prijs voor inkoop water bij GE in 2020</t>
  </si>
  <si>
    <t>Productie GE (raming voor 2020)</t>
  </si>
  <si>
    <r>
      <rPr>
        <i/>
        <u/>
        <sz val="10"/>
        <rFont val="Arial"/>
        <family val="2"/>
      </rPr>
      <t>Waarvan</t>
    </r>
    <r>
      <rPr>
        <sz val="10"/>
        <rFont val="Arial"/>
        <family val="2"/>
      </rPr>
      <t xml:space="preserve"> volume Pagabon (gewicht 4,4 kVA)</t>
    </r>
  </si>
  <si>
    <t xml:space="preserve">De effecten van deze omvangrijke gebeurtenis zijn al verwerkt in de gegevens over de kosten 2018 (zie tabblad 'gegevens kosten 2018') en de volume zoals die hierboven zijn opgenomen. </t>
  </si>
  <si>
    <t>Een aanpassing ten op zichte van eerdere jaren is dat de verwachte kosten voor dubieuze debituren onderdeel zijn van de schatting op basis van 2018 kosten, dus opgenomen zijn in de OPEX hieronder op regel 21.</t>
  </si>
  <si>
    <t>Omdat WEB uitsluitend nog met solar produceert, is deze productieprijs niet meer afhankelijk van een brandstofcomponent, en geldt deze dus voor heel 2020.</t>
  </si>
  <si>
    <t>Gewogen gemiddelde productieprijs voor januari 2020</t>
  </si>
  <si>
    <t>Correctiebedrag te verrekenen in variabel gebruikstarief (heel 2020)</t>
  </si>
  <si>
    <t>Correctiebedrag te verrekenen in variabel gebruikstarief (eerste helft 2020)</t>
  </si>
  <si>
    <t>Variabel gebruikstarief WEB voor januari - juni 2020</t>
  </si>
  <si>
    <t>Correctiebedrag van toepassing op eerste helft 2020</t>
  </si>
  <si>
    <t>Berekening vaste gebruikstarieven elektriciteit</t>
  </si>
  <si>
    <t>Op dit tabblad worden de vaste gebruikstarieven voor 2020 berekend door de inkomsten te delen door de verwachte volumes, en daarbij de correcties te betrekken.</t>
  </si>
  <si>
    <t>Ook worden het pagabon tarief en de aansluittarieven bepaald op dit tabblad.</t>
  </si>
  <si>
    <t>Berekening vaste gebruikstarieven Elektriciteit 2020</t>
  </si>
  <si>
    <t>Berekening tarief per kVA</t>
  </si>
  <si>
    <t>Inkomstenbedrag voor 2020, o.b.v. verwacht volume voor 2020:</t>
  </si>
  <si>
    <t>Verwacht volume voor 2020</t>
  </si>
  <si>
    <t>Inkomstenbedrag 2020 per kVA per maand</t>
  </si>
  <si>
    <t>USD, pp 2020 / kVA / mnd</t>
  </si>
  <si>
    <t>Tarief per maand per aansluitcategorie</t>
  </si>
  <si>
    <t>USD, pp 2020 / mnd</t>
  </si>
  <si>
    <t>Pagabontarief elektriciteit</t>
  </si>
  <si>
    <t>Pagabon-rekenwaarde (gem. verbruik per maand)</t>
  </si>
  <si>
    <t>Variabel distributietarief</t>
  </si>
  <si>
    <t>Vast gebruikstarief voor standaard pagabon aansluiting (o.b.v. 4,4 kVA rekenwaarde)</t>
  </si>
  <si>
    <t>Aansluittarieven elektriciteit</t>
  </si>
  <si>
    <t>Heraansluittarief</t>
  </si>
  <si>
    <t>Wordt niet geindexeerd, omdat het een forfaitair vastgesteld tarief betreft</t>
  </si>
  <si>
    <t>Berekening aansluittarief (standaardaansluiting)</t>
  </si>
  <si>
    <t>Aansluittarief elektriciteit 2019 (standaardaansluiting)</t>
  </si>
  <si>
    <t>Pagabontarief 2020</t>
  </si>
  <si>
    <t>Aansluittarieven</t>
  </si>
  <si>
    <t>Heraansluittarief 2019</t>
  </si>
  <si>
    <t>Standaard aansluittarief 2019</t>
  </si>
  <si>
    <t>Gebaseerd op analyse van kosten 2017</t>
  </si>
  <si>
    <t>Heraansluittarief 2020</t>
  </si>
  <si>
    <t>Aansluittarief elektriciteit 2020 (standaardaansluiting)</t>
  </si>
  <si>
    <t>Geraamd productievolume WEB 2020</t>
  </si>
  <si>
    <t>Geraamd productievolume via GE in 2020</t>
  </si>
  <si>
    <t>Totaal geraamde volume voor 2020</t>
  </si>
  <si>
    <t>Geraamde volumes voor 2020</t>
  </si>
  <si>
    <t>Bedrag inclusief alle kosten voor productie via GE en inclusief kosten voor elektriciteitsaansluiting</t>
  </si>
  <si>
    <t>Te verrekenen correcties in productieprijs drinkwater WEB 2020</t>
  </si>
  <si>
    <t>Variabel gebruikstarief elektriciteit 2020</t>
  </si>
  <si>
    <t>Variabele gebruikstarief drinkwater WEB 2020</t>
  </si>
  <si>
    <t>Variabel gebruikstarief voor drinkwater</t>
  </si>
  <si>
    <t>Productieprijs drinkwater</t>
  </si>
  <si>
    <t>Berekening vaste gebruikstarieven drinkwater</t>
  </si>
  <si>
    <t>Ook worden het tarief voor bezorging van drinkwater per truck berekend en worden de aansluittarieven bepaald op dit tabblad.</t>
  </si>
  <si>
    <t>Berekening vaste gebruikstarieven drinkwater 2020</t>
  </si>
  <si>
    <t>Correctiebedrag per m3</t>
  </si>
  <si>
    <t>Totale kosten verbruik elektriciteit voor productie drinkwater</t>
  </si>
  <si>
    <t>Tarief voor truck delivery</t>
  </si>
  <si>
    <t>Kosten voor distributie water via truck</t>
  </si>
  <si>
    <t>Tarief voor levering drinkwater per truck</t>
  </si>
  <si>
    <t>Inkomsten bedrag voor truck delivery</t>
  </si>
  <si>
    <t>Totale kosten 2020 voor distributie via truck</t>
  </si>
  <si>
    <t>Correctiebedrag te verrekenen in truck delivery tarief</t>
  </si>
  <si>
    <t>Productieprijs drinkwater WEB 2020</t>
  </si>
  <si>
    <t>Inkomsten bedrag voor truck delivery 2020</t>
  </si>
  <si>
    <t>Totale volume distributie via truck (geraamd voor 2020)</t>
  </si>
  <si>
    <t>Aansluittarief drinkwater 2019 (standaardaansluiting)</t>
  </si>
  <si>
    <t>Aansluittarief drinkwater 2020 (standaardaansluiting)</t>
  </si>
  <si>
    <t>Productieprijzen</t>
  </si>
  <si>
    <t>maandelijkse aanpassing</t>
  </si>
  <si>
    <t>Variabele distributietarieven</t>
  </si>
  <si>
    <t>Vaste distributietarieven elektriciteit</t>
  </si>
  <si>
    <t>Rekencapaciteit</t>
  </si>
  <si>
    <t xml:space="preserve">grootverbruikers </t>
  </si>
  <si>
    <t>Grootverbruikers betalen een tarief per kVA per maand</t>
  </si>
  <si>
    <t>Aansluittarief (standaardaansluiting)</t>
  </si>
  <si>
    <t>Tarief voor meerlengte valt onder maatwerk</t>
  </si>
  <si>
    <t>Productieprijs</t>
  </si>
  <si>
    <t>Vaste distributietarieven drinkwater</t>
  </si>
  <si>
    <t>Periode van toepassing</t>
  </si>
  <si>
    <t>Overzicht tarieven elektriciteit 2020</t>
  </si>
  <si>
    <t>USD, pp 2020 / maand</t>
  </si>
  <si>
    <t>USD, pp 2020 / kVA / maand</t>
  </si>
  <si>
    <t>heel 2020</t>
  </si>
  <si>
    <t>Omdat het tarief voor WEB niet langer een brandstofcomponent bevat, is dit tarief geldig voor 12 maanden</t>
  </si>
  <si>
    <t>jan t/m jun 2020</t>
  </si>
  <si>
    <t>Overzicht tarieven drinkwater 2020</t>
  </si>
  <si>
    <t>Correctiebedrag voor variabel gebruikstarief 2020 per kWh (heel 2020)</t>
  </si>
  <si>
    <t>Correctiebedrag voor variabel gebruikstarief 2020 per kWh (eerste helft 2020)</t>
  </si>
  <si>
    <t>Correctiebedrag van toepassing op heel 2020</t>
  </si>
  <si>
    <t>De CPI ontwikkeling tussen Q3 jaar T en Q3 jaar T-1 wordt gebruikt als de geschatte inflatie voor jaar T+1. De geschatte inflatie wordt afgerond op één decimaal.</t>
  </si>
  <si>
    <t>Vanaf de ontwikkeling tussen Q3 2017 en Q3 2018 maken we gebruik van de 2017 = 100 reeks. Hiervoor werd gebruik gemaakt van de reeks 2010 = 100.</t>
  </si>
  <si>
    <t>Op dit blad haalt de ACM de gegevens op vanuit de RAB-berekening voor (ultimo) 2018 en de OPEX-berekening over 2018.</t>
  </si>
  <si>
    <t>De percentages voor variabele kapitaalkosten zijn gebaseerd op het tarievenvoorstel van WEB. WEB heeft in haar voorstel de percentages opgenomen die de ACM eerder heeft voorgesteld op basis van een indicatieve analyse van de activa van WEB.</t>
  </si>
  <si>
    <t>Totale netto-OPEX 2018 (na effect uitfaseren Aggreko's)</t>
  </si>
  <si>
    <t>Productie en Volume 2018</t>
  </si>
  <si>
    <t>Totale volumes 2018</t>
  </si>
  <si>
    <t>Productie en Volume: ramingen 2020</t>
  </si>
  <si>
    <t>Geschat productievolume CGB (totaal)</t>
  </si>
  <si>
    <t>Op dit tabblad geeft de ACM de productie- en volumegegevens weer zoals ACM die inschat voor 2020. Dit is van belang om de volumecorrectie over 2020 (verrekening van dekking vaste kosten) te beperken.</t>
  </si>
  <si>
    <t>Productie CBG</t>
  </si>
  <si>
    <t>Productieprijs CGB 2020 (incl brandstofcomponent voor de maand januari)</t>
  </si>
  <si>
    <t>Geschat volume distributie drinkwater truck delivery 2020</t>
  </si>
  <si>
    <t>Pagabon rekenwaarde voor gemiddeld verbruik 2020</t>
  </si>
  <si>
    <t>Gegevens en berekeningen correcties en profit sharing over 2018</t>
  </si>
  <si>
    <t>Op deze sheet worden de uitkomsten gepresenteerd van de berekening van de volumecorrecties, inkoopmix effect (elektriciteit) en de profit sharing over 2018.</t>
  </si>
  <si>
    <t>Tot slot worden de correctiebedragen opgeteld op basis van hun bestemming: verrekening in de productieprijs, het variabele gebruikstarief of het vaste gebruikstarief.</t>
  </si>
  <si>
    <t>Bedrag profit sharing 2018 over alle gerealiseerde kosten (excl. net-/lekverliezen)</t>
  </si>
  <si>
    <t>Totale netto-OPEX 2018 (na effect uitfaseren Aggreko's), tb.v. kostenbasis 2020</t>
  </si>
  <si>
    <t>Percentage variabele kapitaalkosten: RAB ultimo 2018</t>
  </si>
  <si>
    <t>Percentage variabele kapitaalkosten: Afschrijvingen 2018</t>
  </si>
  <si>
    <t>USD, pp 2020/kVA/mnd</t>
  </si>
  <si>
    <t>Voor de berekening van kapitaalkosten geldt dat geen inflatie wordt toegepast voor correctie van het prijspeil, omdat door toepassing van een nominale WACC al een vergoeding voor inflatie ontstaat.</t>
  </si>
  <si>
    <t>Totale variabele kosten bij geraamde volume 2020</t>
  </si>
  <si>
    <t>Op dit tabblad worden de productieprijs en het variabele gebruikstarief berekend door de inkomsten te delen door de volumes, en daarbij de correcties en het netverlies te betrekken.</t>
  </si>
  <si>
    <t>Variabel gebruikstarief voor elektriciteit</t>
  </si>
  <si>
    <t>Productieprijs elektriciteit</t>
  </si>
  <si>
    <t>Inkomstenbedrag voor 2020, o.b.v. verwacht volume voor 2020</t>
  </si>
  <si>
    <t>Op dit tabblad worden de productieprijs en het variabele gebruikstarief berekend door de inkomsten te delen door de volumes, en daarbij de correcties en het lekverlies te betrekken.</t>
  </si>
  <si>
    <t>Aansluittarieven drinkwater</t>
  </si>
  <si>
    <t>Berekening tarief per inch aansluitcapaciteit</t>
  </si>
  <si>
    <t>Inkomstenbedrag 2020 per inch per maand</t>
  </si>
  <si>
    <t>USD, pp 2020 / inch^2 / mnd</t>
  </si>
  <si>
    <t>Daarnaast wordt voor drinkwater de correctie berekend die van toepassing is op de inkoopprijs voor elektriciteit voor de tweede helft van 2019.</t>
  </si>
  <si>
    <t>Tariefmodel CGB 2020, versie gepubliceerd op acm.nl</t>
  </si>
  <si>
    <t>Totaaloverzicht van alle tarieven die in dit bestand berekend worden.</t>
  </si>
  <si>
    <t>Let op: deze prijs wordt afgerond meegenomen op 4 decimalen, want volgt op deze wijze uit het besluit voor CGB.</t>
  </si>
  <si>
    <t>RAB-berekening WEB ultimo 2018</t>
  </si>
  <si>
    <t>Berekening OPEX over 2018 WEB</t>
  </si>
  <si>
    <t>Laatste update CBS: 2 december 2019</t>
  </si>
  <si>
    <t>Brandstofmodel WEB voor tarieven 2020</t>
  </si>
  <si>
    <t>Profit sharing WEB over 2018</t>
  </si>
  <si>
    <t>Productieprijs voor productie WEB (onafgerond)</t>
  </si>
  <si>
    <t>Productieprijs voor productie WEB zoals vastgesteld (afgerond)</t>
  </si>
  <si>
    <t>Productieprijs voor productie drinkwater WEB zoals vastgesteld (afgerond)</t>
  </si>
  <si>
    <t>Productieprijs voor productie drinkwater WEB (onafgerond)</t>
  </si>
  <si>
    <t>Basis voor berekening variabel gebruikstarief eerste helft 2020 (dit bedrag wordt niet formeel vastgesteld, en wordt daarom ook niet afgerond)</t>
  </si>
  <si>
    <t>Variabel gebruikstarief WEB voor januari - juni 2020 afgerond op 4 decimalen</t>
  </si>
  <si>
    <t>(afgerond tarief)</t>
  </si>
  <si>
    <t>(afgerond op 4 decimalen)</t>
  </si>
  <si>
    <t>Variabele gebruikstarief drinkwater WEB 2020 (afgerond)</t>
  </si>
  <si>
    <t>(afgerond op 3 decimalen)</t>
  </si>
  <si>
    <t>Tarief voor levering drinkwater per truck (afgerond op 3 decimalen)</t>
  </si>
  <si>
    <t xml:space="preserve">Totaal geraamd productievolume elektriciteit in 2020 </t>
  </si>
  <si>
    <t>Gebaseerd op finale versie</t>
  </si>
  <si>
    <t>Rekenmodel WEB 2019</t>
  </si>
  <si>
    <t>https://www.acm.nl/sites/default/files/documents/2018-12/rekenmodel-web-2019.xlsx</t>
  </si>
  <si>
    <t>(wordt niet gepubliceerd)</t>
  </si>
  <si>
    <t>Ontvangen door ACM per e-mail op 30 september 2019</t>
  </si>
  <si>
    <t>https://opendata.cbs.nl/statline/#/CBS/nl/dataset/84046NED/table?ts=1571909504894</t>
  </si>
  <si>
    <t>https://www.acm.nl/nl/publicaties/wacc-elektriciteit-en-drinkwater-caribisch-nederland-2020-2022</t>
  </si>
  <si>
    <t>Antwoorden op diverse vragen van eerste informatieverzoek</t>
  </si>
  <si>
    <t>Beantwoording door ContourGlobal van dataverzoek productiegegevens 2018</t>
  </si>
  <si>
    <t>Tariefmodel CGB 2020</t>
  </si>
  <si>
    <t>Berekening productieprijs elektriciteit ContourGlobal 2020</t>
  </si>
  <si>
    <t xml:space="preserve">Zal gepubliceerd worden op acm.nl </t>
  </si>
  <si>
    <t>ACM/19/035836</t>
  </si>
  <si>
    <t>ACM/18/034526</t>
  </si>
  <si>
    <t>ACM/19/035835</t>
  </si>
  <si>
    <t>Beschikkingen productieprijzen en distributietarieven elektriciteit en drinkwater voor WEB 2020</t>
  </si>
  <si>
    <t>zie onder</t>
  </si>
  <si>
    <t>Overzicht besluiten en kenmerken tarievenbesluiten WEB 2020</t>
  </si>
  <si>
    <t>Besluit</t>
  </si>
  <si>
    <t>Kenmerk besluit</t>
  </si>
  <si>
    <t>Productieprijs elektriciteit WEB 2020</t>
  </si>
  <si>
    <t>ACM/UIT/523266</t>
  </si>
  <si>
    <t>ACM/UIT/523270</t>
  </si>
  <si>
    <t>Gebruikstarieven elektriciteit WEB 2020</t>
  </si>
  <si>
    <t>ACM/UIT/523271</t>
  </si>
  <si>
    <t>Gebruikstarieven drinkwater WEB 2020</t>
  </si>
  <si>
    <t>ACM/UIT/523273</t>
  </si>
  <si>
    <t>OPEX-berekening, RAB-berekening, berekening correcties (o.a. brandstof) en profit sharing</t>
  </si>
  <si>
    <t xml:space="preserve">NB: ten behoeve van de profit sharing over het jaar 2020 zijn ook de gegevens over geraamde volumes en aandelen variabele kosten van belang. </t>
  </si>
  <si>
    <t>Deze gegevens zijn eveneens resultaat van de tarievenberekening voor 2020, en zijn opgenomen op de blauwe tabbladen 'Dictum&amp;Bijlage 1 Elektriciteit / Drinkwater'</t>
  </si>
  <si>
    <t>Gegevens over inkoop bij GE</t>
  </si>
  <si>
    <t>https://www.acm.nl/nl/publicaties/beschikking-distributietarieven-elektriciteit-2019-bonaire-web-caribisch-nederland
https://www.acm.nl/nl/publicaties/beschikking-distributietarieven-drinkwater-2019-bonaire-web-caribisch-nederland</t>
  </si>
  <si>
    <t>ACM/18/033330</t>
  </si>
  <si>
    <t>Beschikkingen distributietarieven WEB 2019</t>
  </si>
  <si>
    <t>Tariefmodel WEB 2019</t>
  </si>
  <si>
    <t>Opgave CGB in informatieverzoek</t>
  </si>
  <si>
    <t>https://www.acm.nl/nl/publicaties/beschikking-variabel-tarief-elektriciteit-1-juli-2019-bonaire-caribisch-nederland</t>
  </si>
  <si>
    <t>ACM/19/035489</t>
  </si>
  <si>
    <t>Deze productieprijs (die overigens niet formeel wordt vastgesteld) volgt uit gewogen gemiddelde weging van productieprijs WEB en maandelijks bijgestelde productieprijs van CGB</t>
  </si>
  <si>
    <t>Totaal aantal aansluitingen</t>
  </si>
  <si>
    <t>Alle gerootverbruikaansluitingen worden hier als één genomen</t>
  </si>
  <si>
    <t>In dit rekenbestand worden de tarieven van WEB voor 2020 berekend.</t>
  </si>
  <si>
    <t>Dit bestand vormt Bijlage 3 (bij distributietarievenbeschikkingen) of Bijlage 2 (bij productieprijsbeschikkingen) en is daarmee integraal onderdeel van die tarievenbesluiten voor WEB voor 2020.</t>
  </si>
  <si>
    <t>Per tabblad is ook nog een toelichting opgenomen over de belangrijkste rekenstappen of bijzonderheden.</t>
  </si>
  <si>
    <t>Beantwoording per e-mail (incl. bijlagen) aan ACM</t>
  </si>
  <si>
    <t>E-mail van WEB aan ACM</t>
  </si>
  <si>
    <t>Speciale voorziening</t>
  </si>
  <si>
    <t>Afgeronde percentages</t>
  </si>
  <si>
    <t>In deze RAB-berekening is verschuiving i.v.m. wegvallen Aggreko's opgenomen: toerekening van 0,47% aan productie elektriciteit voor indirecte activa</t>
  </si>
  <si>
    <t>Antwoorden informatieverzoek</t>
  </si>
  <si>
    <t>Opgave CGB (eerste dataverzoek)</t>
  </si>
  <si>
    <t>Tarievenvoorstel WEB</t>
  </si>
  <si>
    <t>Tariefvoorstel WEB 2020</t>
  </si>
  <si>
    <t>Realisatie 2018, antwoorden informatieverzoek</t>
  </si>
  <si>
    <t>Berekening profit sharing WEB over 2018, gepubliceerd op acm.nl</t>
  </si>
  <si>
    <t>Tarievenvoorstel WEB voor 2020</t>
  </si>
  <si>
    <t>Ja</t>
  </si>
  <si>
    <t>Ja, in bovenstaande besluiten wordt in de bijlagen gerefereerd aan dit rekenbestand als integrale bijlage bij het besluit.</t>
  </si>
  <si>
    <t>Nee, in dit gepubliceerde bestand zijn bedrijfsvetrouwelijke gegevens verwijderd.</t>
  </si>
  <si>
    <t>Dit bestand is openbaar</t>
  </si>
  <si>
    <t>Op het tabblad 'Resultaat' worden alle tarieven weergegeven.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</si>
</sst>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 #,##0.000_ ;_ * \-#,##0.000_ ;_ * &quot;-&quot;??_ ;_ @_ "/>
    <numFmt numFmtId="166" formatCode="_ * #,##0.0_ ;_ * \-#,##0.0_ ;_ * &quot;-&quot;??_ ;_ @_ "/>
    <numFmt numFmtId="167" formatCode="_ * #,##0.00_ ;_ * \-#,##0.00_ ;_ * &quot;-&quot;_ ;_ @_ "/>
    <numFmt numFmtId="168" formatCode="_ * #,##0.0000_ ;_ * \-#,##0.0000_ ;_ * &quot;-&quot;_ ;_ @_ "/>
    <numFmt numFmtId="169" formatCode="_ * #,##0.0000_ ;_ * \-#,##0.0000_ ;_ * &quot;-&quot;??_ ;_ @_ "/>
    <numFmt numFmtId="170" formatCode="_ * #,##0.000_ ;_ * \-#,##0.000_ ;_ * &quot;-&quot;_ ;_ @_ "/>
    <numFmt numFmtId="171" formatCode="0.0%"/>
    <numFmt numFmtId="172" formatCode="_ * #,##0.0_ ;_ * \-#,##0.0_ ;_ * &quot;-&quot;_ ;_ @_ "/>
    <numFmt numFmtId="173" formatCode="_ * #,##0.000_ ;_ * \-#,##0.000_ ;_ * &quot;-&quot;???_ ;_ @_ "/>
  </numFmts>
  <fonts count="33"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i/>
      <u/>
      <sz val="10"/>
      <name val="Arial"/>
      <family val="2"/>
    </font>
    <font>
      <u/>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67">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0" borderId="1">
      <alignment vertical="top"/>
    </xf>
    <xf numFmtId="49" fontId="6" fillId="0" borderId="0">
      <alignment vertical="top"/>
    </xf>
    <xf numFmtId="41" fontId="5" fillId="13" borderId="0">
      <alignment vertical="top"/>
    </xf>
    <xf numFmtId="41" fontId="5" fillId="12" borderId="0">
      <alignment vertical="top"/>
    </xf>
    <xf numFmtId="41" fontId="5" fillId="10" borderId="0">
      <alignment vertical="top"/>
    </xf>
    <xf numFmtId="41" fontId="5" fillId="47" borderId="0">
      <alignment vertical="top"/>
    </xf>
    <xf numFmtId="41" fontId="5" fillId="8" borderId="0">
      <alignment vertical="top"/>
    </xf>
    <xf numFmtId="41" fontId="5" fillId="14" borderId="0">
      <alignment vertical="top"/>
    </xf>
    <xf numFmtId="49" fontId="11" fillId="0" borderId="0">
      <alignment vertical="top"/>
    </xf>
    <xf numFmtId="49" fontId="10" fillId="0" borderId="0">
      <alignment vertical="top"/>
    </xf>
    <xf numFmtId="0" fontId="17" fillId="16" borderId="3" applyNumberFormat="0" applyAlignment="0" applyProtection="0"/>
    <xf numFmtId="0" fontId="18" fillId="17" borderId="4" applyNumberFormat="0" applyAlignment="0" applyProtection="0"/>
    <xf numFmtId="0" fontId="19" fillId="17" borderId="3" applyNumberFormat="0" applyAlignment="0" applyProtection="0"/>
    <xf numFmtId="0" fontId="20" fillId="0" borderId="5" applyNumberFormat="0" applyFill="0" applyAlignment="0" applyProtection="0"/>
    <xf numFmtId="0" fontId="14" fillId="18" borderId="6" applyNumberFormat="0" applyAlignment="0" applyProtection="0"/>
    <xf numFmtId="0" fontId="16" fillId="19" borderId="7"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5" fillId="45" borderId="0" applyNumberFormat="0">
      <alignment vertical="top"/>
    </xf>
    <xf numFmtId="43" fontId="5" fillId="12" borderId="0" applyFont="0" applyFill="0" applyBorder="0" applyAlignment="0" applyProtection="0">
      <alignment vertical="top"/>
    </xf>
    <xf numFmtId="41" fontId="5" fillId="46" borderId="0">
      <alignment vertical="top"/>
    </xf>
    <xf numFmtId="10" fontId="5" fillId="0" borderId="0" applyFont="0" applyFill="0" applyBorder="0" applyAlignment="0" applyProtection="0">
      <alignment vertical="top"/>
    </xf>
    <xf numFmtId="49" fontId="6" fillId="20" borderId="1">
      <alignment vertical="top"/>
    </xf>
  </cellStyleXfs>
  <cellXfs count="138">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9" fillId="5" borderId="1" xfId="5">
      <alignment vertical="top"/>
    </xf>
    <xf numFmtId="49" fontId="6" fillId="20"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8" fillId="6" borderId="1" xfId="4" applyFont="1" applyFill="1" applyBorder="1">
      <alignment vertical="top"/>
    </xf>
    <xf numFmtId="0" fontId="11" fillId="0" borderId="0" xfId="4" applyFont="1" applyFill="1">
      <alignment vertical="top"/>
    </xf>
    <xf numFmtId="0" fontId="5" fillId="7" borderId="0" xfId="4" applyFill="1">
      <alignment vertical="top"/>
    </xf>
    <xf numFmtId="2" fontId="5" fillId="11" borderId="0" xfId="4" applyNumberFormat="1" applyFill="1">
      <alignment vertical="top"/>
    </xf>
    <xf numFmtId="1" fontId="5"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49" fontId="7" fillId="20" borderId="2" xfId="6" applyFont="1" applyBorder="1">
      <alignment vertical="top"/>
    </xf>
    <xf numFmtId="0" fontId="9" fillId="5" borderId="1" xfId="5" applyNumberFormat="1">
      <alignment vertical="top"/>
    </xf>
    <xf numFmtId="0" fontId="15" fillId="0" borderId="0" xfId="4" applyFont="1">
      <alignment vertical="top"/>
    </xf>
    <xf numFmtId="0" fontId="7" fillId="9" borderId="0" xfId="4" applyFont="1" applyFill="1">
      <alignment vertical="top"/>
    </xf>
    <xf numFmtId="0" fontId="5" fillId="15" borderId="0" xfId="4" applyFill="1">
      <alignment vertical="top"/>
    </xf>
    <xf numFmtId="49" fontId="7" fillId="20" borderId="0" xfId="6" applyFont="1" applyBorder="1">
      <alignment vertical="top"/>
    </xf>
    <xf numFmtId="0" fontId="5" fillId="0" borderId="0" xfId="4" applyFont="1">
      <alignment vertical="top"/>
    </xf>
    <xf numFmtId="49" fontId="5" fillId="20" borderId="2" xfId="6" applyFont="1" applyBorder="1">
      <alignment vertical="top"/>
    </xf>
    <xf numFmtId="0" fontId="5" fillId="0" borderId="2" xfId="4" applyFont="1" applyBorder="1">
      <alignment vertical="top"/>
    </xf>
    <xf numFmtId="0" fontId="7" fillId="0" borderId="0" xfId="4" applyFont="1" applyFill="1" applyBorder="1" applyAlignment="1">
      <alignment horizontal="left" vertical="top" wrapText="1"/>
    </xf>
    <xf numFmtId="49" fontId="6" fillId="0" borderId="0" xfId="7">
      <alignment vertical="top"/>
    </xf>
    <xf numFmtId="49" fontId="10" fillId="0" borderId="0" xfId="15">
      <alignment vertical="top"/>
    </xf>
    <xf numFmtId="0" fontId="5" fillId="0" borderId="2" xfId="4" applyFont="1" applyBorder="1" applyAlignment="1">
      <alignment horizontal="left" vertical="top" wrapText="1"/>
    </xf>
    <xf numFmtId="41" fontId="5" fillId="13" borderId="0" xfId="8">
      <alignment vertical="top"/>
    </xf>
    <xf numFmtId="0" fontId="7" fillId="12" borderId="0" xfId="4" applyFont="1" applyFill="1">
      <alignment vertical="top"/>
    </xf>
    <xf numFmtId="9" fontId="5" fillId="0" borderId="0" xfId="4" applyNumberFormat="1">
      <alignment vertical="top"/>
    </xf>
    <xf numFmtId="41" fontId="5" fillId="10" borderId="0" xfId="10">
      <alignment vertical="top"/>
    </xf>
    <xf numFmtId="41" fontId="5" fillId="8" borderId="0" xfId="12">
      <alignment vertical="top"/>
    </xf>
    <xf numFmtId="41" fontId="5" fillId="47" borderId="0" xfId="11">
      <alignment vertical="top"/>
    </xf>
    <xf numFmtId="41" fontId="5" fillId="47" borderId="2" xfId="11" applyBorder="1">
      <alignment vertical="top"/>
    </xf>
    <xf numFmtId="43" fontId="13" fillId="0" borderId="0" xfId="63" applyFont="1" applyFill="1">
      <alignment vertical="top"/>
    </xf>
    <xf numFmtId="0" fontId="5" fillId="0" borderId="2" xfId="4" applyFont="1" applyBorder="1" applyAlignment="1">
      <alignment horizontal="left" vertical="top" wrapText="1"/>
    </xf>
    <xf numFmtId="41" fontId="5" fillId="46" borderId="0" xfId="64">
      <alignment vertical="top"/>
    </xf>
    <xf numFmtId="41" fontId="5" fillId="14" borderId="0" xfId="13">
      <alignment vertical="top"/>
    </xf>
    <xf numFmtId="41" fontId="5" fillId="12" borderId="0" xfId="9">
      <alignment vertical="top"/>
    </xf>
    <xf numFmtId="10" fontId="5" fillId="47" borderId="0" xfId="65" applyFill="1">
      <alignment vertical="top"/>
    </xf>
    <xf numFmtId="0" fontId="5" fillId="0" borderId="0" xfId="4" applyBorder="1" applyAlignment="1">
      <alignment vertical="top"/>
    </xf>
    <xf numFmtId="49" fontId="6" fillId="20" borderId="1" xfId="6" applyAlignment="1">
      <alignment vertical="top" wrapText="1"/>
    </xf>
    <xf numFmtId="164" fontId="5" fillId="12" borderId="0" xfId="9" applyNumberFormat="1">
      <alignment vertical="top"/>
    </xf>
    <xf numFmtId="49" fontId="6" fillId="0" borderId="0" xfId="7" applyFont="1">
      <alignment vertical="top"/>
    </xf>
    <xf numFmtId="0" fontId="1" fillId="0" borderId="0" xfId="0" applyFont="1">
      <alignment vertical="top"/>
    </xf>
    <xf numFmtId="49" fontId="6" fillId="20" borderId="1" xfId="6" applyFont="1">
      <alignment vertical="top"/>
    </xf>
    <xf numFmtId="49" fontId="6" fillId="20" borderId="1" xfId="6" applyFont="1" applyAlignment="1">
      <alignment vertical="top" wrapText="1"/>
    </xf>
    <xf numFmtId="0" fontId="1" fillId="0" borderId="0" xfId="0" applyFont="1" applyAlignment="1">
      <alignment vertical="center"/>
    </xf>
    <xf numFmtId="49" fontId="10" fillId="0" borderId="0" xfId="15" applyFont="1">
      <alignment vertical="top"/>
    </xf>
    <xf numFmtId="0" fontId="1" fillId="0" borderId="0" xfId="0" applyFont="1" applyAlignment="1"/>
    <xf numFmtId="164" fontId="5" fillId="47" borderId="0" xfId="11" applyNumberFormat="1" applyFont="1">
      <alignment vertical="top"/>
    </xf>
    <xf numFmtId="49" fontId="11" fillId="0" borderId="0" xfId="14" applyFont="1">
      <alignment vertical="top"/>
    </xf>
    <xf numFmtId="164" fontId="5" fillId="12" borderId="0" xfId="9" applyNumberFormat="1" applyFont="1">
      <alignment vertical="top"/>
    </xf>
    <xf numFmtId="165" fontId="5" fillId="0" borderId="0" xfId="12" applyNumberFormat="1" applyFont="1" applyFill="1">
      <alignment vertical="top"/>
    </xf>
    <xf numFmtId="0" fontId="0" fillId="0" borderId="0" xfId="0" applyFont="1" applyAlignment="1"/>
    <xf numFmtId="0" fontId="28" fillId="0" borderId="0" xfId="0" applyFont="1">
      <alignment vertical="top"/>
    </xf>
    <xf numFmtId="164" fontId="5" fillId="0" borderId="0" xfId="11" applyNumberFormat="1" applyFont="1" applyFill="1">
      <alignment vertical="top"/>
    </xf>
    <xf numFmtId="10" fontId="5" fillId="0" borderId="0" xfId="65" applyNumberFormat="1" applyFont="1" applyFill="1" applyAlignment="1">
      <alignment vertical="top"/>
    </xf>
    <xf numFmtId="0" fontId="5" fillId="0" borderId="0" xfId="4" applyFont="1" applyFill="1">
      <alignment vertical="top"/>
    </xf>
    <xf numFmtId="41" fontId="5" fillId="10" borderId="0" xfId="10" applyFont="1">
      <alignment vertical="top"/>
    </xf>
    <xf numFmtId="166" fontId="5" fillId="47" borderId="0" xfId="11" applyNumberFormat="1" applyFont="1">
      <alignment vertical="top"/>
    </xf>
    <xf numFmtId="164" fontId="5" fillId="47" borderId="0" xfId="11" applyNumberFormat="1">
      <alignment vertical="top"/>
    </xf>
    <xf numFmtId="0" fontId="0" fillId="0" borderId="0" xfId="0">
      <alignment vertical="top"/>
    </xf>
    <xf numFmtId="167" fontId="5" fillId="47" borderId="0" xfId="11" applyNumberFormat="1">
      <alignment vertical="top"/>
    </xf>
    <xf numFmtId="10" fontId="5" fillId="10" borderId="0" xfId="10" applyNumberFormat="1" applyFont="1">
      <alignment vertical="top"/>
    </xf>
    <xf numFmtId="49" fontId="10" fillId="0" borderId="0" xfId="7" applyFont="1">
      <alignment vertical="top"/>
    </xf>
    <xf numFmtId="49" fontId="10" fillId="0" borderId="0" xfId="7" applyFont="1" applyAlignment="1">
      <alignment vertical="top" wrapText="1"/>
    </xf>
    <xf numFmtId="164" fontId="5" fillId="45" borderId="0" xfId="62" applyNumberFormat="1">
      <alignment vertical="top"/>
    </xf>
    <xf numFmtId="10" fontId="5" fillId="14" borderId="0" xfId="65" applyFill="1">
      <alignment vertical="top"/>
    </xf>
    <xf numFmtId="0" fontId="5" fillId="0" borderId="0" xfId="4" applyAlignment="1">
      <alignment horizontal="center" vertical="top"/>
    </xf>
    <xf numFmtId="49" fontId="5" fillId="0" borderId="0" xfId="15" applyFont="1">
      <alignment vertical="top"/>
    </xf>
    <xf numFmtId="0" fontId="0" fillId="0" borderId="0" xfId="0" applyFont="1">
      <alignment vertical="top"/>
    </xf>
    <xf numFmtId="9" fontId="5" fillId="47" borderId="0" xfId="65" applyNumberFormat="1" applyFill="1">
      <alignment vertical="top"/>
    </xf>
    <xf numFmtId="9" fontId="5" fillId="10" borderId="0" xfId="65" applyNumberFormat="1" applyFill="1">
      <alignment vertical="top"/>
    </xf>
    <xf numFmtId="164" fontId="5" fillId="45" borderId="0" xfId="63" applyNumberFormat="1" applyFill="1">
      <alignment vertical="top"/>
    </xf>
    <xf numFmtId="169" fontId="5" fillId="47" borderId="0" xfId="63" applyNumberFormat="1" applyFill="1">
      <alignment vertical="top"/>
    </xf>
    <xf numFmtId="170" fontId="5" fillId="47" borderId="0" xfId="11" applyNumberFormat="1">
      <alignment vertical="top"/>
    </xf>
    <xf numFmtId="41" fontId="5" fillId="0" borderId="0" xfId="4" applyNumberFormat="1">
      <alignment vertical="top"/>
    </xf>
    <xf numFmtId="9" fontId="5" fillId="14" borderId="0" xfId="13" applyNumberFormat="1">
      <alignment vertical="top"/>
    </xf>
    <xf numFmtId="9" fontId="5" fillId="10" borderId="0" xfId="10" applyNumberFormat="1">
      <alignment vertical="top"/>
    </xf>
    <xf numFmtId="43" fontId="5" fillId="12" borderId="0" xfId="63">
      <alignment vertical="top"/>
    </xf>
    <xf numFmtId="164" fontId="5" fillId="14" borderId="0" xfId="63" applyNumberFormat="1" applyFont="1" applyFill="1" applyAlignment="1">
      <alignment vertical="top"/>
    </xf>
    <xf numFmtId="164" fontId="5" fillId="14" borderId="0" xfId="13" applyNumberFormat="1">
      <alignment vertical="top"/>
    </xf>
    <xf numFmtId="169" fontId="5" fillId="14" borderId="0" xfId="13" applyNumberFormat="1">
      <alignment vertical="top"/>
    </xf>
    <xf numFmtId="10" fontId="5" fillId="14" borderId="0" xfId="13" applyNumberFormat="1">
      <alignment vertical="top"/>
    </xf>
    <xf numFmtId="169" fontId="5" fillId="12" borderId="0" xfId="9" applyNumberFormat="1">
      <alignment vertical="top"/>
    </xf>
    <xf numFmtId="169" fontId="5" fillId="13" borderId="0" xfId="8" applyNumberFormat="1">
      <alignment vertical="top"/>
    </xf>
    <xf numFmtId="171" fontId="5" fillId="14" borderId="0" xfId="13" applyNumberFormat="1">
      <alignment vertical="top"/>
    </xf>
    <xf numFmtId="165" fontId="5" fillId="13" borderId="0" xfId="8" applyNumberFormat="1">
      <alignment vertical="top"/>
    </xf>
    <xf numFmtId="169" fontId="5" fillId="13" borderId="0" xfId="63" applyNumberFormat="1" applyFill="1">
      <alignment vertical="top"/>
    </xf>
    <xf numFmtId="169" fontId="5" fillId="14" borderId="0" xfId="63" applyNumberFormat="1" applyFill="1">
      <alignment vertical="top"/>
    </xf>
    <xf numFmtId="41" fontId="5" fillId="0" borderId="0" xfId="4" applyNumberFormat="1" applyFont="1">
      <alignment vertical="top"/>
    </xf>
    <xf numFmtId="0" fontId="5" fillId="45" borderId="0" xfId="62" applyNumberFormat="1">
      <alignment vertical="top"/>
    </xf>
    <xf numFmtId="169" fontId="5" fillId="12" borderId="0" xfId="63" applyNumberFormat="1">
      <alignment vertical="top"/>
    </xf>
    <xf numFmtId="43" fontId="5" fillId="0" borderId="0" xfId="4" applyNumberFormat="1">
      <alignment vertical="top"/>
    </xf>
    <xf numFmtId="165" fontId="5" fillId="0" borderId="0" xfId="4" applyNumberFormat="1">
      <alignment vertical="top"/>
    </xf>
    <xf numFmtId="169" fontId="5" fillId="0" borderId="0" xfId="4" applyNumberFormat="1">
      <alignment vertical="top"/>
    </xf>
    <xf numFmtId="43" fontId="5" fillId="13" borderId="0" xfId="63" applyFill="1">
      <alignment vertical="top"/>
    </xf>
    <xf numFmtId="172" fontId="5" fillId="14" borderId="0" xfId="13" applyNumberFormat="1">
      <alignment vertical="top"/>
    </xf>
    <xf numFmtId="0" fontId="0" fillId="0" borderId="0" xfId="0" applyBorder="1" applyAlignment="1"/>
    <xf numFmtId="43" fontId="5" fillId="14" borderId="0" xfId="63" applyFill="1">
      <alignment vertical="top"/>
    </xf>
    <xf numFmtId="0" fontId="0" fillId="0" borderId="0" xfId="0" applyFont="1" applyFill="1" applyBorder="1" applyAlignment="1"/>
    <xf numFmtId="0" fontId="0" fillId="0" borderId="0" xfId="0">
      <alignment vertical="top"/>
    </xf>
    <xf numFmtId="43" fontId="5" fillId="10" borderId="0" xfId="63" applyFill="1">
      <alignment vertical="top"/>
    </xf>
    <xf numFmtId="164" fontId="5" fillId="12" borderId="0" xfId="63" applyNumberFormat="1">
      <alignment vertical="top"/>
    </xf>
    <xf numFmtId="173" fontId="5" fillId="0" borderId="0" xfId="4" applyNumberFormat="1">
      <alignment vertical="top"/>
    </xf>
    <xf numFmtId="43" fontId="5" fillId="12" borderId="0" xfId="9" applyNumberFormat="1">
      <alignment vertical="top"/>
    </xf>
    <xf numFmtId="166" fontId="5" fillId="0" borderId="0" xfId="63" applyNumberFormat="1" applyFill="1">
      <alignment vertical="top"/>
    </xf>
    <xf numFmtId="43" fontId="5" fillId="13" borderId="0" xfId="8" applyNumberFormat="1">
      <alignment vertical="top"/>
    </xf>
    <xf numFmtId="49" fontId="15" fillId="0" borderId="0" xfId="14" applyFont="1">
      <alignment vertical="top"/>
    </xf>
    <xf numFmtId="43" fontId="5" fillId="0" borderId="0" xfId="4" applyNumberFormat="1" applyFont="1">
      <alignment vertical="top"/>
    </xf>
    <xf numFmtId="43" fontId="5" fillId="0" borderId="0" xfId="63" applyFill="1">
      <alignment vertical="top"/>
    </xf>
    <xf numFmtId="43" fontId="6" fillId="20" borderId="1" xfId="63" applyFont="1" applyFill="1" applyBorder="1">
      <alignment vertical="top"/>
    </xf>
    <xf numFmtId="165" fontId="5" fillId="0" borderId="0" xfId="63" applyNumberFormat="1" applyFill="1">
      <alignment vertical="top"/>
    </xf>
    <xf numFmtId="169" fontId="5" fillId="0" borderId="0" xfId="63" applyNumberFormat="1" applyFill="1">
      <alignment vertical="top"/>
    </xf>
    <xf numFmtId="164" fontId="5" fillId="0" borderId="0" xfId="63" applyNumberFormat="1" applyFill="1">
      <alignment vertical="top"/>
    </xf>
    <xf numFmtId="165" fontId="5" fillId="13" borderId="0" xfId="63" applyNumberFormat="1" applyFill="1">
      <alignment vertical="top"/>
    </xf>
    <xf numFmtId="165" fontId="5" fillId="12" borderId="0" xfId="63" applyNumberFormat="1">
      <alignment vertical="top"/>
    </xf>
    <xf numFmtId="168" fontId="5" fillId="12" borderId="0" xfId="9" applyNumberFormat="1">
      <alignment vertical="top"/>
    </xf>
    <xf numFmtId="0" fontId="5" fillId="0" borderId="0" xfId="4" applyBorder="1">
      <alignment vertical="top"/>
    </xf>
    <xf numFmtId="0" fontId="0" fillId="0" borderId="0" xfId="0">
      <alignment vertical="top"/>
    </xf>
    <xf numFmtId="49" fontId="22" fillId="0" borderId="2" xfId="61" applyBorder="1" applyAlignment="1">
      <alignment vertical="top"/>
    </xf>
    <xf numFmtId="49" fontId="32" fillId="0" borderId="2" xfId="61" applyFont="1" applyBorder="1" applyAlignment="1">
      <alignment vertical="top"/>
    </xf>
    <xf numFmtId="0" fontId="6" fillId="0" borderId="2" xfId="4" applyFont="1" applyBorder="1">
      <alignment vertical="top"/>
    </xf>
    <xf numFmtId="0" fontId="5" fillId="0" borderId="2" xfId="4" applyBorder="1" applyAlignment="1">
      <alignment vertical="top" wrapText="1"/>
    </xf>
    <xf numFmtId="49" fontId="22" fillId="0" borderId="2" xfId="61" applyBorder="1" applyAlignment="1">
      <alignment vertical="top" wrapText="1"/>
    </xf>
    <xf numFmtId="49" fontId="22" fillId="0" borderId="0" xfId="61" applyBorder="1" applyAlignment="1">
      <alignment vertical="top" wrapText="1"/>
    </xf>
    <xf numFmtId="0" fontId="5" fillId="0" borderId="2" xfId="4" applyBorder="1" applyAlignment="1">
      <alignment vertical="top"/>
    </xf>
    <xf numFmtId="0" fontId="0" fillId="0" borderId="2" xfId="0" applyBorder="1">
      <alignment vertical="top"/>
    </xf>
    <xf numFmtId="0" fontId="5" fillId="0" borderId="0" xfId="4" applyFont="1" applyFill="1" applyBorder="1" applyAlignment="1">
      <alignment horizontal="left" vertical="top" wrapText="1"/>
    </xf>
    <xf numFmtId="0" fontId="7" fillId="0" borderId="0" xfId="4" applyFont="1" applyFill="1" applyBorder="1" applyAlignment="1">
      <alignment horizontal="left" vertical="top" wrapText="1"/>
    </xf>
  </cellXfs>
  <cellStyles count="67">
    <cellStyle name="_kop1 Bladtitel" xfId="5"/>
    <cellStyle name="_kop2 Bloktitel" xfId="6"/>
    <cellStyle name="_kop2 Bloktitel 2" xfId="66"/>
    <cellStyle name="_kop3 Subkop" xfId="7"/>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cellStyle name="Cel Berekening" xfId="9"/>
    <cellStyle name="Cel Bijzonderheid" xfId="10"/>
    <cellStyle name="Cel Dataverzoek" xfId="64"/>
    <cellStyle name="Cel Input" xfId="11"/>
    <cellStyle name="Cel n.v.t. (leeg)" xfId="62"/>
    <cellStyle name="Cel PM extern" xfId="12"/>
    <cellStyle name="Cel Verwijzing" xfId="13"/>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cellStyle name="Procent" xfId="27" builtinId="5" hidden="1"/>
    <cellStyle name="Procent" xfId="65" builtinId="5"/>
    <cellStyle name="Standaard" xfId="0" builtinId="0" customBuiltin="1"/>
    <cellStyle name="Standaard ACM-DE" xfId="4"/>
    <cellStyle name="Titel" xfId="28" builtinId="15" hidden="1"/>
    <cellStyle name="Toelichting" xfId="15"/>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CCFFFF"/>
      <color rgb="FFFF33CC"/>
      <color rgb="FFFFFFCC"/>
      <color rgb="FFE1FFE1"/>
      <color rgb="FF99FF99"/>
      <color rgb="FFCCC8D9"/>
      <color rgb="FFCC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sites/default/files/documents/2018-12/rekenmodel-web-2019.xlsx" TargetMode="External"/><Relationship Id="rId2" Type="http://schemas.openxmlformats.org/officeDocument/2006/relationships/hyperlink" Target="https://www.acm.nl/nl/publicaties/beschikking-distributietarieven-elektriciteit-2019-bonaire-web-caribisch-nederland" TargetMode="External"/><Relationship Id="rId1" Type="http://schemas.openxmlformats.org/officeDocument/2006/relationships/hyperlink" Target="https://opendata.cbs.nl/statline/" TargetMode="External"/><Relationship Id="rId5" Type="http://schemas.openxmlformats.org/officeDocument/2006/relationships/printerSettings" Target="../printerSettings/printerSettings3.bin"/><Relationship Id="rId4" Type="http://schemas.openxmlformats.org/officeDocument/2006/relationships/hyperlink" Target="https://www.acm.nl/nl/publicaties/beschikking-variabel-tarief-elektriciteit-1-juli-2019-bonaire-caribisch-nederlan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D47"/>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39.85546875" style="2" customWidth="1"/>
    <col min="3" max="3" width="79.5703125" style="2" customWidth="1"/>
    <col min="4" max="4" width="23.42578125" style="2" customWidth="1"/>
    <col min="5" max="16384" width="9.140625" style="2"/>
  </cols>
  <sheetData>
    <row r="2" spans="2:3" s="8" customFormat="1" ht="18" x14ac:dyDescent="0.2">
      <c r="B2" s="8" t="s">
        <v>0</v>
      </c>
    </row>
    <row r="6" spans="2:3" x14ac:dyDescent="0.2">
      <c r="B6" s="3"/>
    </row>
    <row r="13" spans="2:3" s="9" customFormat="1" x14ac:dyDescent="0.2">
      <c r="B13" s="9" t="s">
        <v>1</v>
      </c>
    </row>
    <row r="14" spans="2:3" s="10" customFormat="1" x14ac:dyDescent="0.2"/>
    <row r="15" spans="2:3" x14ac:dyDescent="0.2">
      <c r="B15" s="11" t="s">
        <v>2</v>
      </c>
      <c r="C15" s="12" t="s">
        <v>414</v>
      </c>
    </row>
    <row r="16" spans="2:3" x14ac:dyDescent="0.2">
      <c r="B16" s="11" t="s">
        <v>3</v>
      </c>
      <c r="C16" s="12" t="s">
        <v>68</v>
      </c>
    </row>
    <row r="17" spans="2:4" ht="25.5" x14ac:dyDescent="0.2">
      <c r="B17" s="11" t="s">
        <v>4</v>
      </c>
      <c r="C17" s="12" t="s">
        <v>415</v>
      </c>
    </row>
    <row r="18" spans="2:4" x14ac:dyDescent="0.2">
      <c r="B18" s="11" t="s">
        <v>5</v>
      </c>
      <c r="C18" s="12" t="s">
        <v>416</v>
      </c>
    </row>
    <row r="19" spans="2:4" x14ac:dyDescent="0.2">
      <c r="B19" s="11" t="s">
        <v>6</v>
      </c>
      <c r="C19" s="12" t="s">
        <v>427</v>
      </c>
    </row>
    <row r="20" spans="2:4" x14ac:dyDescent="0.2">
      <c r="B20" s="11" t="s">
        <v>7</v>
      </c>
      <c r="C20" s="12"/>
    </row>
    <row r="22" spans="2:4" x14ac:dyDescent="0.2">
      <c r="B22" s="1" t="s">
        <v>417</v>
      </c>
    </row>
    <row r="24" spans="2:4" x14ac:dyDescent="0.2">
      <c r="B24" s="130" t="s">
        <v>418</v>
      </c>
      <c r="C24" s="130" t="s">
        <v>2</v>
      </c>
      <c r="D24" s="130" t="s">
        <v>419</v>
      </c>
    </row>
    <row r="25" spans="2:4" x14ac:dyDescent="0.2">
      <c r="B25" s="7" t="s">
        <v>420</v>
      </c>
      <c r="C25" s="7" t="s">
        <v>414</v>
      </c>
      <c r="D25" s="7" t="s">
        <v>421</v>
      </c>
    </row>
    <row r="26" spans="2:4" x14ac:dyDescent="0.2">
      <c r="B26" s="7" t="s">
        <v>319</v>
      </c>
      <c r="C26" s="7" t="s">
        <v>414</v>
      </c>
      <c r="D26" s="7" t="s">
        <v>422</v>
      </c>
    </row>
    <row r="27" spans="2:4" x14ac:dyDescent="0.2">
      <c r="B27" s="7" t="s">
        <v>423</v>
      </c>
      <c r="C27" s="7" t="s">
        <v>414</v>
      </c>
      <c r="D27" s="7" t="s">
        <v>424</v>
      </c>
    </row>
    <row r="28" spans="2:4" x14ac:dyDescent="0.2">
      <c r="B28" s="7" t="s">
        <v>425</v>
      </c>
      <c r="C28" s="7" t="s">
        <v>414</v>
      </c>
      <c r="D28" s="7" t="s">
        <v>426</v>
      </c>
    </row>
    <row r="31" spans="2:4" s="9" customFormat="1" x14ac:dyDescent="0.2">
      <c r="B31" s="9" t="s">
        <v>8</v>
      </c>
    </row>
    <row r="33" spans="2:4" x14ac:dyDescent="0.2">
      <c r="B33" s="1" t="s">
        <v>459</v>
      </c>
    </row>
    <row r="35" spans="2:4" x14ac:dyDescent="0.2">
      <c r="B35" s="11" t="s">
        <v>9</v>
      </c>
      <c r="C35" s="12" t="s">
        <v>456</v>
      </c>
    </row>
    <row r="36" spans="2:4" x14ac:dyDescent="0.2">
      <c r="B36" s="42" t="s">
        <v>61</v>
      </c>
      <c r="C36" s="12" t="s">
        <v>456</v>
      </c>
    </row>
    <row r="37" spans="2:4" ht="25.5" x14ac:dyDescent="0.2">
      <c r="B37" s="11" t="s">
        <v>10</v>
      </c>
      <c r="C37" s="12" t="s">
        <v>457</v>
      </c>
    </row>
    <row r="38" spans="2:4" x14ac:dyDescent="0.2">
      <c r="B38" s="33" t="s">
        <v>59</v>
      </c>
      <c r="C38" s="12" t="s">
        <v>458</v>
      </c>
    </row>
    <row r="39" spans="2:4" x14ac:dyDescent="0.2">
      <c r="B39" s="11" t="s">
        <v>7</v>
      </c>
      <c r="C39" s="131"/>
    </row>
    <row r="41" spans="2:4" x14ac:dyDescent="0.2">
      <c r="B41" s="136" t="s">
        <v>60</v>
      </c>
      <c r="C41" s="137"/>
      <c r="D41" s="6"/>
    </row>
    <row r="42" spans="2:4" x14ac:dyDescent="0.2">
      <c r="B42" s="30"/>
      <c r="C42" s="30"/>
      <c r="D42" s="6"/>
    </row>
    <row r="47" spans="2:4" x14ac:dyDescent="0.2">
      <c r="B47" s="2" t="s">
        <v>75</v>
      </c>
    </row>
  </sheetData>
  <mergeCells count="1">
    <mergeCell ref="B41:C41"/>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1FFE1"/>
  </sheetPr>
  <dimension ref="B2:T74"/>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74.42578125" style="2" customWidth="1"/>
    <col min="3" max="3" width="4.7109375" style="2" customWidth="1"/>
    <col min="4" max="5" width="4.5703125" style="2" customWidth="1"/>
    <col min="6" max="6" width="18.855468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5.42578125" style="2" customWidth="1"/>
    <col min="17" max="17" width="2.7109375" style="2" customWidth="1"/>
    <col min="18" max="18" width="56.85546875" style="2" customWidth="1"/>
    <col min="19" max="19" width="2.7109375" style="2" customWidth="1"/>
    <col min="20" max="20" width="13.7109375" style="2" customWidth="1"/>
    <col min="21" max="21" width="2.7109375" style="2" customWidth="1"/>
    <col min="22" max="36" width="13.7109375" style="2" customWidth="1"/>
    <col min="37" max="16384" width="9.140625" style="2"/>
  </cols>
  <sheetData>
    <row r="2" spans="2:20" s="22" customFormat="1" ht="18" x14ac:dyDescent="0.2">
      <c r="B2" s="22" t="s">
        <v>360</v>
      </c>
    </row>
    <row r="4" spans="2:20" x14ac:dyDescent="0.2">
      <c r="B4" s="31" t="s">
        <v>25</v>
      </c>
      <c r="C4" s="1"/>
      <c r="D4" s="1"/>
      <c r="L4" s="69"/>
    </row>
    <row r="5" spans="2:20" x14ac:dyDescent="0.2">
      <c r="B5" s="27" t="s">
        <v>361</v>
      </c>
      <c r="C5" s="3"/>
      <c r="D5" s="3"/>
      <c r="H5" s="23"/>
    </row>
    <row r="6" spans="2:20" x14ac:dyDescent="0.2">
      <c r="B6" s="2" t="s">
        <v>379</v>
      </c>
      <c r="C6" s="3"/>
      <c r="D6" s="3"/>
      <c r="H6" s="23"/>
    </row>
    <row r="7" spans="2:20" x14ac:dyDescent="0.2">
      <c r="B7" s="77" t="s">
        <v>362</v>
      </c>
      <c r="C7" s="3"/>
      <c r="D7" s="3"/>
      <c r="H7" s="23"/>
    </row>
    <row r="8" spans="2:20" x14ac:dyDescent="0.2">
      <c r="B8" s="2" t="s">
        <v>259</v>
      </c>
      <c r="C8" s="3"/>
      <c r="D8" s="3"/>
    </row>
    <row r="9" spans="2:20" x14ac:dyDescent="0.2">
      <c r="B9" s="116"/>
    </row>
    <row r="11" spans="2:20" s="9" customFormat="1" ht="25.5" x14ac:dyDescent="0.2">
      <c r="B11" s="9" t="s">
        <v>41</v>
      </c>
      <c r="F11" s="9" t="s">
        <v>23</v>
      </c>
      <c r="H11" s="9" t="s">
        <v>24</v>
      </c>
      <c r="J11" s="9" t="s">
        <v>45</v>
      </c>
      <c r="L11" s="48" t="s">
        <v>79</v>
      </c>
      <c r="M11" s="48" t="s">
        <v>80</v>
      </c>
      <c r="N11" s="48" t="s">
        <v>81</v>
      </c>
      <c r="O11" s="48" t="s">
        <v>82</v>
      </c>
      <c r="P11" s="48" t="s">
        <v>83</v>
      </c>
      <c r="R11" s="9" t="s">
        <v>42</v>
      </c>
      <c r="T11" s="9" t="s">
        <v>43</v>
      </c>
    </row>
    <row r="14" spans="2:20" s="9" customFormat="1" x14ac:dyDescent="0.2">
      <c r="B14" s="9" t="s">
        <v>241</v>
      </c>
    </row>
    <row r="16" spans="2:20" x14ac:dyDescent="0.2">
      <c r="B16" s="1" t="s">
        <v>234</v>
      </c>
    </row>
    <row r="17" spans="2:20" x14ac:dyDescent="0.2">
      <c r="B17" s="27" t="s">
        <v>235</v>
      </c>
      <c r="F17" s="2" t="s">
        <v>89</v>
      </c>
      <c r="J17" s="49">
        <f>SUM(L17:P17)</f>
        <v>604231.74968202319</v>
      </c>
      <c r="L17" s="39">
        <v>1001648.1624847753</v>
      </c>
      <c r="M17" s="39">
        <v>-229131.26002163434</v>
      </c>
      <c r="N17" s="39">
        <v>-199521.50566484733</v>
      </c>
      <c r="O17" s="39">
        <v>18622.062004120962</v>
      </c>
      <c r="P17" s="39">
        <v>12614.29087960859</v>
      </c>
      <c r="R17" s="2" t="s">
        <v>454</v>
      </c>
    </row>
    <row r="18" spans="2:20" x14ac:dyDescent="0.2">
      <c r="B18" s="2" t="s">
        <v>242</v>
      </c>
      <c r="F18" s="2" t="s">
        <v>89</v>
      </c>
      <c r="J18" s="49">
        <f>SUM(L18:P18)</f>
        <v>-153452.74283183101</v>
      </c>
      <c r="L18" s="81"/>
      <c r="M18" s="39">
        <v>-153452.74283183101</v>
      </c>
      <c r="N18" s="81"/>
      <c r="O18" s="81"/>
      <c r="P18" s="81"/>
      <c r="R18" s="2" t="s">
        <v>454</v>
      </c>
      <c r="T18" s="2" t="s">
        <v>243</v>
      </c>
    </row>
    <row r="20" spans="2:20" x14ac:dyDescent="0.2">
      <c r="B20" s="1" t="s">
        <v>236</v>
      </c>
    </row>
    <row r="21" spans="2:20" x14ac:dyDescent="0.2">
      <c r="B21" s="27" t="s">
        <v>363</v>
      </c>
      <c r="F21" s="2" t="s">
        <v>89</v>
      </c>
      <c r="J21" s="49">
        <f>SUM(L21:P21)</f>
        <v>258473.84985773932</v>
      </c>
      <c r="L21" s="39">
        <v>142379.38983576419</v>
      </c>
      <c r="M21" s="39">
        <v>-106392.59072525776</v>
      </c>
      <c r="N21" s="39">
        <v>157357.8642840567</v>
      </c>
      <c r="O21" s="39">
        <v>77290.995337877073</v>
      </c>
      <c r="P21" s="39">
        <v>-12161.808874700893</v>
      </c>
      <c r="R21" s="2" t="s">
        <v>454</v>
      </c>
    </row>
    <row r="22" spans="2:20" x14ac:dyDescent="0.2">
      <c r="B22" s="27" t="s">
        <v>237</v>
      </c>
      <c r="F22" s="2" t="s">
        <v>89</v>
      </c>
      <c r="J22" s="49">
        <f>SUM(L22:P22)</f>
        <v>-189289.01141975593</v>
      </c>
      <c r="L22" s="74"/>
      <c r="M22" s="39">
        <v>-209879.74183755001</v>
      </c>
      <c r="N22" s="74"/>
      <c r="O22" s="39">
        <v>20590.730417794082</v>
      </c>
      <c r="P22" s="74"/>
      <c r="R22" s="2" t="s">
        <v>454</v>
      </c>
    </row>
    <row r="24" spans="2:20" x14ac:dyDescent="0.2">
      <c r="B24" s="1" t="s">
        <v>238</v>
      </c>
    </row>
    <row r="25" spans="2:20" x14ac:dyDescent="0.2">
      <c r="B25" s="27" t="s">
        <v>240</v>
      </c>
      <c r="F25" s="2" t="s">
        <v>89</v>
      </c>
      <c r="J25" s="49">
        <f>SUM(L25:P25)</f>
        <v>-82054.308994221181</v>
      </c>
      <c r="L25" s="39">
        <v>-82054.308994221181</v>
      </c>
      <c r="M25" s="74"/>
      <c r="R25" s="2" t="s">
        <v>386</v>
      </c>
    </row>
    <row r="26" spans="2:20" x14ac:dyDescent="0.2">
      <c r="B26" s="27" t="s">
        <v>239</v>
      </c>
      <c r="F26" s="2" t="s">
        <v>197</v>
      </c>
      <c r="J26" s="49">
        <f>SUM(L26:P26)</f>
        <v>-61942.02210734356</v>
      </c>
      <c r="L26" s="74"/>
      <c r="M26" s="39">
        <v>-61942.02210734356</v>
      </c>
      <c r="R26" s="2" t="s">
        <v>386</v>
      </c>
    </row>
    <row r="29" spans="2:20" s="9" customFormat="1" x14ac:dyDescent="0.2">
      <c r="B29" s="9" t="s">
        <v>249</v>
      </c>
    </row>
    <row r="31" spans="2:20" x14ac:dyDescent="0.2">
      <c r="B31" s="1" t="s">
        <v>250</v>
      </c>
    </row>
    <row r="32" spans="2:20" x14ac:dyDescent="0.2">
      <c r="B32" s="2" t="s">
        <v>210</v>
      </c>
      <c r="F32" s="2" t="s">
        <v>207</v>
      </c>
      <c r="N32" s="39">
        <v>1825843</v>
      </c>
      <c r="R32" s="2" t="s">
        <v>244</v>
      </c>
    </row>
    <row r="33" spans="2:20" x14ac:dyDescent="0.2">
      <c r="B33" s="2" t="s">
        <v>212</v>
      </c>
      <c r="F33" s="2" t="s">
        <v>213</v>
      </c>
      <c r="N33" s="82">
        <v>0.26934583555269964</v>
      </c>
      <c r="R33" s="2" t="s">
        <v>245</v>
      </c>
    </row>
    <row r="34" spans="2:20" x14ac:dyDescent="0.2">
      <c r="B34" s="2" t="s">
        <v>211</v>
      </c>
      <c r="F34" s="2" t="s">
        <v>213</v>
      </c>
      <c r="N34" s="82">
        <v>0.26723794261416867</v>
      </c>
      <c r="R34" s="2" t="s">
        <v>246</v>
      </c>
    </row>
    <row r="35" spans="2:20" x14ac:dyDescent="0.2">
      <c r="B35" s="10" t="s">
        <v>208</v>
      </c>
      <c r="C35" s="10"/>
      <c r="D35" s="10"/>
      <c r="E35" s="10"/>
      <c r="F35" s="10" t="s">
        <v>209</v>
      </c>
      <c r="N35" s="82">
        <v>4.3</v>
      </c>
      <c r="R35" s="2" t="s">
        <v>248</v>
      </c>
      <c r="T35" s="2" t="s">
        <v>247</v>
      </c>
    </row>
    <row r="36" spans="2:20" x14ac:dyDescent="0.2">
      <c r="B36" s="27" t="s">
        <v>221</v>
      </c>
      <c r="C36" s="10"/>
      <c r="D36" s="10"/>
      <c r="E36" s="10"/>
      <c r="F36" s="2" t="s">
        <v>72</v>
      </c>
      <c r="N36" s="46">
        <v>0.50060000000000004</v>
      </c>
      <c r="R36" s="2" t="s">
        <v>455</v>
      </c>
    </row>
    <row r="38" spans="2:20" x14ac:dyDescent="0.2">
      <c r="B38" s="1" t="s">
        <v>251</v>
      </c>
    </row>
    <row r="39" spans="2:20" x14ac:dyDescent="0.2">
      <c r="B39" s="2" t="s">
        <v>214</v>
      </c>
      <c r="F39" s="2" t="s">
        <v>197</v>
      </c>
      <c r="N39" s="100">
        <f>N34-N33</f>
        <v>-2.1078929385309753E-3</v>
      </c>
    </row>
    <row r="40" spans="2:20" x14ac:dyDescent="0.2">
      <c r="B40" s="2" t="s">
        <v>252</v>
      </c>
      <c r="F40" s="2" t="s">
        <v>93</v>
      </c>
      <c r="N40" s="45">
        <f>N32*(1-N36)*N35</f>
        <v>3920851.7750599994</v>
      </c>
    </row>
    <row r="41" spans="2:20" x14ac:dyDescent="0.2">
      <c r="B41" s="2" t="s">
        <v>249</v>
      </c>
      <c r="F41" s="2" t="s">
        <v>197</v>
      </c>
      <c r="N41" s="45">
        <f>N39*N40</f>
        <v>-8264.7357696756135</v>
      </c>
      <c r="T41" s="2" t="s">
        <v>253</v>
      </c>
    </row>
    <row r="44" spans="2:20" s="9" customFormat="1" x14ac:dyDescent="0.2">
      <c r="B44" s="9" t="s">
        <v>202</v>
      </c>
    </row>
    <row r="46" spans="2:20" x14ac:dyDescent="0.2">
      <c r="B46" s="2" t="s">
        <v>73</v>
      </c>
      <c r="F46" s="2" t="s">
        <v>72</v>
      </c>
      <c r="H46" s="75">
        <f>Parameters!H17</f>
        <v>3.5000000000000003E-2</v>
      </c>
      <c r="J46" s="47"/>
    </row>
    <row r="47" spans="2:20" x14ac:dyDescent="0.2">
      <c r="B47" s="2" t="s">
        <v>76</v>
      </c>
      <c r="F47" s="2" t="s">
        <v>72</v>
      </c>
      <c r="H47" s="75">
        <f>Parameters!H18</f>
        <v>1.2E-2</v>
      </c>
      <c r="J47" s="47"/>
    </row>
    <row r="49" spans="2:20" x14ac:dyDescent="0.2">
      <c r="B49" s="1" t="s">
        <v>254</v>
      </c>
    </row>
    <row r="50" spans="2:20" x14ac:dyDescent="0.2">
      <c r="B50" s="27" t="s">
        <v>255</v>
      </c>
      <c r="F50" s="2" t="s">
        <v>137</v>
      </c>
      <c r="J50" s="49">
        <f>SUM(L50:P50)</f>
        <v>-208982.81546347437</v>
      </c>
      <c r="L50" s="99"/>
      <c r="M50" s="99"/>
      <c r="N50" s="45">
        <f>N17*(1+$H$46)*(1+$H$47)</f>
        <v>-208982.81546347437</v>
      </c>
      <c r="O50" s="99"/>
      <c r="P50" s="99"/>
      <c r="T50" s="2" t="s">
        <v>256</v>
      </c>
    </row>
    <row r="51" spans="2:20" x14ac:dyDescent="0.2">
      <c r="B51" s="27" t="s">
        <v>205</v>
      </c>
      <c r="F51" s="2" t="s">
        <v>137</v>
      </c>
      <c r="J51" s="49">
        <f>SUM(L51:P51)</f>
        <v>901629.30700600659</v>
      </c>
      <c r="L51" s="99"/>
      <c r="M51" s="37">
        <f>(L17+M18)*(1+$H$46)*(1+$H$47)</f>
        <v>888416.84645288694</v>
      </c>
      <c r="N51" s="99"/>
      <c r="O51" s="99"/>
      <c r="P51" s="45">
        <f>P17*(1+$H$46)*(1+$H$47)</f>
        <v>13212.460553119628</v>
      </c>
    </row>
    <row r="52" spans="2:20" x14ac:dyDescent="0.2">
      <c r="B52" s="27" t="s">
        <v>206</v>
      </c>
      <c r="F52" s="2" t="s">
        <v>137</v>
      </c>
      <c r="J52" s="49">
        <f>SUM(L52:P52)</f>
        <v>-220491.54418750384</v>
      </c>
      <c r="L52" s="99"/>
      <c r="M52" s="45">
        <f>M17*(1+$H$46)*(1+$H$47)</f>
        <v>-239996.66437186021</v>
      </c>
      <c r="N52" s="99"/>
      <c r="O52" s="45">
        <f>O17*(1+$H$46)*(1+$H$47)</f>
        <v>19505.120184356376</v>
      </c>
      <c r="P52" s="99"/>
    </row>
    <row r="54" spans="2:20" x14ac:dyDescent="0.2">
      <c r="B54" s="1" t="s">
        <v>257</v>
      </c>
    </row>
    <row r="55" spans="2:20" x14ac:dyDescent="0.2">
      <c r="B55" s="27" t="s">
        <v>255</v>
      </c>
      <c r="F55" s="2" t="s">
        <v>137</v>
      </c>
      <c r="J55" s="49">
        <f>SUM(L55:P55)</f>
        <v>164819.77420840666</v>
      </c>
      <c r="L55" s="99"/>
      <c r="M55" s="99"/>
      <c r="N55" s="45">
        <f>N21*(1+$H$46)*(1+$H$47)</f>
        <v>164819.77420840666</v>
      </c>
      <c r="O55" s="99"/>
      <c r="P55" s="99"/>
      <c r="T55" s="2" t="s">
        <v>256</v>
      </c>
    </row>
    <row r="56" spans="2:20" x14ac:dyDescent="0.2">
      <c r="B56" s="27" t="s">
        <v>205</v>
      </c>
      <c r="F56" s="2" t="s">
        <v>137</v>
      </c>
      <c r="J56" s="49">
        <f>SUM(L56:P56)</f>
        <v>-61872.59769104384</v>
      </c>
      <c r="L56" s="99"/>
      <c r="M56" s="37">
        <f>(L21+M22)*(1+$H$46)*(1+$H$47)</f>
        <v>-70701.2186937105</v>
      </c>
      <c r="N56" s="99"/>
      <c r="O56" s="45">
        <f>O22*(1+$H$46)*(1+$H$47)</f>
        <v>21567.142854205875</v>
      </c>
      <c r="P56" s="45">
        <f>P21*(1+$H$46)*(1+$H$47)</f>
        <v>-12738.52185153921</v>
      </c>
    </row>
    <row r="57" spans="2:20" x14ac:dyDescent="0.2">
      <c r="B57" s="27" t="s">
        <v>206</v>
      </c>
      <c r="F57" s="2" t="s">
        <v>137</v>
      </c>
      <c r="J57" s="49">
        <f>SUM(L57:P57)</f>
        <v>-30481.593040650288</v>
      </c>
      <c r="L57" s="99"/>
      <c r="M57" s="45">
        <f>M21*(1+$H$46)*(1+$H$47)</f>
        <v>-111437.72737744948</v>
      </c>
      <c r="N57" s="99"/>
      <c r="O57" s="45">
        <f>O21*(1+$H$46)*(1+$H$47)</f>
        <v>80956.134336799194</v>
      </c>
      <c r="P57" s="99"/>
    </row>
    <row r="59" spans="2:20" x14ac:dyDescent="0.2">
      <c r="B59" s="1" t="s">
        <v>258</v>
      </c>
    </row>
    <row r="60" spans="2:20" x14ac:dyDescent="0.2">
      <c r="B60" s="27" t="s">
        <v>255</v>
      </c>
      <c r="F60" s="2" t="s">
        <v>137</v>
      </c>
      <c r="J60" s="49">
        <f>SUM(L60:P60)</f>
        <v>-8363.9125989117201</v>
      </c>
      <c r="L60" s="99"/>
      <c r="M60" s="99"/>
      <c r="N60" s="45">
        <f>N41*(1+$H$47)</f>
        <v>-8363.9125989117201</v>
      </c>
      <c r="O60" s="99"/>
      <c r="P60" s="99"/>
      <c r="T60" s="2" t="s">
        <v>256</v>
      </c>
    </row>
    <row r="61" spans="2:20" x14ac:dyDescent="0.2">
      <c r="B61" s="27" t="s">
        <v>267</v>
      </c>
      <c r="F61" s="2" t="s">
        <v>137</v>
      </c>
      <c r="J61" s="49">
        <f>SUM(L61:P61)</f>
        <v>-85945.324326727132</v>
      </c>
      <c r="L61" s="99"/>
      <c r="M61" s="37">
        <f>L25*(1+$H$46)*(1+$H$47)</f>
        <v>-85945.324326727132</v>
      </c>
      <c r="N61" s="99"/>
      <c r="O61" s="99"/>
      <c r="P61" s="99"/>
    </row>
    <row r="62" spans="2:20" x14ac:dyDescent="0.2">
      <c r="B62" s="27" t="s">
        <v>268</v>
      </c>
      <c r="F62" s="2" t="s">
        <v>137</v>
      </c>
      <c r="J62" s="49">
        <f>SUM(L62:P62)</f>
        <v>-62685.326372631687</v>
      </c>
      <c r="L62" s="74"/>
      <c r="M62" s="45">
        <f>M26*(1+$H$47)</f>
        <v>-62685.326372631687</v>
      </c>
      <c r="N62" s="74"/>
      <c r="O62" s="74"/>
      <c r="P62" s="74"/>
    </row>
    <row r="63" spans="2:20" x14ac:dyDescent="0.2">
      <c r="B63" s="27" t="s">
        <v>206</v>
      </c>
      <c r="F63" s="2" t="s">
        <v>137</v>
      </c>
      <c r="J63" s="49">
        <f>SUM(L63:P63)</f>
        <v>0</v>
      </c>
      <c r="L63" s="99"/>
      <c r="M63" s="99"/>
      <c r="N63" s="99"/>
      <c r="O63" s="99"/>
      <c r="P63" s="99"/>
    </row>
    <row r="64" spans="2:20" x14ac:dyDescent="0.2">
      <c r="B64" s="27"/>
    </row>
    <row r="65" spans="2:16" x14ac:dyDescent="0.2">
      <c r="B65" s="1" t="s">
        <v>203</v>
      </c>
    </row>
    <row r="66" spans="2:16" x14ac:dyDescent="0.2">
      <c r="B66" s="27" t="s">
        <v>204</v>
      </c>
      <c r="F66" s="2" t="s">
        <v>137</v>
      </c>
      <c r="J66" s="49">
        <f>SUM(L66:P66)</f>
        <v>-52526.95385397943</v>
      </c>
      <c r="L66" s="74"/>
      <c r="M66" s="74"/>
      <c r="N66" s="34">
        <f>N50+N55+N60</f>
        <v>-52526.95385397943</v>
      </c>
      <c r="O66" s="74"/>
      <c r="P66" s="74"/>
    </row>
    <row r="67" spans="2:16" x14ac:dyDescent="0.2">
      <c r="B67" s="27" t="s">
        <v>267</v>
      </c>
      <c r="F67" s="2" t="s">
        <v>137</v>
      </c>
      <c r="J67" s="49">
        <f>SUM(L67:P67)</f>
        <v>753811.38498823554</v>
      </c>
      <c r="L67" s="74"/>
      <c r="M67" s="34">
        <f>M51+M56+M61</f>
        <v>731770.30343244923</v>
      </c>
      <c r="N67" s="74"/>
      <c r="O67" s="34">
        <f>O51+O56+O61</f>
        <v>21567.142854205875</v>
      </c>
      <c r="P67" s="34">
        <f>P51+P56+P61</f>
        <v>473.93870158041864</v>
      </c>
    </row>
    <row r="68" spans="2:16" x14ac:dyDescent="0.2">
      <c r="B68" s="27" t="s">
        <v>268</v>
      </c>
      <c r="F68" s="2" t="s">
        <v>137</v>
      </c>
      <c r="J68" s="49">
        <f>SUM(L68:P68)</f>
        <v>-62685.326372631687</v>
      </c>
      <c r="L68" s="74"/>
      <c r="M68" s="34">
        <f>M62</f>
        <v>-62685.326372631687</v>
      </c>
      <c r="N68" s="74"/>
      <c r="O68" s="74"/>
      <c r="P68" s="74"/>
    </row>
    <row r="69" spans="2:16" x14ac:dyDescent="0.2">
      <c r="B69" s="27" t="s">
        <v>206</v>
      </c>
      <c r="F69" s="2" t="s">
        <v>137</v>
      </c>
      <c r="J69" s="49">
        <f>SUM(L69:P69)</f>
        <v>-250973.13722815417</v>
      </c>
      <c r="L69" s="74"/>
      <c r="M69" s="34">
        <f>M52+M57+M63</f>
        <v>-351434.39174930973</v>
      </c>
      <c r="N69" s="74"/>
      <c r="O69" s="34">
        <f>O52+O57+O63</f>
        <v>100461.25452115557</v>
      </c>
      <c r="P69" s="74"/>
    </row>
    <row r="74" spans="2:16" x14ac:dyDescent="0.2">
      <c r="B74" s="2" t="s">
        <v>75</v>
      </c>
    </row>
  </sheetData>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B2:T80"/>
  <sheetViews>
    <sheetView showGridLines="0" zoomScale="85" zoomScaleNormal="85" workbookViewId="0">
      <pane xSplit="6" ySplit="13" topLeftCell="G14" activePane="bottomRight" state="frozen"/>
      <selection activeCell="R6" sqref="R6"/>
      <selection pane="topRight" activeCell="R6" sqref="R6"/>
      <selection pane="bottomLeft" activeCell="R6" sqref="R6"/>
      <selection pane="bottomRight" activeCell="G14" sqref="G14"/>
    </sheetView>
  </sheetViews>
  <sheetFormatPr defaultRowHeight="12.75" x14ac:dyDescent="0.2"/>
  <cols>
    <col min="1" max="1" width="4.7109375" style="2" customWidth="1"/>
    <col min="2" max="2" width="68" style="2" customWidth="1"/>
    <col min="3" max="3" width="4.7109375" style="2" customWidth="1"/>
    <col min="4" max="5" width="4.5703125" style="2" customWidth="1"/>
    <col min="6" max="6" width="23.140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9.140625" style="2" customWidth="1"/>
    <col min="17" max="19" width="4" style="2" customWidth="1"/>
    <col min="20" max="20" width="12.5703125" style="2" customWidth="1"/>
    <col min="21" max="33" width="13.7109375" style="2" customWidth="1"/>
    <col min="34" max="16384" width="9.140625" style="2"/>
  </cols>
  <sheetData>
    <row r="2" spans="2:20" s="22" customFormat="1" ht="18" x14ac:dyDescent="0.2">
      <c r="B2" s="22" t="s">
        <v>158</v>
      </c>
    </row>
    <row r="4" spans="2:20" x14ac:dyDescent="0.2">
      <c r="B4" s="31" t="s">
        <v>138</v>
      </c>
      <c r="C4" s="1"/>
      <c r="D4" s="1"/>
    </row>
    <row r="5" spans="2:20" x14ac:dyDescent="0.2">
      <c r="B5" s="27" t="s">
        <v>139</v>
      </c>
      <c r="C5" s="27"/>
      <c r="D5" s="27"/>
      <c r="H5" s="23"/>
    </row>
    <row r="6" spans="2:20" x14ac:dyDescent="0.2">
      <c r="B6" s="27" t="s">
        <v>140</v>
      </c>
      <c r="C6" s="27"/>
      <c r="D6" s="27"/>
      <c r="H6" s="23"/>
    </row>
    <row r="7" spans="2:20" x14ac:dyDescent="0.2">
      <c r="B7" s="27" t="s">
        <v>142</v>
      </c>
      <c r="C7" s="27"/>
      <c r="D7" s="27"/>
      <c r="H7" s="23"/>
    </row>
    <row r="8" spans="2:20" x14ac:dyDescent="0.2">
      <c r="B8" s="27"/>
      <c r="C8" s="27"/>
      <c r="D8" s="27"/>
      <c r="H8" s="23"/>
    </row>
    <row r="9" spans="2:20" x14ac:dyDescent="0.2">
      <c r="B9" s="32" t="s">
        <v>26</v>
      </c>
      <c r="C9" s="27"/>
      <c r="D9" s="27"/>
      <c r="H9" s="23"/>
    </row>
    <row r="10" spans="2:20" x14ac:dyDescent="0.2">
      <c r="B10" s="5" t="s">
        <v>368</v>
      </c>
      <c r="C10" s="27"/>
      <c r="D10" s="27"/>
    </row>
    <row r="12" spans="2:20" s="9" customFormat="1" ht="25.5" customHeight="1" x14ac:dyDescent="0.2">
      <c r="B12" s="9" t="s">
        <v>41</v>
      </c>
      <c r="F12" s="9" t="s">
        <v>23</v>
      </c>
      <c r="H12" s="9" t="s">
        <v>24</v>
      </c>
      <c r="J12" s="9" t="s">
        <v>45</v>
      </c>
      <c r="L12" s="48" t="s">
        <v>79</v>
      </c>
      <c r="M12" s="48" t="s">
        <v>80</v>
      </c>
      <c r="N12" s="48" t="s">
        <v>81</v>
      </c>
      <c r="O12" s="48" t="s">
        <v>82</v>
      </c>
      <c r="P12" s="48" t="s">
        <v>83</v>
      </c>
      <c r="T12" s="9" t="s">
        <v>43</v>
      </c>
    </row>
    <row r="15" spans="2:20" s="9" customFormat="1" x14ac:dyDescent="0.2">
      <c r="B15" s="9" t="s">
        <v>44</v>
      </c>
    </row>
    <row r="17" spans="2:16" x14ac:dyDescent="0.2">
      <c r="B17" s="2" t="s">
        <v>77</v>
      </c>
      <c r="F17" s="2" t="s">
        <v>72</v>
      </c>
      <c r="H17" s="75">
        <f>Parameters!H23</f>
        <v>6.08E-2</v>
      </c>
    </row>
    <row r="18" spans="2:16" x14ac:dyDescent="0.2">
      <c r="B18" s="2" t="s">
        <v>73</v>
      </c>
      <c r="F18" s="2" t="s">
        <v>72</v>
      </c>
      <c r="H18" s="75">
        <f>Parameters!H17</f>
        <v>3.5000000000000003E-2</v>
      </c>
    </row>
    <row r="19" spans="2:16" x14ac:dyDescent="0.2">
      <c r="B19" s="2" t="s">
        <v>76</v>
      </c>
      <c r="F19" s="2" t="s">
        <v>72</v>
      </c>
      <c r="H19" s="75">
        <f>Parameters!H18</f>
        <v>1.2E-2</v>
      </c>
    </row>
    <row r="21" spans="2:16" x14ac:dyDescent="0.2">
      <c r="B21" s="31" t="s">
        <v>176</v>
      </c>
    </row>
    <row r="22" spans="2:16" x14ac:dyDescent="0.2">
      <c r="B22" s="2" t="s">
        <v>86</v>
      </c>
      <c r="F22" s="2" t="s">
        <v>89</v>
      </c>
      <c r="J22" s="49">
        <f>SUM(L22:P22)</f>
        <v>48940511.720001459</v>
      </c>
      <c r="L22" s="44">
        <f>'Gegevens kosten 2018'!L17</f>
        <v>1190465.5730082868</v>
      </c>
      <c r="M22" s="44">
        <f>'Gegevens kosten 2018'!M17</f>
        <v>32710069.519751161</v>
      </c>
      <c r="N22" s="44">
        <f>'Gegevens kosten 2018'!N17</f>
        <v>3268841.919868337</v>
      </c>
      <c r="O22" s="44">
        <f>'Gegevens kosten 2018'!O17</f>
        <v>11725700.312810486</v>
      </c>
      <c r="P22" s="44">
        <f>'Gegevens kosten 2018'!P17</f>
        <v>45434.394563191861</v>
      </c>
    </row>
    <row r="23" spans="2:16" x14ac:dyDescent="0.2">
      <c r="B23" s="2" t="s">
        <v>87</v>
      </c>
      <c r="F23" s="2" t="s">
        <v>89</v>
      </c>
      <c r="J23" s="49">
        <f>SUM(L23:P23)</f>
        <v>4527827.4343265938</v>
      </c>
      <c r="L23" s="44">
        <f>'Gegevens kosten 2018'!L18</f>
        <v>91596.482646057106</v>
      </c>
      <c r="M23" s="44">
        <f>'Gegevens kosten 2018'!M18</f>
        <v>2497325.3755498696</v>
      </c>
      <c r="N23" s="44">
        <f>'Gegevens kosten 2018'!N18</f>
        <v>267135.86365889176</v>
      </c>
      <c r="O23" s="44">
        <f>'Gegevens kosten 2018'!O18</f>
        <v>1642174.1774010661</v>
      </c>
      <c r="P23" s="44">
        <f>'Gegevens kosten 2018'!P18</f>
        <v>29595.535070709899</v>
      </c>
    </row>
    <row r="24" spans="2:16" x14ac:dyDescent="0.2">
      <c r="B24" s="27" t="s">
        <v>364</v>
      </c>
      <c r="F24" s="2" t="s">
        <v>89</v>
      </c>
      <c r="J24" s="49">
        <f>SUM(L24:P24)</f>
        <v>11608697.669320103</v>
      </c>
      <c r="L24" s="44">
        <f>'Gegevens kosten 2018'!L21</f>
        <v>59050.606023817323</v>
      </c>
      <c r="M24" s="44">
        <f>'Gegevens kosten 2018'!M21</f>
        <v>6815534.1331010703</v>
      </c>
      <c r="N24" s="44">
        <f>'Gegevens kosten 2018'!N21</f>
        <v>1306546.1102666745</v>
      </c>
      <c r="O24" s="44">
        <f>'Gegevens kosten 2018'!O21</f>
        <v>3344957.3707104605</v>
      </c>
      <c r="P24" s="44">
        <f>'Gegevens kosten 2018'!P21</f>
        <v>82609.449218078706</v>
      </c>
    </row>
    <row r="25" spans="2:16" x14ac:dyDescent="0.2">
      <c r="B25" s="27"/>
    </row>
    <row r="26" spans="2:16" x14ac:dyDescent="0.2">
      <c r="B26" s="1" t="s">
        <v>170</v>
      </c>
    </row>
    <row r="27" spans="2:16" x14ac:dyDescent="0.2">
      <c r="B27" s="2" t="s">
        <v>365</v>
      </c>
      <c r="F27" s="2" t="s">
        <v>72</v>
      </c>
      <c r="L27" s="85">
        <f>'Gegevens kosten 2018'!L27</f>
        <v>0</v>
      </c>
      <c r="M27" s="85">
        <f>'Gegevens kosten 2018'!M27</f>
        <v>0.5</v>
      </c>
      <c r="N27" s="85">
        <f>'Gegevens kosten 2018'!N27</f>
        <v>0</v>
      </c>
      <c r="O27" s="85">
        <f>'Gegevens kosten 2018'!O27</f>
        <v>0.5</v>
      </c>
      <c r="P27" s="85">
        <f>'Gegevens kosten 2018'!P27</f>
        <v>0.5</v>
      </c>
    </row>
    <row r="28" spans="2:16" x14ac:dyDescent="0.2">
      <c r="B28" s="2" t="s">
        <v>366</v>
      </c>
      <c r="F28" s="2" t="s">
        <v>72</v>
      </c>
      <c r="L28" s="85">
        <f>'Gegevens kosten 2018'!L28</f>
        <v>0</v>
      </c>
      <c r="M28" s="85">
        <f>'Gegevens kosten 2018'!M28</f>
        <v>0.5</v>
      </c>
      <c r="N28" s="85">
        <f>'Gegevens kosten 2018'!N28</f>
        <v>0</v>
      </c>
      <c r="O28" s="85">
        <f>'Gegevens kosten 2018'!O28</f>
        <v>0.5</v>
      </c>
      <c r="P28" s="85">
        <f>'Gegevens kosten 2018'!P28</f>
        <v>0.5</v>
      </c>
    </row>
    <row r="29" spans="2:16" x14ac:dyDescent="0.2">
      <c r="B29" s="2" t="s">
        <v>166</v>
      </c>
      <c r="F29" s="2" t="s">
        <v>72</v>
      </c>
      <c r="L29" s="85">
        <f>'Gegevens kosten 2018'!L29</f>
        <v>0</v>
      </c>
      <c r="M29" s="85">
        <f>'Gegevens kosten 2018'!M29</f>
        <v>0.12</v>
      </c>
      <c r="N29" s="85">
        <f>'Gegevens kosten 2018'!N29</f>
        <v>0.35</v>
      </c>
      <c r="O29" s="85">
        <f>'Gegevens kosten 2018'!O29</f>
        <v>0.2</v>
      </c>
      <c r="P29" s="85">
        <f>'Gegevens kosten 2018'!P29</f>
        <v>0.2</v>
      </c>
    </row>
    <row r="31" spans="2:16" x14ac:dyDescent="0.2">
      <c r="B31" s="1" t="s">
        <v>143</v>
      </c>
    </row>
    <row r="32" spans="2:16" x14ac:dyDescent="0.2">
      <c r="B32" s="2" t="s">
        <v>144</v>
      </c>
      <c r="F32" s="2" t="s">
        <v>145</v>
      </c>
      <c r="L32" s="76" t="s">
        <v>93</v>
      </c>
      <c r="M32" s="76" t="s">
        <v>146</v>
      </c>
      <c r="N32" s="76" t="s">
        <v>95</v>
      </c>
      <c r="O32" s="76" t="s">
        <v>147</v>
      </c>
      <c r="P32" s="76" t="s">
        <v>95</v>
      </c>
    </row>
    <row r="33" spans="2:20" x14ac:dyDescent="0.2">
      <c r="B33" s="2" t="s">
        <v>184</v>
      </c>
      <c r="F33" s="2" t="s">
        <v>108</v>
      </c>
      <c r="L33" s="37">
        <f>'Gegevens raming 2020'!L15</f>
        <v>325206.43000000005</v>
      </c>
      <c r="M33" s="44">
        <f>'Gegevens volumes 2018'!M65</f>
        <v>95421.53410147196</v>
      </c>
      <c r="N33" s="37"/>
      <c r="O33" s="44">
        <f>'Gegevens volumes 2018'!O65</f>
        <v>2606.1357191912034</v>
      </c>
      <c r="P33" s="44">
        <f>'Gegevens volumes 2018'!P65</f>
        <v>11006</v>
      </c>
    </row>
    <row r="34" spans="2:20" x14ac:dyDescent="0.2">
      <c r="B34" s="27"/>
    </row>
    <row r="35" spans="2:20" x14ac:dyDescent="0.2">
      <c r="B35" s="27"/>
    </row>
    <row r="36" spans="2:20" s="9" customFormat="1" x14ac:dyDescent="0.2">
      <c r="B36" s="9" t="s">
        <v>193</v>
      </c>
    </row>
    <row r="38" spans="2:20" x14ac:dyDescent="0.2">
      <c r="B38" s="1" t="s">
        <v>192</v>
      </c>
    </row>
    <row r="39" spans="2:20" x14ac:dyDescent="0.2">
      <c r="B39" s="2" t="s">
        <v>190</v>
      </c>
      <c r="F39" s="2" t="s">
        <v>95</v>
      </c>
      <c r="N39" s="37"/>
    </row>
    <row r="40" spans="2:20" x14ac:dyDescent="0.2">
      <c r="B40" s="2" t="s">
        <v>189</v>
      </c>
      <c r="F40" s="2" t="s">
        <v>172</v>
      </c>
      <c r="N40" s="37"/>
    </row>
    <row r="41" spans="2:20" x14ac:dyDescent="0.2">
      <c r="B41" s="2" t="s">
        <v>185</v>
      </c>
      <c r="F41" s="2" t="s">
        <v>137</v>
      </c>
      <c r="N41" s="37"/>
    </row>
    <row r="43" spans="2:20" x14ac:dyDescent="0.2">
      <c r="B43" s="1" t="s">
        <v>200</v>
      </c>
    </row>
    <row r="44" spans="2:20" x14ac:dyDescent="0.2">
      <c r="B44" s="2" t="s">
        <v>198</v>
      </c>
      <c r="F44" s="2" t="s">
        <v>367</v>
      </c>
      <c r="H44" s="110">
        <f>'Vaste tarieven elektriciteit'!H36</f>
        <v>9.9566783697197589</v>
      </c>
      <c r="T44" s="2" t="s">
        <v>194</v>
      </c>
    </row>
    <row r="45" spans="2:20" x14ac:dyDescent="0.2">
      <c r="B45" s="2" t="s">
        <v>195</v>
      </c>
      <c r="F45" s="2" t="s">
        <v>146</v>
      </c>
      <c r="N45" s="88">
        <f>'Gegevens raming 2020'!N27</f>
        <v>1967</v>
      </c>
    </row>
    <row r="46" spans="2:20" x14ac:dyDescent="0.2">
      <c r="B46" s="2" t="s">
        <v>196</v>
      </c>
      <c r="F46" s="2" t="s">
        <v>137</v>
      </c>
      <c r="N46" s="49">
        <f>N45*H44*12</f>
        <v>235017.43623886519</v>
      </c>
      <c r="T46" s="2" t="s">
        <v>199</v>
      </c>
    </row>
    <row r="48" spans="2:20" x14ac:dyDescent="0.2">
      <c r="B48" s="37" t="s">
        <v>446</v>
      </c>
      <c r="F48" s="2" t="s">
        <v>137</v>
      </c>
      <c r="N48" s="37"/>
    </row>
    <row r="51" spans="2:20" s="9" customFormat="1" x14ac:dyDescent="0.2">
      <c r="B51" s="9" t="s">
        <v>181</v>
      </c>
    </row>
    <row r="53" spans="2:20" x14ac:dyDescent="0.2">
      <c r="B53" s="1" t="s">
        <v>161</v>
      </c>
    </row>
    <row r="54" spans="2:20" x14ac:dyDescent="0.2">
      <c r="B54" s="2" t="s">
        <v>86</v>
      </c>
      <c r="F54" s="2" t="s">
        <v>89</v>
      </c>
      <c r="J54" s="49">
        <f>SUM(L54:P54)</f>
        <v>22240602.11356242</v>
      </c>
      <c r="L54" s="45">
        <f t="shared" ref="L54:P56" si="0">L22*L27</f>
        <v>0</v>
      </c>
      <c r="M54" s="45">
        <f t="shared" si="0"/>
        <v>16355034.759875581</v>
      </c>
      <c r="N54" s="45">
        <f t="shared" si="0"/>
        <v>0</v>
      </c>
      <c r="O54" s="45">
        <f t="shared" si="0"/>
        <v>5862850.1564052431</v>
      </c>
      <c r="P54" s="45">
        <f t="shared" si="0"/>
        <v>22717.197281595931</v>
      </c>
      <c r="T54" s="2" t="s">
        <v>179</v>
      </c>
    </row>
    <row r="55" spans="2:20" x14ac:dyDescent="0.2">
      <c r="B55" s="2" t="s">
        <v>87</v>
      </c>
      <c r="F55" s="2" t="s">
        <v>89</v>
      </c>
      <c r="J55" s="49">
        <f>SUM(L55:P55)</f>
        <v>2084547.5440108227</v>
      </c>
      <c r="L55" s="45">
        <f t="shared" si="0"/>
        <v>0</v>
      </c>
      <c r="M55" s="45">
        <f t="shared" si="0"/>
        <v>1248662.6877749348</v>
      </c>
      <c r="N55" s="45">
        <f t="shared" si="0"/>
        <v>0</v>
      </c>
      <c r="O55" s="45">
        <f t="shared" si="0"/>
        <v>821087.08870053303</v>
      </c>
      <c r="P55" s="45">
        <f t="shared" si="0"/>
        <v>14797.767535354949</v>
      </c>
    </row>
    <row r="56" spans="2:20" x14ac:dyDescent="0.2">
      <c r="B56" s="27" t="s">
        <v>141</v>
      </c>
      <c r="F56" s="2" t="s">
        <v>89</v>
      </c>
      <c r="J56" s="49">
        <f>SUM(L56:P56)</f>
        <v>1960668.5985511723</v>
      </c>
      <c r="L56" s="45">
        <f t="shared" si="0"/>
        <v>0</v>
      </c>
      <c r="M56" s="45">
        <f t="shared" si="0"/>
        <v>817864.09597212845</v>
      </c>
      <c r="N56" s="45">
        <f t="shared" si="0"/>
        <v>457291.13859333604</v>
      </c>
      <c r="O56" s="45">
        <f t="shared" si="0"/>
        <v>668991.47414209216</v>
      </c>
      <c r="P56" s="45">
        <f t="shared" si="0"/>
        <v>16521.889843615743</v>
      </c>
    </row>
    <row r="58" spans="2:20" x14ac:dyDescent="0.2">
      <c r="B58" s="2" t="s">
        <v>186</v>
      </c>
      <c r="F58" s="2" t="s">
        <v>137</v>
      </c>
      <c r="J58" s="49">
        <f>SUM(L58:P58)</f>
        <v>5490419.6560098864</v>
      </c>
      <c r="L58" s="45">
        <f>L54*$H$17+L55+L56*(1+$H$18)*(1+$H$19)</f>
        <v>0</v>
      </c>
      <c r="M58" s="45">
        <f t="shared" ref="M58:P58" si="1">M54*$H$17+M55+M56*(1+$H$18)*(1+$H$19)</f>
        <v>3099696.0125784967</v>
      </c>
      <c r="N58" s="45">
        <f t="shared" si="1"/>
        <v>478975.884385432</v>
      </c>
      <c r="O58" s="45">
        <f t="shared" si="1"/>
        <v>1878263.428055882</v>
      </c>
      <c r="P58" s="45">
        <f t="shared" si="1"/>
        <v>33484.330990075985</v>
      </c>
    </row>
    <row r="59" spans="2:20" x14ac:dyDescent="0.2">
      <c r="B59" s="2" t="s">
        <v>180</v>
      </c>
      <c r="F59" s="2" t="s">
        <v>188</v>
      </c>
      <c r="L59" s="87">
        <f>L58/L33</f>
        <v>0</v>
      </c>
      <c r="M59" s="87">
        <f>M58/M33</f>
        <v>32.484239975457292</v>
      </c>
      <c r="N59" s="37"/>
      <c r="O59" s="87">
        <f>O58/O33</f>
        <v>720.70821723697043</v>
      </c>
      <c r="P59" s="87">
        <f>P58/P33</f>
        <v>3.0423706151259298</v>
      </c>
    </row>
    <row r="61" spans="2:20" x14ac:dyDescent="0.2">
      <c r="B61" s="1" t="s">
        <v>162</v>
      </c>
    </row>
    <row r="62" spans="2:20" x14ac:dyDescent="0.2">
      <c r="B62" s="2" t="s">
        <v>86</v>
      </c>
      <c r="F62" s="2" t="s">
        <v>89</v>
      </c>
      <c r="J62" s="49">
        <f>SUM(L62:P62)</f>
        <v>26699909.606439047</v>
      </c>
      <c r="L62" s="45">
        <f t="shared" ref="L62:P63" si="2">L22-L54</f>
        <v>1190465.5730082868</v>
      </c>
      <c r="M62" s="45">
        <f t="shared" si="2"/>
        <v>16355034.759875581</v>
      </c>
      <c r="N62" s="45">
        <f t="shared" si="2"/>
        <v>3268841.919868337</v>
      </c>
      <c r="O62" s="45">
        <f t="shared" si="2"/>
        <v>5862850.1564052431</v>
      </c>
      <c r="P62" s="45">
        <f t="shared" si="2"/>
        <v>22717.197281595931</v>
      </c>
    </row>
    <row r="63" spans="2:20" x14ac:dyDescent="0.2">
      <c r="B63" s="2" t="s">
        <v>87</v>
      </c>
      <c r="F63" s="2" t="s">
        <v>89</v>
      </c>
      <c r="J63" s="49">
        <f>SUM(L63:P63)</f>
        <v>2443279.8903157716</v>
      </c>
      <c r="L63" s="45">
        <f t="shared" si="2"/>
        <v>91596.482646057106</v>
      </c>
      <c r="M63" s="45">
        <f t="shared" si="2"/>
        <v>1248662.6877749348</v>
      </c>
      <c r="N63" s="45">
        <f t="shared" si="2"/>
        <v>267135.86365889176</v>
      </c>
      <c r="O63" s="45">
        <f t="shared" si="2"/>
        <v>821087.08870053303</v>
      </c>
      <c r="P63" s="45">
        <f t="shared" si="2"/>
        <v>14797.767535354949</v>
      </c>
    </row>
    <row r="64" spans="2:20" x14ac:dyDescent="0.2">
      <c r="B64" s="27" t="s">
        <v>141</v>
      </c>
      <c r="F64" s="2" t="s">
        <v>89</v>
      </c>
      <c r="J64" s="37"/>
      <c r="L64" s="45">
        <f>L24-L56</f>
        <v>59050.606023817323</v>
      </c>
      <c r="M64" s="45">
        <f>M24-M56</f>
        <v>5997670.0371289421</v>
      </c>
      <c r="N64" s="37"/>
      <c r="O64" s="45">
        <f>O24-O56</f>
        <v>2675965.8965683682</v>
      </c>
      <c r="P64" s="45">
        <f>P24-P56</f>
        <v>66087.559374462959</v>
      </c>
    </row>
    <row r="66" spans="2:20" x14ac:dyDescent="0.2">
      <c r="B66" s="2" t="s">
        <v>187</v>
      </c>
      <c r="F66" s="2" t="s">
        <v>137</v>
      </c>
      <c r="J66" s="49">
        <f>SUM(L66:P66)</f>
        <v>17212459.539930925</v>
      </c>
      <c r="L66" s="45">
        <f>L62*$H$17+L63+L64*(1+$H$18)*(1+$H$19)</f>
        <v>225827.57524642767</v>
      </c>
      <c r="M66" s="45">
        <f>M62*$H$17+M63+M64*(1+$H$18)*(1+$H$19)</f>
        <v>8525128.3514649663</v>
      </c>
      <c r="N66" s="37">
        <v>4395694.6310558403</v>
      </c>
      <c r="O66" s="45">
        <f>O62*$H$17+O63+O64*(1+$H$18)*(1+$H$19)</f>
        <v>3980408.577593612</v>
      </c>
      <c r="P66" s="45">
        <f>P62*$H$17+P63+P64*(1+$H$18)*(1+$H$19)</f>
        <v>85400.404570075974</v>
      </c>
    </row>
    <row r="68" spans="2:20" x14ac:dyDescent="0.2">
      <c r="N68" s="101"/>
    </row>
    <row r="69" spans="2:20" s="9" customFormat="1" x14ac:dyDescent="0.2">
      <c r="B69" s="9" t="s">
        <v>182</v>
      </c>
    </row>
    <row r="71" spans="2:20" x14ac:dyDescent="0.2">
      <c r="B71" s="1" t="s">
        <v>182</v>
      </c>
    </row>
    <row r="72" spans="2:20" x14ac:dyDescent="0.2">
      <c r="B72" s="2" t="s">
        <v>144</v>
      </c>
      <c r="F72" s="2" t="s">
        <v>145</v>
      </c>
      <c r="L72" s="76" t="s">
        <v>93</v>
      </c>
      <c r="M72" s="76" t="s">
        <v>146</v>
      </c>
      <c r="N72" s="76" t="s">
        <v>95</v>
      </c>
      <c r="O72" s="76" t="s">
        <v>147</v>
      </c>
      <c r="P72" s="76" t="s">
        <v>95</v>
      </c>
    </row>
    <row r="73" spans="2:20" x14ac:dyDescent="0.2">
      <c r="B73" s="27" t="s">
        <v>183</v>
      </c>
      <c r="F73" s="2" t="s">
        <v>108</v>
      </c>
      <c r="L73" s="44">
        <f>'Gegevens raming 2020'!L80</f>
        <v>325206.43000000005</v>
      </c>
      <c r="M73" s="44">
        <f>'Gegevens raming 2020'!M80</f>
        <v>93954.932547229662</v>
      </c>
      <c r="N73" s="37"/>
      <c r="O73" s="44">
        <f>'Gegevens raming 2020'!O80</f>
        <v>2774.8125</v>
      </c>
      <c r="P73" s="44">
        <f>'Gegevens raming 2020'!P80</f>
        <v>11006</v>
      </c>
    </row>
    <row r="74" spans="2:20" x14ac:dyDescent="0.2">
      <c r="B74" s="27" t="s">
        <v>369</v>
      </c>
      <c r="F74" s="2" t="s">
        <v>137</v>
      </c>
      <c r="J74" s="49">
        <f>SUM(L74:P74)</f>
        <v>5565447.9586139321</v>
      </c>
      <c r="L74" s="45">
        <f>L59*L73</f>
        <v>0</v>
      </c>
      <c r="M74" s="45">
        <f>M59*M73</f>
        <v>3052054.5757421111</v>
      </c>
      <c r="N74" s="37">
        <v>480078.88183988439</v>
      </c>
      <c r="O74" s="45">
        <f>O59*O73</f>
        <v>1999830.170041861</v>
      </c>
      <c r="P74" s="45">
        <f>P59*P73</f>
        <v>33484.330990075985</v>
      </c>
      <c r="T74" s="2" t="s">
        <v>201</v>
      </c>
    </row>
    <row r="75" spans="2:20" x14ac:dyDescent="0.2">
      <c r="B75" s="2" t="s">
        <v>191</v>
      </c>
      <c r="F75" s="2" t="s">
        <v>137</v>
      </c>
      <c r="J75" s="49">
        <f>SUM(L75:P75)</f>
        <v>22777907.498544853</v>
      </c>
      <c r="L75" s="34">
        <f>L66+L74</f>
        <v>225827.57524642767</v>
      </c>
      <c r="M75" s="34">
        <f t="shared" ref="M75:P75" si="3">M66+M74</f>
        <v>11577182.927207077</v>
      </c>
      <c r="N75" s="37">
        <f t="shared" si="3"/>
        <v>4875773.5128957247</v>
      </c>
      <c r="O75" s="34">
        <f t="shared" si="3"/>
        <v>5980238.7476354726</v>
      </c>
      <c r="P75" s="34">
        <f t="shared" si="3"/>
        <v>118884.73556015195</v>
      </c>
      <c r="T75" s="2" t="s">
        <v>219</v>
      </c>
    </row>
    <row r="80" spans="2:20" x14ac:dyDescent="0.2">
      <c r="B80" s="2" t="s">
        <v>75</v>
      </c>
    </row>
  </sheetData>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J44"/>
  <sheetViews>
    <sheetView showGridLines="0" zoomScale="85" zoomScaleNormal="85" workbookViewId="0">
      <pane xSplit="6" ySplit="9" topLeftCell="G10" activePane="bottomRight" state="frozen"/>
      <selection activeCell="F63" sqref="F63"/>
      <selection pane="topRight" activeCell="F63" sqref="F63"/>
      <selection pane="bottomLeft" activeCell="F63" sqref="F63"/>
      <selection pane="bottomRight" activeCell="G10" sqref="G10"/>
    </sheetView>
  </sheetViews>
  <sheetFormatPr defaultRowHeight="12.75" x14ac:dyDescent="0.2"/>
  <cols>
    <col min="1" max="1" width="4.7109375" style="2" customWidth="1"/>
    <col min="2" max="2" width="69" style="2" customWidth="1"/>
    <col min="3" max="3" width="4.7109375" style="2" customWidth="1"/>
    <col min="4" max="5" width="4.5703125" style="2" customWidth="1"/>
    <col min="6" max="6" width="23.140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9.140625" style="2" customWidth="1"/>
    <col min="13" max="15" width="4" style="2" customWidth="1"/>
    <col min="16" max="16" width="12.5703125" style="2" customWidth="1"/>
    <col min="17" max="29" width="13.7109375" style="2" customWidth="1"/>
    <col min="30" max="16384" width="9.140625" style="2"/>
  </cols>
  <sheetData>
    <row r="2" spans="2:10" s="22" customFormat="1" ht="18" x14ac:dyDescent="0.2">
      <c r="B2" s="22" t="s">
        <v>220</v>
      </c>
    </row>
    <row r="4" spans="2:10" x14ac:dyDescent="0.2">
      <c r="B4" s="31" t="s">
        <v>50</v>
      </c>
      <c r="C4" s="1"/>
      <c r="D4" s="1"/>
    </row>
    <row r="5" spans="2:10" x14ac:dyDescent="0.2">
      <c r="B5" s="27" t="s">
        <v>370</v>
      </c>
      <c r="C5" s="27"/>
      <c r="D5" s="27"/>
      <c r="H5" s="23"/>
    </row>
    <row r="6" spans="2:10" x14ac:dyDescent="0.2">
      <c r="B6" s="5"/>
      <c r="C6" s="27"/>
      <c r="D6" s="27"/>
    </row>
    <row r="8" spans="2:10" s="9" customFormat="1" x14ac:dyDescent="0.2">
      <c r="B8" s="9" t="s">
        <v>41</v>
      </c>
      <c r="F8" s="9" t="s">
        <v>23</v>
      </c>
      <c r="H8" s="9" t="s">
        <v>24</v>
      </c>
      <c r="J8" s="9" t="s">
        <v>43</v>
      </c>
    </row>
    <row r="11" spans="2:10" s="9" customFormat="1" x14ac:dyDescent="0.2">
      <c r="B11" s="9" t="s">
        <v>372</v>
      </c>
    </row>
    <row r="13" spans="2:10" x14ac:dyDescent="0.2">
      <c r="B13" s="1" t="s">
        <v>224</v>
      </c>
    </row>
    <row r="14" spans="2:10" x14ac:dyDescent="0.2">
      <c r="B14" s="2" t="s">
        <v>222</v>
      </c>
      <c r="F14" s="2" t="s">
        <v>137</v>
      </c>
      <c r="H14" s="44">
        <f>'Berekening kostenbasis 2020'!L75</f>
        <v>225827.57524642767</v>
      </c>
    </row>
    <row r="16" spans="2:10" x14ac:dyDescent="0.2">
      <c r="B16" s="2" t="s">
        <v>227</v>
      </c>
      <c r="F16" s="2" t="s">
        <v>93</v>
      </c>
      <c r="H16" s="44">
        <f>'Gegevens raming 2020'!L15</f>
        <v>325206.43000000005</v>
      </c>
    </row>
    <row r="17" spans="2:10" x14ac:dyDescent="0.2">
      <c r="B17" s="2" t="s">
        <v>388</v>
      </c>
      <c r="F17" s="2" t="s">
        <v>126</v>
      </c>
      <c r="H17" s="100">
        <f>H14/H16</f>
        <v>0.69441300790524851</v>
      </c>
    </row>
    <row r="18" spans="2:10" x14ac:dyDescent="0.2">
      <c r="B18" s="2" t="s">
        <v>389</v>
      </c>
      <c r="F18" s="2" t="s">
        <v>126</v>
      </c>
      <c r="H18" s="96">
        <f>ROUND(H17,4)</f>
        <v>0.69440000000000002</v>
      </c>
      <c r="J18" s="2" t="s">
        <v>265</v>
      </c>
    </row>
    <row r="20" spans="2:10" x14ac:dyDescent="0.2">
      <c r="B20" s="1" t="s">
        <v>226</v>
      </c>
    </row>
    <row r="21" spans="2:10" x14ac:dyDescent="0.2">
      <c r="B21" s="2" t="s">
        <v>228</v>
      </c>
      <c r="F21" s="2" t="s">
        <v>93</v>
      </c>
      <c r="H21" s="44">
        <f>'Gegevens raming 2020'!L19</f>
        <v>122900000</v>
      </c>
    </row>
    <row r="22" spans="2:10" x14ac:dyDescent="0.2">
      <c r="B22" s="2" t="s">
        <v>229</v>
      </c>
      <c r="F22" s="2" t="s">
        <v>126</v>
      </c>
      <c r="H22" s="97">
        <f>'Gegevens raming 2020'!L18</f>
        <v>0.19620000000000001</v>
      </c>
    </row>
    <row r="24" spans="2:10" x14ac:dyDescent="0.2">
      <c r="B24" s="2" t="s">
        <v>266</v>
      </c>
      <c r="F24" s="2" t="s">
        <v>126</v>
      </c>
      <c r="H24" s="96">
        <f>(H18*H16+H22*H21)/(H16+H21)</f>
        <v>0.19751481089072498</v>
      </c>
      <c r="J24" s="2" t="s">
        <v>392</v>
      </c>
    </row>
    <row r="25" spans="2:10" x14ac:dyDescent="0.2">
      <c r="B25" s="2" t="s">
        <v>399</v>
      </c>
      <c r="F25" s="2" t="s">
        <v>93</v>
      </c>
      <c r="H25" s="45">
        <f>H21+H16</f>
        <v>123225206.43000001</v>
      </c>
    </row>
    <row r="28" spans="2:10" s="9" customFormat="1" x14ac:dyDescent="0.2">
      <c r="B28" s="9" t="s">
        <v>371</v>
      </c>
    </row>
    <row r="30" spans="2:10" x14ac:dyDescent="0.2">
      <c r="B30" s="1" t="s">
        <v>230</v>
      </c>
    </row>
    <row r="31" spans="2:10" x14ac:dyDescent="0.2">
      <c r="B31" s="27" t="s">
        <v>267</v>
      </c>
      <c r="F31" s="2" t="s">
        <v>137</v>
      </c>
      <c r="H31" s="44">
        <f>'Correcties (incl. berekening)'!M67</f>
        <v>731770.30343244923</v>
      </c>
    </row>
    <row r="32" spans="2:10" x14ac:dyDescent="0.2">
      <c r="B32" s="27" t="s">
        <v>268</v>
      </c>
      <c r="F32" s="2" t="s">
        <v>137</v>
      </c>
      <c r="H32" s="44">
        <f>'Correcties (incl. berekening)'!M68</f>
        <v>-62685.326372631687</v>
      </c>
    </row>
    <row r="33" spans="2:10" x14ac:dyDescent="0.2">
      <c r="B33" s="27" t="s">
        <v>127</v>
      </c>
      <c r="C33" s="27"/>
      <c r="D33" s="27"/>
      <c r="E33" s="27"/>
      <c r="F33" s="56" t="s">
        <v>72</v>
      </c>
      <c r="H33" s="91">
        <f>'Gegevens raming 2020'!L21</f>
        <v>0.48418606543249587</v>
      </c>
    </row>
    <row r="34" spans="2:10" x14ac:dyDescent="0.2">
      <c r="B34" s="27"/>
    </row>
    <row r="35" spans="2:10" x14ac:dyDescent="0.2">
      <c r="B35" s="27" t="s">
        <v>343</v>
      </c>
      <c r="F35" s="2" t="s">
        <v>126</v>
      </c>
      <c r="H35" s="92">
        <f>H31/H25</f>
        <v>5.9384790225378336E-3</v>
      </c>
      <c r="J35" s="103" t="s">
        <v>345</v>
      </c>
    </row>
    <row r="36" spans="2:10" x14ac:dyDescent="0.2">
      <c r="B36" s="27" t="s">
        <v>344</v>
      </c>
      <c r="F36" s="2" t="s">
        <v>126</v>
      </c>
      <c r="H36" s="92">
        <f>+H32/(H25*H33)</f>
        <v>-1.0506402883178911E-3</v>
      </c>
      <c r="J36" s="103" t="s">
        <v>270</v>
      </c>
    </row>
    <row r="37" spans="2:10" x14ac:dyDescent="0.2">
      <c r="B37" s="27"/>
    </row>
    <row r="38" spans="2:10" x14ac:dyDescent="0.2">
      <c r="B38" s="2" t="s">
        <v>217</v>
      </c>
      <c r="F38" s="2" t="s">
        <v>72</v>
      </c>
      <c r="H38" s="91">
        <f>'Gegevens raming 2020'!M38</f>
        <v>9.0200000000000002E-2</v>
      </c>
    </row>
    <row r="40" spans="2:10" x14ac:dyDescent="0.2">
      <c r="B40" s="27" t="s">
        <v>269</v>
      </c>
      <c r="F40" s="2" t="s">
        <v>126</v>
      </c>
      <c r="H40" s="100">
        <f>(H24+H35+H36)/(1-H38)</f>
        <v>0.22246938846443717</v>
      </c>
    </row>
    <row r="41" spans="2:10" x14ac:dyDescent="0.2">
      <c r="B41" s="27" t="s">
        <v>393</v>
      </c>
      <c r="F41" s="2" t="s">
        <v>126</v>
      </c>
      <c r="H41" s="96">
        <f>ROUND(H40,4)</f>
        <v>0.2225</v>
      </c>
    </row>
    <row r="42" spans="2:10" x14ac:dyDescent="0.2">
      <c r="H42" s="103"/>
    </row>
    <row r="44" spans="2:10" x14ac:dyDescent="0.2">
      <c r="B44" s="2" t="s">
        <v>75</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L59"/>
  <sheetViews>
    <sheetView showGridLines="0" zoomScale="85" zoomScaleNormal="85" workbookViewId="0">
      <pane xSplit="6" ySplit="10" topLeftCell="G11" activePane="bottomRight" state="frozen"/>
      <selection pane="topRight" activeCell="G1" sqref="G1"/>
      <selection pane="bottomLeft" activeCell="A10" sqref="A10"/>
      <selection pane="bottomRight" activeCell="G11" sqref="G11"/>
    </sheetView>
  </sheetViews>
  <sheetFormatPr defaultRowHeight="12.75" x14ac:dyDescent="0.2"/>
  <cols>
    <col min="1" max="1" width="4.7109375" style="2" customWidth="1"/>
    <col min="2" max="2" width="61.5703125" style="2" customWidth="1"/>
    <col min="3" max="3" width="21" style="2" customWidth="1"/>
    <col min="4" max="5" width="4.5703125" style="2" customWidth="1"/>
    <col min="6" max="6" width="23.140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9.140625" style="2" customWidth="1"/>
    <col min="13" max="15" width="4" style="2" customWidth="1"/>
    <col min="16" max="16" width="12.5703125" style="2" customWidth="1"/>
    <col min="17" max="29" width="13.7109375" style="2" customWidth="1"/>
    <col min="30" max="16384" width="9.140625" style="2"/>
  </cols>
  <sheetData>
    <row r="2" spans="2:10" s="22" customFormat="1" ht="18" x14ac:dyDescent="0.2">
      <c r="B2" s="22" t="s">
        <v>271</v>
      </c>
    </row>
    <row r="4" spans="2:10" x14ac:dyDescent="0.2">
      <c r="B4" s="31" t="s">
        <v>50</v>
      </c>
      <c r="C4" s="1"/>
      <c r="D4" s="1"/>
    </row>
    <row r="5" spans="2:10" x14ac:dyDescent="0.2">
      <c r="B5" s="27" t="s">
        <v>272</v>
      </c>
      <c r="C5" s="27"/>
      <c r="D5" s="27"/>
      <c r="H5" s="23"/>
    </row>
    <row r="6" spans="2:10" x14ac:dyDescent="0.2">
      <c r="B6" s="27" t="s">
        <v>273</v>
      </c>
      <c r="C6" s="27"/>
      <c r="D6" s="27"/>
    </row>
    <row r="9" spans="2:10" s="9" customFormat="1" x14ac:dyDescent="0.2">
      <c r="B9" s="9" t="s">
        <v>41</v>
      </c>
      <c r="F9" s="9" t="s">
        <v>23</v>
      </c>
      <c r="H9" s="9" t="s">
        <v>24</v>
      </c>
      <c r="J9" s="9" t="s">
        <v>43</v>
      </c>
    </row>
    <row r="12" spans="2:10" x14ac:dyDescent="0.2">
      <c r="B12" s="2" t="s">
        <v>76</v>
      </c>
      <c r="F12" s="2" t="s">
        <v>72</v>
      </c>
      <c r="H12" s="75">
        <f>Parameters!H18</f>
        <v>1.2E-2</v>
      </c>
    </row>
    <row r="14" spans="2:10" s="9" customFormat="1" x14ac:dyDescent="0.2">
      <c r="B14" s="9" t="s">
        <v>274</v>
      </c>
    </row>
    <row r="16" spans="2:10" x14ac:dyDescent="0.2">
      <c r="B16" s="1" t="s">
        <v>275</v>
      </c>
    </row>
    <row r="17" spans="2:12" x14ac:dyDescent="0.2">
      <c r="B17" s="2" t="s">
        <v>191</v>
      </c>
      <c r="F17" s="2" t="s">
        <v>137</v>
      </c>
      <c r="H17" s="44">
        <f>'Berekening kostenbasis 2020'!M75</f>
        <v>11577182.927207077</v>
      </c>
    </row>
    <row r="18" spans="2:12" x14ac:dyDescent="0.2">
      <c r="B18" s="27" t="s">
        <v>206</v>
      </c>
      <c r="F18" s="2" t="s">
        <v>137</v>
      </c>
      <c r="H18" s="44">
        <f>'Correcties (incl. berekening)'!M69</f>
        <v>-351434.39174930973</v>
      </c>
    </row>
    <row r="19" spans="2:12" x14ac:dyDescent="0.2">
      <c r="B19" s="2" t="s">
        <v>373</v>
      </c>
      <c r="F19" s="2" t="s">
        <v>137</v>
      </c>
      <c r="H19" s="45">
        <f>H17+H18</f>
        <v>11225748.535457768</v>
      </c>
    </row>
    <row r="21" spans="2:12" x14ac:dyDescent="0.2">
      <c r="B21" s="2" t="s">
        <v>277</v>
      </c>
      <c r="F21" s="2" t="s">
        <v>146</v>
      </c>
      <c r="H21" s="44">
        <f>'Gegevens raming 2020'!M80</f>
        <v>93954.932547229662</v>
      </c>
    </row>
    <row r="22" spans="2:12" x14ac:dyDescent="0.2">
      <c r="B22" s="2" t="s">
        <v>278</v>
      </c>
      <c r="F22" s="2" t="s">
        <v>279</v>
      </c>
      <c r="H22" s="87">
        <f>H19/H21/12</f>
        <v>9.9566783697197589</v>
      </c>
    </row>
    <row r="24" spans="2:12" x14ac:dyDescent="0.2">
      <c r="B24" s="1" t="s">
        <v>280</v>
      </c>
    </row>
    <row r="25" spans="2:12" ht="25.5" x14ac:dyDescent="0.2">
      <c r="B25" s="72" t="s">
        <v>132</v>
      </c>
      <c r="C25" s="73" t="s">
        <v>106</v>
      </c>
      <c r="H25" s="101"/>
      <c r="L25" s="103"/>
    </row>
    <row r="26" spans="2:12" x14ac:dyDescent="0.2">
      <c r="B26" s="27" t="s">
        <v>107</v>
      </c>
      <c r="C26" s="105">
        <f>'Gegevens raming 2020'!C52</f>
        <v>3.1</v>
      </c>
      <c r="F26" s="2" t="s">
        <v>281</v>
      </c>
      <c r="H26" s="104">
        <f t="shared" ref="H26:H35" si="0">C26*$H$22</f>
        <v>30.865702946131254</v>
      </c>
    </row>
    <row r="27" spans="2:12" x14ac:dyDescent="0.2">
      <c r="B27" s="27" t="s">
        <v>109</v>
      </c>
      <c r="C27" s="105">
        <f>'Gegevens raming 2020'!C53</f>
        <v>4.4000000000000004</v>
      </c>
      <c r="F27" s="2" t="s">
        <v>281</v>
      </c>
      <c r="H27" s="104">
        <f t="shared" si="0"/>
        <v>43.809384826766944</v>
      </c>
    </row>
    <row r="28" spans="2:12" x14ac:dyDescent="0.2">
      <c r="B28" s="27" t="s">
        <v>110</v>
      </c>
      <c r="C28" s="105">
        <f>'Gegevens raming 2020'!C54</f>
        <v>4.4000000000000004</v>
      </c>
      <c r="F28" s="2" t="s">
        <v>281</v>
      </c>
      <c r="H28" s="104">
        <f t="shared" si="0"/>
        <v>43.809384826766944</v>
      </c>
    </row>
    <row r="29" spans="2:12" x14ac:dyDescent="0.2">
      <c r="B29" s="27" t="s">
        <v>111</v>
      </c>
      <c r="C29" s="105">
        <f>'Gegevens raming 2020'!C55</f>
        <v>11.4</v>
      </c>
      <c r="F29" s="2" t="s">
        <v>281</v>
      </c>
      <c r="H29" s="104">
        <f t="shared" si="0"/>
        <v>113.50613341480526</v>
      </c>
    </row>
    <row r="30" spans="2:12" x14ac:dyDescent="0.2">
      <c r="B30" s="27" t="s">
        <v>112</v>
      </c>
      <c r="C30" s="105">
        <f>'Gegevens raming 2020'!C56</f>
        <v>19.2</v>
      </c>
      <c r="F30" s="2" t="s">
        <v>281</v>
      </c>
      <c r="H30" s="104">
        <f t="shared" si="0"/>
        <v>191.16822469861935</v>
      </c>
    </row>
    <row r="31" spans="2:12" x14ac:dyDescent="0.2">
      <c r="B31" s="27" t="s">
        <v>113</v>
      </c>
      <c r="C31" s="105">
        <f>'Gegevens raming 2020'!C57</f>
        <v>30.4</v>
      </c>
      <c r="F31" s="2" t="s">
        <v>281</v>
      </c>
      <c r="H31" s="104">
        <f t="shared" si="0"/>
        <v>302.68302243948068</v>
      </c>
    </row>
    <row r="32" spans="2:12" x14ac:dyDescent="0.2">
      <c r="B32" s="27" t="s">
        <v>114</v>
      </c>
      <c r="C32" s="105">
        <f>'Gegevens raming 2020'!C58</f>
        <v>38.1</v>
      </c>
      <c r="F32" s="2" t="s">
        <v>281</v>
      </c>
      <c r="H32" s="104">
        <f t="shared" si="0"/>
        <v>379.34944588632283</v>
      </c>
    </row>
    <row r="33" spans="2:10" x14ac:dyDescent="0.2">
      <c r="B33" s="27" t="s">
        <v>115</v>
      </c>
      <c r="C33" s="105">
        <f>'Gegevens raming 2020'!C59</f>
        <v>47.6</v>
      </c>
      <c r="F33" s="2" t="s">
        <v>281</v>
      </c>
      <c r="H33" s="104">
        <f t="shared" si="0"/>
        <v>473.93789039866056</v>
      </c>
    </row>
    <row r="34" spans="2:10" x14ac:dyDescent="0.2">
      <c r="B34" s="27" t="s">
        <v>116</v>
      </c>
      <c r="C34" s="105">
        <f>'Gegevens raming 2020'!C60</f>
        <v>60.9</v>
      </c>
      <c r="F34" s="2" t="s">
        <v>281</v>
      </c>
      <c r="H34" s="104">
        <f t="shared" si="0"/>
        <v>606.36171271593332</v>
      </c>
    </row>
    <row r="35" spans="2:10" x14ac:dyDescent="0.2">
      <c r="B35" s="27" t="s">
        <v>117</v>
      </c>
      <c r="C35" s="105">
        <f>'Gegevens raming 2020'!C61</f>
        <v>76.099999999999994</v>
      </c>
      <c r="F35" s="2" t="s">
        <v>281</v>
      </c>
      <c r="H35" s="104">
        <f t="shared" si="0"/>
        <v>757.70322393567358</v>
      </c>
    </row>
    <row r="36" spans="2:10" x14ac:dyDescent="0.2">
      <c r="B36" s="27" t="s">
        <v>118</v>
      </c>
      <c r="F36" s="2" t="s">
        <v>279</v>
      </c>
      <c r="H36" s="104">
        <f>H22</f>
        <v>9.9566783697197589</v>
      </c>
    </row>
    <row r="39" spans="2:10" s="9" customFormat="1" x14ac:dyDescent="0.2">
      <c r="B39" s="9" t="s">
        <v>282</v>
      </c>
    </row>
    <row r="41" spans="2:10" x14ac:dyDescent="0.2">
      <c r="B41" s="106" t="s">
        <v>283</v>
      </c>
      <c r="F41" s="2" t="s">
        <v>103</v>
      </c>
      <c r="H41" s="107">
        <f>'Gegevens raming 2020'!M40</f>
        <v>208.33333333333334</v>
      </c>
    </row>
    <row r="42" spans="2:10" x14ac:dyDescent="0.2">
      <c r="B42" s="27" t="s">
        <v>269</v>
      </c>
      <c r="F42" s="2" t="s">
        <v>126</v>
      </c>
      <c r="H42" s="97">
        <f>'Variabel tarief elektriciteit'!H41</f>
        <v>0.2225</v>
      </c>
      <c r="J42" s="2" t="s">
        <v>394</v>
      </c>
    </row>
    <row r="43" spans="2:10" x14ac:dyDescent="0.2">
      <c r="B43" s="106" t="s">
        <v>285</v>
      </c>
      <c r="F43" s="2" t="s">
        <v>281</v>
      </c>
      <c r="H43" s="87">
        <f>ROUND(H27,2)</f>
        <v>43.81</v>
      </c>
    </row>
    <row r="44" spans="2:10" x14ac:dyDescent="0.2">
      <c r="B44" s="2" t="s">
        <v>291</v>
      </c>
      <c r="F44" s="2" t="s">
        <v>126</v>
      </c>
      <c r="H44" s="93">
        <f>H42+H43/H41</f>
        <v>0.43278800000000001</v>
      </c>
    </row>
    <row r="47" spans="2:10" s="9" customFormat="1" x14ac:dyDescent="0.2">
      <c r="B47" s="9" t="s">
        <v>286</v>
      </c>
    </row>
    <row r="49" spans="2:10" x14ac:dyDescent="0.2">
      <c r="B49" s="108" t="s">
        <v>293</v>
      </c>
      <c r="F49" s="2" t="s">
        <v>197</v>
      </c>
      <c r="H49" s="107">
        <f>'Gegevens raming 2020'!M43</f>
        <v>40</v>
      </c>
      <c r="J49" s="2" t="s">
        <v>295</v>
      </c>
    </row>
    <row r="50" spans="2:10" x14ac:dyDescent="0.2">
      <c r="B50" s="108" t="s">
        <v>296</v>
      </c>
      <c r="F50" s="2" t="s">
        <v>137</v>
      </c>
      <c r="H50" s="104">
        <f>H49</f>
        <v>40</v>
      </c>
      <c r="J50" s="2" t="s">
        <v>288</v>
      </c>
    </row>
    <row r="52" spans="2:10" x14ac:dyDescent="0.2">
      <c r="B52" s="1" t="s">
        <v>289</v>
      </c>
    </row>
    <row r="53" spans="2:10" x14ac:dyDescent="0.2">
      <c r="B53" s="2" t="s">
        <v>290</v>
      </c>
      <c r="F53" s="2" t="s">
        <v>197</v>
      </c>
      <c r="H53" s="107">
        <f>'Gegevens raming 2020'!M44</f>
        <v>1571.0131325258899</v>
      </c>
    </row>
    <row r="54" spans="2:10" x14ac:dyDescent="0.2">
      <c r="B54" s="2" t="s">
        <v>297</v>
      </c>
      <c r="F54" s="2" t="s">
        <v>137</v>
      </c>
      <c r="H54" s="104">
        <f>H53*(1+$H$12)</f>
        <v>1589.8652901162006</v>
      </c>
    </row>
    <row r="59" spans="2:10" x14ac:dyDescent="0.2">
      <c r="B59" s="2" t="s">
        <v>75</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B2:M41"/>
  <sheetViews>
    <sheetView showGridLines="0" zoomScale="85" zoomScaleNormal="85" workbookViewId="0">
      <pane xSplit="6" ySplit="9" topLeftCell="G10" activePane="bottomRight" state="frozen"/>
      <selection activeCell="A39" activeCellId="2" sqref="A24 A17:A18 A39"/>
      <selection pane="topRight" activeCell="A39" activeCellId="2" sqref="A24 A17:A18 A39"/>
      <selection pane="bottomLeft" activeCell="A39" activeCellId="2" sqref="A24 A17:A18 A39"/>
      <selection pane="bottomRight" activeCell="G10" sqref="G10"/>
    </sheetView>
  </sheetViews>
  <sheetFormatPr defaultRowHeight="12.75" x14ac:dyDescent="0.2"/>
  <cols>
    <col min="1" max="1" width="4.7109375" style="2" customWidth="1"/>
    <col min="2" max="2" width="65.42578125" style="2" customWidth="1"/>
    <col min="3" max="3" width="4.7109375" style="2" customWidth="1"/>
    <col min="4" max="5" width="4.5703125" style="2" customWidth="1"/>
    <col min="6" max="6" width="23.140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9.140625" style="2" customWidth="1"/>
    <col min="17" max="19" width="4" style="2" customWidth="1"/>
    <col min="20" max="20" width="12.5703125" style="2" customWidth="1"/>
    <col min="21" max="33" width="13.7109375" style="2" customWidth="1"/>
    <col min="34" max="16384" width="9.140625" style="2"/>
  </cols>
  <sheetData>
    <row r="2" spans="2:13" s="22" customFormat="1" ht="18" x14ac:dyDescent="0.2">
      <c r="B2" s="22" t="s">
        <v>218</v>
      </c>
    </row>
    <row r="4" spans="2:13" x14ac:dyDescent="0.2">
      <c r="B4" s="31" t="s">
        <v>50</v>
      </c>
      <c r="C4" s="1"/>
      <c r="D4" s="1"/>
    </row>
    <row r="5" spans="2:13" x14ac:dyDescent="0.2">
      <c r="B5" s="27" t="s">
        <v>374</v>
      </c>
      <c r="C5" s="27"/>
      <c r="D5" s="27"/>
      <c r="H5" s="23"/>
      <c r="I5" s="23"/>
      <c r="J5" s="23"/>
      <c r="K5" s="23"/>
      <c r="L5" s="23"/>
      <c r="M5" s="23"/>
    </row>
    <row r="6" spans="2:13" x14ac:dyDescent="0.2">
      <c r="B6" s="27"/>
      <c r="C6" s="27"/>
      <c r="D6" s="27"/>
      <c r="H6" s="23"/>
      <c r="I6" s="23"/>
      <c r="J6" s="23"/>
      <c r="K6" s="23"/>
      <c r="L6" s="23"/>
      <c r="M6" s="23"/>
    </row>
    <row r="8" spans="2:13" s="9" customFormat="1" x14ac:dyDescent="0.2">
      <c r="B8" s="9" t="s">
        <v>41</v>
      </c>
      <c r="F8" s="9" t="s">
        <v>23</v>
      </c>
      <c r="H8" s="9" t="s">
        <v>24</v>
      </c>
      <c r="J8" s="9" t="s">
        <v>43</v>
      </c>
    </row>
    <row r="11" spans="2:13" s="9" customFormat="1" x14ac:dyDescent="0.2">
      <c r="B11" s="9" t="s">
        <v>307</v>
      </c>
    </row>
    <row r="13" spans="2:13" x14ac:dyDescent="0.2">
      <c r="B13" s="1" t="s">
        <v>301</v>
      </c>
      <c r="H13" s="84"/>
    </row>
    <row r="14" spans="2:13" x14ac:dyDescent="0.2">
      <c r="B14" s="2" t="s">
        <v>298</v>
      </c>
      <c r="F14" s="2" t="s">
        <v>95</v>
      </c>
      <c r="H14" s="37"/>
    </row>
    <row r="15" spans="2:13" x14ac:dyDescent="0.2">
      <c r="B15" s="2" t="s">
        <v>299</v>
      </c>
      <c r="F15" s="2" t="s">
        <v>95</v>
      </c>
      <c r="H15" s="37"/>
    </row>
    <row r="16" spans="2:13" x14ac:dyDescent="0.2">
      <c r="B16" s="2" t="s">
        <v>300</v>
      </c>
      <c r="F16" s="2" t="s">
        <v>95</v>
      </c>
      <c r="H16" s="37">
        <v>2087597.57660492</v>
      </c>
    </row>
    <row r="18" spans="2:10" x14ac:dyDescent="0.2">
      <c r="B18" s="1" t="s">
        <v>224</v>
      </c>
    </row>
    <row r="19" spans="2:10" x14ac:dyDescent="0.2">
      <c r="B19" s="2" t="s">
        <v>222</v>
      </c>
      <c r="F19" s="2" t="s">
        <v>137</v>
      </c>
      <c r="H19" s="44">
        <f>'Berekening kostenbasis 2020'!N75</f>
        <v>4875773.5128957247</v>
      </c>
      <c r="J19" s="2" t="s">
        <v>302</v>
      </c>
    </row>
    <row r="20" spans="2:10" x14ac:dyDescent="0.2">
      <c r="B20" s="2" t="s">
        <v>303</v>
      </c>
      <c r="F20" s="2" t="s">
        <v>137</v>
      </c>
      <c r="H20" s="44">
        <f>'Correcties (incl. berekening)'!N66</f>
        <v>-52526.95385397943</v>
      </c>
    </row>
    <row r="21" spans="2:10" x14ac:dyDescent="0.2">
      <c r="B21" s="2" t="s">
        <v>225</v>
      </c>
      <c r="F21" s="2" t="s">
        <v>137</v>
      </c>
      <c r="H21" s="45">
        <f>H19+H20</f>
        <v>4823246.559041745</v>
      </c>
    </row>
    <row r="23" spans="2:10" x14ac:dyDescent="0.2">
      <c r="B23" s="2" t="s">
        <v>304</v>
      </c>
      <c r="F23" s="2" t="s">
        <v>126</v>
      </c>
      <c r="H23" s="97">
        <f>'Variabel tarief elektriciteit'!H41</f>
        <v>0.2225</v>
      </c>
      <c r="J23" s="2" t="s">
        <v>394</v>
      </c>
    </row>
    <row r="24" spans="2:10" x14ac:dyDescent="0.2">
      <c r="B24" s="2" t="s">
        <v>215</v>
      </c>
      <c r="F24" s="2" t="s">
        <v>216</v>
      </c>
      <c r="H24" s="90">
        <f>'Gegevens raming 2020'!N26</f>
        <v>4.1059999999999999</v>
      </c>
    </row>
    <row r="25" spans="2:10" x14ac:dyDescent="0.2">
      <c r="B25" s="2" t="s">
        <v>312</v>
      </c>
      <c r="F25" s="2" t="s">
        <v>137</v>
      </c>
      <c r="H25" s="111">
        <f>H16*H24*H23</f>
        <v>1907197.8320226057</v>
      </c>
    </row>
    <row r="27" spans="2:10" x14ac:dyDescent="0.2">
      <c r="B27" s="2" t="s">
        <v>391</v>
      </c>
      <c r="F27" s="2" t="s">
        <v>172</v>
      </c>
      <c r="H27" s="100">
        <f>(H21+H25)/H16</f>
        <v>3.2240142767410838</v>
      </c>
    </row>
    <row r="28" spans="2:10" x14ac:dyDescent="0.2">
      <c r="B28" s="2" t="s">
        <v>390</v>
      </c>
      <c r="F28" s="2" t="s">
        <v>172</v>
      </c>
      <c r="H28" s="96">
        <f>ROUND(H27,4)</f>
        <v>3.2240000000000002</v>
      </c>
      <c r="J28" s="2" t="s">
        <v>395</v>
      </c>
    </row>
    <row r="30" spans="2:10" s="9" customFormat="1" x14ac:dyDescent="0.2">
      <c r="B30" s="9" t="s">
        <v>306</v>
      </c>
    </row>
    <row r="32" spans="2:10" x14ac:dyDescent="0.2">
      <c r="B32" s="2" t="s">
        <v>205</v>
      </c>
      <c r="F32" s="2" t="s">
        <v>137</v>
      </c>
      <c r="H32" s="44">
        <f>'Correcties (incl. berekening)'!O67</f>
        <v>21567.142854205875</v>
      </c>
    </row>
    <row r="33" spans="2:10" x14ac:dyDescent="0.2">
      <c r="B33" s="2" t="s">
        <v>311</v>
      </c>
      <c r="F33" s="2" t="s">
        <v>172</v>
      </c>
      <c r="H33" s="100">
        <f>H32/H16</f>
        <v>1.033108253041792E-2</v>
      </c>
    </row>
    <row r="35" spans="2:10" x14ac:dyDescent="0.2">
      <c r="B35" s="2" t="s">
        <v>217</v>
      </c>
      <c r="F35" s="2" t="s">
        <v>72</v>
      </c>
      <c r="H35" s="94">
        <f>'Gegevens raming 2020'!O38</f>
        <v>0.14169999999999999</v>
      </c>
    </row>
    <row r="36" spans="2:10" x14ac:dyDescent="0.2">
      <c r="B36" s="2" t="s">
        <v>305</v>
      </c>
      <c r="F36" s="2" t="s">
        <v>172</v>
      </c>
      <c r="H36" s="125">
        <f>(H28+H33)/(1-H35)</f>
        <v>3.7682990592222043</v>
      </c>
    </row>
    <row r="37" spans="2:10" x14ac:dyDescent="0.2">
      <c r="B37" s="2" t="s">
        <v>396</v>
      </c>
      <c r="F37" s="2" t="s">
        <v>172</v>
      </c>
      <c r="H37" s="95">
        <f>ROUND(H36,3)</f>
        <v>3.7679999999999998</v>
      </c>
      <c r="J37" s="2" t="s">
        <v>397</v>
      </c>
    </row>
    <row r="38" spans="2:10" x14ac:dyDescent="0.2">
      <c r="H38" s="112"/>
    </row>
    <row r="41" spans="2:10" x14ac:dyDescent="0.2">
      <c r="B41" s="2" t="s">
        <v>75</v>
      </c>
    </row>
  </sheetData>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J60"/>
  <sheetViews>
    <sheetView showGridLines="0" zoomScale="85" zoomScaleNormal="85" workbookViewId="0">
      <pane xSplit="6" ySplit="10" topLeftCell="G11" activePane="bottomRight" state="frozen"/>
      <selection pane="topRight" activeCell="G1" sqref="G1"/>
      <selection pane="bottomLeft" activeCell="A10" sqref="A10"/>
      <selection pane="bottomRight" activeCell="G11" sqref="G11"/>
    </sheetView>
  </sheetViews>
  <sheetFormatPr defaultRowHeight="12.75" x14ac:dyDescent="0.2"/>
  <cols>
    <col min="1" max="1" width="4.7109375" style="2" customWidth="1"/>
    <col min="2" max="2" width="61.5703125" style="2" customWidth="1"/>
    <col min="3" max="3" width="21" style="2" customWidth="1"/>
    <col min="4" max="5" width="4.5703125" style="2" customWidth="1"/>
    <col min="6" max="6" width="24.28515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9.140625" style="2" customWidth="1"/>
    <col min="13" max="15" width="4" style="2" customWidth="1"/>
    <col min="16" max="16" width="12.5703125" style="2" customWidth="1"/>
    <col min="17" max="29" width="13.7109375" style="2" customWidth="1"/>
    <col min="30" max="16384" width="9.140625" style="2"/>
  </cols>
  <sheetData>
    <row r="2" spans="2:10" s="22" customFormat="1" ht="18" x14ac:dyDescent="0.2">
      <c r="B2" s="22" t="s">
        <v>308</v>
      </c>
    </row>
    <row r="4" spans="2:10" x14ac:dyDescent="0.2">
      <c r="B4" s="31" t="s">
        <v>50</v>
      </c>
      <c r="C4" s="1"/>
      <c r="D4" s="1"/>
    </row>
    <row r="5" spans="2:10" x14ac:dyDescent="0.2">
      <c r="B5" s="27" t="s">
        <v>272</v>
      </c>
      <c r="C5" s="27"/>
      <c r="D5" s="27"/>
      <c r="H5" s="23"/>
    </row>
    <row r="6" spans="2:10" x14ac:dyDescent="0.2">
      <c r="B6" s="27" t="s">
        <v>309</v>
      </c>
      <c r="C6" s="27"/>
      <c r="D6" s="27"/>
    </row>
    <row r="9" spans="2:10" s="9" customFormat="1" x14ac:dyDescent="0.2">
      <c r="B9" s="9" t="s">
        <v>41</v>
      </c>
      <c r="F9" s="9" t="s">
        <v>23</v>
      </c>
      <c r="H9" s="9" t="s">
        <v>24</v>
      </c>
      <c r="J9" s="9" t="s">
        <v>43</v>
      </c>
    </row>
    <row r="12" spans="2:10" x14ac:dyDescent="0.2">
      <c r="B12" s="2" t="s">
        <v>76</v>
      </c>
      <c r="F12" s="2" t="s">
        <v>72</v>
      </c>
      <c r="H12" s="75">
        <f>Parameters!H18</f>
        <v>1.2E-2</v>
      </c>
    </row>
    <row r="14" spans="2:10" s="9" customFormat="1" x14ac:dyDescent="0.2">
      <c r="B14" s="9" t="s">
        <v>310</v>
      </c>
    </row>
    <row r="16" spans="2:10" x14ac:dyDescent="0.2">
      <c r="B16" s="1" t="s">
        <v>376</v>
      </c>
    </row>
    <row r="17" spans="2:10" x14ac:dyDescent="0.2">
      <c r="B17" s="2" t="s">
        <v>191</v>
      </c>
      <c r="F17" s="2" t="s">
        <v>137</v>
      </c>
      <c r="H17" s="44">
        <f>'Berekening kostenbasis 2020'!O75</f>
        <v>5980238.7476354726</v>
      </c>
    </row>
    <row r="18" spans="2:10" x14ac:dyDescent="0.2">
      <c r="B18" s="27" t="s">
        <v>206</v>
      </c>
      <c r="F18" s="2" t="s">
        <v>137</v>
      </c>
      <c r="H18" s="44">
        <f>'Correcties (incl. berekening)'!O69</f>
        <v>100461.25452115557</v>
      </c>
    </row>
    <row r="19" spans="2:10" x14ac:dyDescent="0.2">
      <c r="B19" s="2" t="s">
        <v>276</v>
      </c>
      <c r="F19" s="2" t="s">
        <v>137</v>
      </c>
      <c r="H19" s="45">
        <f>H17+H18</f>
        <v>6080700.0021566283</v>
      </c>
    </row>
    <row r="21" spans="2:10" x14ac:dyDescent="0.2">
      <c r="B21" s="2" t="s">
        <v>277</v>
      </c>
      <c r="F21" s="2" t="s">
        <v>147</v>
      </c>
      <c r="H21" s="44">
        <f>'Gegevens raming 2020'!O80</f>
        <v>2774.8125</v>
      </c>
    </row>
    <row r="22" spans="2:10" x14ac:dyDescent="0.2">
      <c r="B22" s="2" t="s">
        <v>377</v>
      </c>
      <c r="F22" s="2" t="s">
        <v>378</v>
      </c>
      <c r="H22" s="87">
        <f>H19/H21/12</f>
        <v>182.61594258340665</v>
      </c>
    </row>
    <row r="24" spans="2:10" x14ac:dyDescent="0.2">
      <c r="B24" s="1" t="s">
        <v>280</v>
      </c>
    </row>
    <row r="25" spans="2:10" ht="25.5" x14ac:dyDescent="0.2">
      <c r="B25" s="72" t="s">
        <v>132</v>
      </c>
      <c r="C25" s="73" t="s">
        <v>133</v>
      </c>
      <c r="H25" s="101"/>
    </row>
    <row r="26" spans="2:10" x14ac:dyDescent="0.2">
      <c r="B26" s="56" t="s">
        <v>119</v>
      </c>
      <c r="C26" s="107">
        <f>'Gegevens raming 2020'!C68</f>
        <v>0.25</v>
      </c>
      <c r="F26" s="2" t="s">
        <v>281</v>
      </c>
      <c r="H26" s="104">
        <f>C26*$H$22</f>
        <v>45.653985645851662</v>
      </c>
    </row>
    <row r="27" spans="2:10" x14ac:dyDescent="0.2">
      <c r="B27" s="56" t="s">
        <v>120</v>
      </c>
      <c r="C27" s="107">
        <f>'Gegevens raming 2020'!C69</f>
        <v>0.5625</v>
      </c>
      <c r="F27" s="2" t="s">
        <v>281</v>
      </c>
      <c r="H27" s="104">
        <f>C27*$H$22</f>
        <v>102.72146770316624</v>
      </c>
    </row>
    <row r="28" spans="2:10" x14ac:dyDescent="0.2">
      <c r="B28" s="56" t="s">
        <v>121</v>
      </c>
      <c r="C28" s="107">
        <f>'Gegevens raming 2020'!C70</f>
        <v>1</v>
      </c>
      <c r="F28" s="2" t="s">
        <v>281</v>
      </c>
      <c r="H28" s="104">
        <f>C28*$H$22</f>
        <v>182.61594258340665</v>
      </c>
    </row>
    <row r="29" spans="2:10" x14ac:dyDescent="0.2">
      <c r="B29" s="56" t="s">
        <v>122</v>
      </c>
      <c r="C29" s="107">
        <f>'Gegevens raming 2020'!C71</f>
        <v>4</v>
      </c>
      <c r="F29" s="2" t="s">
        <v>281</v>
      </c>
      <c r="H29" s="104">
        <f>C29*$H$22</f>
        <v>730.4637703336266</v>
      </c>
    </row>
    <row r="30" spans="2:10" x14ac:dyDescent="0.2">
      <c r="B30" s="56" t="s">
        <v>123</v>
      </c>
      <c r="C30" s="107">
        <f>'Gegevens raming 2020'!C72</f>
        <v>16</v>
      </c>
      <c r="F30" s="2" t="s">
        <v>281</v>
      </c>
      <c r="H30" s="104">
        <f>C30*$H$22</f>
        <v>2921.8550813345064</v>
      </c>
      <c r="J30" s="102"/>
    </row>
    <row r="33" spans="2:8" s="9" customFormat="1" x14ac:dyDescent="0.2">
      <c r="B33" s="9" t="s">
        <v>313</v>
      </c>
    </row>
    <row r="35" spans="2:8" x14ac:dyDescent="0.2">
      <c r="B35" s="1" t="s">
        <v>316</v>
      </c>
    </row>
    <row r="36" spans="2:8" x14ac:dyDescent="0.2">
      <c r="B36" s="108" t="s">
        <v>317</v>
      </c>
      <c r="F36" s="2" t="s">
        <v>137</v>
      </c>
      <c r="H36" s="89">
        <f>'Berekening kostenbasis 2020'!P75</f>
        <v>118884.73556015195</v>
      </c>
    </row>
    <row r="37" spans="2:8" x14ac:dyDescent="0.2">
      <c r="B37" s="27" t="s">
        <v>318</v>
      </c>
      <c r="F37" s="2" t="s">
        <v>137</v>
      </c>
      <c r="H37" s="89">
        <f>'Correcties (incl. berekening)'!P67</f>
        <v>473.93870158041864</v>
      </c>
    </row>
    <row r="38" spans="2:8" x14ac:dyDescent="0.2">
      <c r="B38" s="108" t="s">
        <v>320</v>
      </c>
      <c r="F38" s="2" t="s">
        <v>137</v>
      </c>
      <c r="H38" s="45">
        <f>H36+H37</f>
        <v>119358.67426173238</v>
      </c>
    </row>
    <row r="39" spans="2:8" x14ac:dyDescent="0.2">
      <c r="B39" s="108"/>
    </row>
    <row r="40" spans="2:8" x14ac:dyDescent="0.2">
      <c r="B40" s="108" t="s">
        <v>321</v>
      </c>
      <c r="F40" s="2" t="s">
        <v>95</v>
      </c>
      <c r="H40" s="89">
        <f>'Gegevens raming 2020'!P80</f>
        <v>11006</v>
      </c>
    </row>
    <row r="41" spans="2:8" x14ac:dyDescent="0.2">
      <c r="B41" s="108"/>
    </row>
    <row r="42" spans="2:8" x14ac:dyDescent="0.2">
      <c r="B42" s="108" t="s">
        <v>314</v>
      </c>
      <c r="F42" s="2" t="s">
        <v>172</v>
      </c>
      <c r="H42" s="113">
        <f>H38/H40</f>
        <v>10.844873183875375</v>
      </c>
    </row>
    <row r="43" spans="2:8" x14ac:dyDescent="0.2">
      <c r="B43" s="2" t="s">
        <v>319</v>
      </c>
      <c r="F43" s="2" t="s">
        <v>172</v>
      </c>
      <c r="H43" s="90">
        <f>'Variabel tarief drinkwater'!H28</f>
        <v>3.2240000000000002</v>
      </c>
    </row>
    <row r="44" spans="2:8" x14ac:dyDescent="0.2">
      <c r="B44" s="2" t="s">
        <v>315</v>
      </c>
      <c r="F44" s="2" t="s">
        <v>172</v>
      </c>
      <c r="H44" s="124">
        <f>H42+H43</f>
        <v>14.068873183875375</v>
      </c>
    </row>
    <row r="45" spans="2:8" x14ac:dyDescent="0.2">
      <c r="B45" s="2" t="s">
        <v>398</v>
      </c>
      <c r="F45" s="2" t="s">
        <v>172</v>
      </c>
      <c r="H45" s="123">
        <f>ROUND(H44,3)</f>
        <v>14.069000000000001</v>
      </c>
    </row>
    <row r="48" spans="2:8" s="9" customFormat="1" x14ac:dyDescent="0.2">
      <c r="B48" s="9" t="s">
        <v>375</v>
      </c>
    </row>
    <row r="50" spans="2:10" x14ac:dyDescent="0.2">
      <c r="B50" s="108" t="s">
        <v>293</v>
      </c>
      <c r="F50" s="2" t="s">
        <v>197</v>
      </c>
      <c r="H50" s="107">
        <f>'Gegevens raming 2020'!O43</f>
        <v>40</v>
      </c>
      <c r="J50" s="2" t="s">
        <v>295</v>
      </c>
    </row>
    <row r="51" spans="2:10" x14ac:dyDescent="0.2">
      <c r="B51" s="108" t="s">
        <v>296</v>
      </c>
      <c r="F51" s="2" t="s">
        <v>137</v>
      </c>
      <c r="H51" s="104">
        <f>H50</f>
        <v>40</v>
      </c>
      <c r="J51" s="2" t="s">
        <v>288</v>
      </c>
    </row>
    <row r="53" spans="2:10" x14ac:dyDescent="0.2">
      <c r="B53" s="1" t="s">
        <v>289</v>
      </c>
    </row>
    <row r="54" spans="2:10" x14ac:dyDescent="0.2">
      <c r="B54" s="2" t="s">
        <v>322</v>
      </c>
      <c r="F54" s="2" t="s">
        <v>197</v>
      </c>
      <c r="H54" s="107">
        <f>'Gegevens raming 2020'!O44</f>
        <v>1069.6060901914639</v>
      </c>
    </row>
    <row r="55" spans="2:10" x14ac:dyDescent="0.2">
      <c r="B55" s="2" t="s">
        <v>323</v>
      </c>
      <c r="F55" s="2" t="s">
        <v>137</v>
      </c>
      <c r="H55" s="104">
        <f>H54*(1+$H$12)</f>
        <v>1082.4413632737615</v>
      </c>
    </row>
    <row r="60" spans="2:10" x14ac:dyDescent="0.2">
      <c r="B60" s="2" t="s">
        <v>75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H49"/>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19.140625" style="2" customWidth="1"/>
    <col min="3" max="3" width="20.710937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8" s="8" customFormat="1" ht="18" x14ac:dyDescent="0.2">
      <c r="B2" s="8" t="s">
        <v>46</v>
      </c>
    </row>
    <row r="4" spans="2:8" s="9" customFormat="1" x14ac:dyDescent="0.2">
      <c r="B4" s="9" t="s">
        <v>11</v>
      </c>
    </row>
    <row r="6" spans="2:8" x14ac:dyDescent="0.2">
      <c r="B6" s="27" t="s">
        <v>441</v>
      </c>
    </row>
    <row r="7" spans="2:8" x14ac:dyDescent="0.2">
      <c r="B7" s="2" t="s">
        <v>460</v>
      </c>
      <c r="H7" s="36"/>
    </row>
    <row r="8" spans="2:8" x14ac:dyDescent="0.2">
      <c r="B8" s="2" t="s">
        <v>443</v>
      </c>
      <c r="H8" s="36"/>
    </row>
    <row r="9" spans="2:8" x14ac:dyDescent="0.2">
      <c r="B9" s="23"/>
    </row>
    <row r="10" spans="2:8" x14ac:dyDescent="0.2">
      <c r="B10" s="27" t="s">
        <v>442</v>
      </c>
    </row>
    <row r="13" spans="2:8" s="9" customFormat="1" x14ac:dyDescent="0.2">
      <c r="B13" s="9" t="s">
        <v>12</v>
      </c>
    </row>
    <row r="14" spans="2:8" x14ac:dyDescent="0.2">
      <c r="C14" s="10"/>
    </row>
    <row r="15" spans="2:8" x14ac:dyDescent="0.2">
      <c r="B15" s="31" t="s">
        <v>35</v>
      </c>
      <c r="C15" s="10"/>
      <c r="D15" s="31" t="s">
        <v>13</v>
      </c>
      <c r="F15" s="14"/>
    </row>
    <row r="16" spans="2:8" x14ac:dyDescent="0.2">
      <c r="C16" s="10"/>
    </row>
    <row r="17" spans="2:7" x14ac:dyDescent="0.2">
      <c r="B17" s="39">
        <v>123</v>
      </c>
      <c r="C17" s="10"/>
      <c r="D17" s="27" t="s">
        <v>62</v>
      </c>
    </row>
    <row r="18" spans="2:7" x14ac:dyDescent="0.2">
      <c r="B18" s="44">
        <f>B17</f>
        <v>123</v>
      </c>
      <c r="C18" s="10"/>
      <c r="D18" s="2" t="s">
        <v>14</v>
      </c>
    </row>
    <row r="19" spans="2:7" x14ac:dyDescent="0.2">
      <c r="B19" s="45">
        <f>B18+B17</f>
        <v>246</v>
      </c>
      <c r="C19" s="10"/>
      <c r="D19" s="2" t="s">
        <v>15</v>
      </c>
    </row>
    <row r="20" spans="2:7" x14ac:dyDescent="0.2">
      <c r="B20" s="34">
        <f>B18+B19</f>
        <v>369</v>
      </c>
      <c r="C20" s="10"/>
      <c r="D20" s="27" t="s">
        <v>63</v>
      </c>
      <c r="E20" s="14"/>
      <c r="F20" s="6"/>
    </row>
    <row r="21" spans="2:7" x14ac:dyDescent="0.2">
      <c r="B21" s="15"/>
      <c r="C21" s="10"/>
      <c r="D21" s="27" t="s">
        <v>16</v>
      </c>
      <c r="E21" s="14"/>
    </row>
    <row r="22" spans="2:7" x14ac:dyDescent="0.2">
      <c r="B22" s="10"/>
      <c r="C22" s="10"/>
    </row>
    <row r="23" spans="2:7" x14ac:dyDescent="0.2">
      <c r="B23" s="32" t="s">
        <v>17</v>
      </c>
      <c r="C23" s="10"/>
    </row>
    <row r="24" spans="2:7" x14ac:dyDescent="0.2">
      <c r="B24" s="37">
        <f>B20+16</f>
        <v>385</v>
      </c>
      <c r="C24" s="10"/>
      <c r="D24" s="2" t="s">
        <v>64</v>
      </c>
    </row>
    <row r="25" spans="2:7" x14ac:dyDescent="0.2">
      <c r="B25" s="38">
        <f>B18*PI()</f>
        <v>386.41589639154455</v>
      </c>
      <c r="C25" s="17"/>
      <c r="D25" s="2" t="s">
        <v>18</v>
      </c>
    </row>
    <row r="26" spans="2:7" x14ac:dyDescent="0.2">
      <c r="B26" s="17"/>
      <c r="C26" s="17"/>
    </row>
    <row r="27" spans="2:7" x14ac:dyDescent="0.2">
      <c r="B27" s="32" t="s">
        <v>19</v>
      </c>
      <c r="C27" s="18"/>
    </row>
    <row r="28" spans="2:7" x14ac:dyDescent="0.2">
      <c r="B28" s="43">
        <v>123</v>
      </c>
      <c r="C28" s="18"/>
      <c r="D28" s="27" t="s">
        <v>65</v>
      </c>
      <c r="G28" s="14"/>
    </row>
    <row r="29" spans="2:7" x14ac:dyDescent="0.2">
      <c r="B29" s="40">
        <v>124</v>
      </c>
      <c r="C29" s="18"/>
      <c r="D29" s="27" t="s">
        <v>67</v>
      </c>
    </row>
    <row r="30" spans="2:7" x14ac:dyDescent="0.2">
      <c r="B30" s="41">
        <f>B28-B29</f>
        <v>-1</v>
      </c>
      <c r="C30" s="19"/>
      <c r="D30" s="2" t="s">
        <v>51</v>
      </c>
    </row>
    <row r="33" spans="2:4" x14ac:dyDescent="0.2">
      <c r="B33" s="31" t="s">
        <v>30</v>
      </c>
    </row>
    <row r="34" spans="2:4" x14ac:dyDescent="0.2">
      <c r="B34" s="1"/>
    </row>
    <row r="35" spans="2:4" x14ac:dyDescent="0.2">
      <c r="B35" s="32" t="s">
        <v>36</v>
      </c>
    </row>
    <row r="36" spans="2:4" x14ac:dyDescent="0.2">
      <c r="B36" s="24" t="s">
        <v>29</v>
      </c>
      <c r="C36" s="10"/>
      <c r="D36" s="3" t="s">
        <v>39</v>
      </c>
    </row>
    <row r="37" spans="2:4" x14ac:dyDescent="0.2">
      <c r="B37" s="39" t="s">
        <v>27</v>
      </c>
      <c r="C37" s="10"/>
      <c r="D37" s="3" t="s">
        <v>31</v>
      </c>
    </row>
    <row r="38" spans="2:4" x14ac:dyDescent="0.2">
      <c r="B38" s="35" t="s">
        <v>28</v>
      </c>
      <c r="C38" s="10"/>
      <c r="D38" s="3" t="s">
        <v>32</v>
      </c>
    </row>
    <row r="39" spans="2:4" x14ac:dyDescent="0.2">
      <c r="B39" s="16" t="s">
        <v>28</v>
      </c>
      <c r="C39" s="10"/>
      <c r="D39" s="3" t="s">
        <v>34</v>
      </c>
    </row>
    <row r="40" spans="2:4" x14ac:dyDescent="0.2">
      <c r="C40" s="10"/>
      <c r="D40" s="3"/>
    </row>
    <row r="41" spans="2:4" x14ac:dyDescent="0.2">
      <c r="B41" s="32" t="s">
        <v>38</v>
      </c>
      <c r="C41" s="10"/>
      <c r="D41" s="3"/>
    </row>
    <row r="42" spans="2:4" x14ac:dyDescent="0.2">
      <c r="B42" s="25" t="s">
        <v>33</v>
      </c>
      <c r="C42" s="10"/>
      <c r="D42" s="3" t="s">
        <v>40</v>
      </c>
    </row>
    <row r="43" spans="2:4" x14ac:dyDescent="0.2">
      <c r="B43" s="26" t="s">
        <v>37</v>
      </c>
      <c r="D43" s="27" t="s">
        <v>66</v>
      </c>
    </row>
    <row r="49" spans="2:2" x14ac:dyDescent="0.2">
      <c r="B49" s="2" t="s">
        <v>75</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30"/>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7.5703125" style="2" customWidth="1"/>
    <col min="3" max="3" width="54.5703125" style="2" customWidth="1"/>
    <col min="4" max="4" width="52.85546875" style="2" customWidth="1"/>
    <col min="5" max="5" width="36.28515625" style="2" customWidth="1"/>
    <col min="6" max="6" width="106.7109375" style="2" customWidth="1"/>
    <col min="7" max="7" width="4.5703125" style="2" customWidth="1"/>
    <col min="8" max="16384" width="9.140625" style="2"/>
  </cols>
  <sheetData>
    <row r="2" spans="2:6" s="13" customFormat="1" ht="18" x14ac:dyDescent="0.2">
      <c r="B2" s="4" t="s">
        <v>20</v>
      </c>
    </row>
    <row r="4" spans="2:6" s="9" customFormat="1" x14ac:dyDescent="0.2">
      <c r="B4" s="9" t="s">
        <v>21</v>
      </c>
    </row>
    <row r="6" spans="2:6" x14ac:dyDescent="0.2">
      <c r="B6" s="32" t="s">
        <v>56</v>
      </c>
    </row>
    <row r="7" spans="2:6" x14ac:dyDescent="0.2">
      <c r="B7" s="32" t="s">
        <v>57</v>
      </c>
    </row>
    <row r="9" spans="2:6" x14ac:dyDescent="0.2">
      <c r="B9" s="20" t="s">
        <v>47</v>
      </c>
      <c r="C9" s="20" t="s">
        <v>48</v>
      </c>
      <c r="D9" s="20" t="s">
        <v>49</v>
      </c>
      <c r="E9" s="20" t="s">
        <v>55</v>
      </c>
      <c r="F9" s="20" t="s">
        <v>52</v>
      </c>
    </row>
    <row r="10" spans="2:6" x14ac:dyDescent="0.2">
      <c r="B10" s="21"/>
      <c r="C10" s="28" t="s">
        <v>54</v>
      </c>
      <c r="D10" s="28" t="s">
        <v>22</v>
      </c>
      <c r="E10" s="28" t="s">
        <v>58</v>
      </c>
      <c r="F10" s="28" t="s">
        <v>53</v>
      </c>
    </row>
    <row r="11" spans="2:6" x14ac:dyDescent="0.2">
      <c r="B11" s="29">
        <v>1</v>
      </c>
      <c r="C11" s="7" t="s">
        <v>384</v>
      </c>
      <c r="D11" s="7"/>
      <c r="E11" s="7" t="s">
        <v>400</v>
      </c>
      <c r="F11" s="7" t="s">
        <v>403</v>
      </c>
    </row>
    <row r="12" spans="2:6" x14ac:dyDescent="0.2">
      <c r="B12" s="7">
        <v>2</v>
      </c>
      <c r="C12" s="7" t="s">
        <v>383</v>
      </c>
      <c r="D12" s="7"/>
      <c r="E12" s="7" t="s">
        <v>400</v>
      </c>
      <c r="F12" s="7" t="s">
        <v>403</v>
      </c>
    </row>
    <row r="13" spans="2:6" x14ac:dyDescent="0.2">
      <c r="B13" s="29">
        <v>3</v>
      </c>
      <c r="C13" s="7" t="s">
        <v>387</v>
      </c>
      <c r="D13" s="7"/>
      <c r="E13" s="7" t="s">
        <v>400</v>
      </c>
      <c r="F13" s="7" t="s">
        <v>411</v>
      </c>
    </row>
    <row r="14" spans="2:6" x14ac:dyDescent="0.2">
      <c r="B14" s="7">
        <v>4</v>
      </c>
      <c r="C14" s="7" t="s">
        <v>386</v>
      </c>
      <c r="D14" s="7"/>
      <c r="E14" s="7" t="s">
        <v>400</v>
      </c>
      <c r="F14" s="7" t="s">
        <v>403</v>
      </c>
    </row>
    <row r="15" spans="2:6" x14ac:dyDescent="0.2">
      <c r="B15" s="29">
        <v>5</v>
      </c>
      <c r="C15" s="7" t="s">
        <v>168</v>
      </c>
      <c r="D15" s="7"/>
      <c r="E15" s="7"/>
      <c r="F15" s="7" t="s">
        <v>404</v>
      </c>
    </row>
    <row r="16" spans="2:6" x14ac:dyDescent="0.2">
      <c r="B16" s="7">
        <v>6</v>
      </c>
      <c r="C16" s="7" t="s">
        <v>74</v>
      </c>
      <c r="D16" s="7"/>
      <c r="E16" s="129"/>
      <c r="F16" s="129" t="s">
        <v>405</v>
      </c>
    </row>
    <row r="17" spans="2:6" x14ac:dyDescent="0.2">
      <c r="B17" s="29">
        <v>7</v>
      </c>
      <c r="C17" s="134" t="s">
        <v>164</v>
      </c>
      <c r="D17" s="7"/>
      <c r="E17" s="135" t="s">
        <v>413</v>
      </c>
      <c r="F17" s="7" t="s">
        <v>406</v>
      </c>
    </row>
    <row r="18" spans="2:6" x14ac:dyDescent="0.2">
      <c r="B18" s="7">
        <v>8</v>
      </c>
      <c r="C18" s="7" t="s">
        <v>435</v>
      </c>
      <c r="D18" s="7"/>
      <c r="E18" s="7"/>
      <c r="F18" s="7" t="s">
        <v>408</v>
      </c>
    </row>
    <row r="19" spans="2:6" x14ac:dyDescent="0.2">
      <c r="B19" s="29">
        <v>9</v>
      </c>
      <c r="C19" s="7" t="s">
        <v>409</v>
      </c>
      <c r="D19" s="7" t="s">
        <v>410</v>
      </c>
      <c r="E19" s="7" t="s">
        <v>412</v>
      </c>
      <c r="F19" s="7" t="s">
        <v>411</v>
      </c>
    </row>
    <row r="20" spans="2:6" x14ac:dyDescent="0.2">
      <c r="B20" s="7">
        <v>10</v>
      </c>
      <c r="C20" s="29" t="s">
        <v>407</v>
      </c>
      <c r="D20" s="7"/>
      <c r="E20" s="7"/>
      <c r="F20" s="7" t="s">
        <v>444</v>
      </c>
    </row>
    <row r="21" spans="2:6" x14ac:dyDescent="0.2">
      <c r="B21" s="29">
        <v>11</v>
      </c>
      <c r="C21" s="135" t="s">
        <v>430</v>
      </c>
      <c r="D21" s="7"/>
      <c r="E21" s="7"/>
      <c r="F21" s="7" t="s">
        <v>445</v>
      </c>
    </row>
    <row r="22" spans="2:6" ht="25.5" x14ac:dyDescent="0.2">
      <c r="B22" s="7">
        <v>12</v>
      </c>
      <c r="C22" s="29" t="s">
        <v>433</v>
      </c>
      <c r="D22" s="7"/>
      <c r="E22" s="7" t="s">
        <v>432</v>
      </c>
      <c r="F22" s="132" t="s">
        <v>431</v>
      </c>
    </row>
    <row r="23" spans="2:6" x14ac:dyDescent="0.2">
      <c r="B23" s="29">
        <v>13</v>
      </c>
      <c r="C23" s="7" t="s">
        <v>434</v>
      </c>
      <c r="D23" s="7" t="s">
        <v>401</v>
      </c>
      <c r="E23" s="7" t="s">
        <v>432</v>
      </c>
      <c r="F23" s="128" t="s">
        <v>402</v>
      </c>
    </row>
    <row r="24" spans="2:6" x14ac:dyDescent="0.2">
      <c r="B24" s="7">
        <v>14</v>
      </c>
      <c r="C24" s="7" t="s">
        <v>246</v>
      </c>
      <c r="D24" s="7"/>
      <c r="E24" s="7" t="s">
        <v>437</v>
      </c>
      <c r="F24" s="128" t="s">
        <v>436</v>
      </c>
    </row>
    <row r="25" spans="2:6" x14ac:dyDescent="0.2">
      <c r="B25" s="126"/>
      <c r="C25" s="27"/>
      <c r="D25" s="126"/>
      <c r="E25" s="126"/>
      <c r="F25" s="133"/>
    </row>
    <row r="26" spans="2:6" x14ac:dyDescent="0.2">
      <c r="B26" s="126"/>
      <c r="C26" s="27"/>
      <c r="D26" s="126"/>
      <c r="E26" s="126"/>
      <c r="F26" s="133"/>
    </row>
    <row r="30" spans="2:6" x14ac:dyDescent="0.2">
      <c r="B30" s="2" t="s">
        <v>75</v>
      </c>
    </row>
  </sheetData>
  <hyperlinks>
    <hyperlink ref="F16" r:id="rId1" location="/CBS/nl/dataset/84046NED/table?ts=1571909504894"/>
    <hyperlink ref="F22" r:id="rId2" display="https://www.acm.nl/nl/publicaties/beschikking-distributietarieven-elektriciteit-2019-bonaire-web-caribisch-nederland_x000a_"/>
    <hyperlink ref="F23" r:id="rId3"/>
    <hyperlink ref="F24" r:id="rId4"/>
  </hyperlinks>
  <pageMargins left="0.75" right="0.75" top="1" bottom="1" header="0.5" footer="0.5"/>
  <pageSetup paperSize="9"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N68"/>
  <sheetViews>
    <sheetView showGridLines="0" zoomScale="85" zoomScaleNormal="85" workbookViewId="0">
      <pane xSplit="6" ySplit="12" topLeftCell="G13" activePane="bottomRight" state="frozen"/>
      <selection activeCell="O39" sqref="O39"/>
      <selection pane="topRight" activeCell="O39" sqref="O39"/>
      <selection pane="bottomLeft" activeCell="O39" sqref="O39"/>
      <selection pane="bottomRight" activeCell="G13" sqref="G13"/>
    </sheetView>
  </sheetViews>
  <sheetFormatPr defaultRowHeight="12.75" x14ac:dyDescent="0.2"/>
  <cols>
    <col min="1" max="1" width="4.7109375" style="2" customWidth="1"/>
    <col min="2" max="2" width="51.5703125" style="2" customWidth="1"/>
    <col min="3" max="3" width="19" style="2" customWidth="1"/>
    <col min="4" max="5" width="4.7109375" style="2" customWidth="1"/>
    <col min="6" max="6" width="26.7109375" style="2" customWidth="1"/>
    <col min="7" max="7" width="2.7109375" style="2" customWidth="1"/>
    <col min="8" max="8" width="13.7109375" style="2" customWidth="1"/>
    <col min="9" max="9" width="2.7109375" style="2" customWidth="1"/>
    <col min="10" max="10" width="27" style="2" customWidth="1"/>
    <col min="11" max="11" width="2.7109375" style="2" customWidth="1"/>
    <col min="12" max="12" width="16.140625" style="2" customWidth="1"/>
    <col min="13" max="25" width="13.7109375" style="2" customWidth="1"/>
    <col min="26" max="16384" width="9.140625" style="2"/>
  </cols>
  <sheetData>
    <row r="2" spans="2:12" s="22" customFormat="1" ht="18" x14ac:dyDescent="0.2">
      <c r="B2" s="22" t="s">
        <v>29</v>
      </c>
    </row>
    <row r="4" spans="2:12" x14ac:dyDescent="0.2">
      <c r="B4" s="31" t="s">
        <v>50</v>
      </c>
      <c r="C4" s="1"/>
      <c r="D4" s="1"/>
    </row>
    <row r="5" spans="2:12" x14ac:dyDescent="0.2">
      <c r="B5" s="27" t="s">
        <v>381</v>
      </c>
      <c r="C5" s="3"/>
      <c r="D5" s="3"/>
      <c r="H5" s="23"/>
    </row>
    <row r="6" spans="2:12" x14ac:dyDescent="0.2">
      <c r="B6" s="27"/>
      <c r="C6" s="3"/>
      <c r="D6" s="3"/>
      <c r="H6" s="23"/>
    </row>
    <row r="7" spans="2:12" x14ac:dyDescent="0.2">
      <c r="B7" s="27" t="s">
        <v>428</v>
      </c>
      <c r="C7" s="3"/>
      <c r="D7" s="3"/>
      <c r="H7" s="23"/>
    </row>
    <row r="8" spans="2:12" x14ac:dyDescent="0.2">
      <c r="B8" s="27" t="s">
        <v>429</v>
      </c>
      <c r="C8" s="3"/>
      <c r="D8" s="3"/>
      <c r="H8" s="23"/>
    </row>
    <row r="9" spans="2:12" x14ac:dyDescent="0.2">
      <c r="B9" s="27"/>
      <c r="C9" s="3"/>
      <c r="D9" s="3"/>
      <c r="H9" s="23"/>
    </row>
    <row r="11" spans="2:12" s="9" customFormat="1" x14ac:dyDescent="0.2">
      <c r="B11" s="9" t="s">
        <v>41</v>
      </c>
      <c r="F11" s="9" t="s">
        <v>23</v>
      </c>
      <c r="H11" s="9" t="s">
        <v>24</v>
      </c>
      <c r="J11" s="9" t="s">
        <v>335</v>
      </c>
      <c r="L11" s="9" t="s">
        <v>43</v>
      </c>
    </row>
    <row r="14" spans="2:12" s="9" customFormat="1" x14ac:dyDescent="0.2">
      <c r="B14" s="9" t="s">
        <v>336</v>
      </c>
    </row>
    <row r="16" spans="2:12" x14ac:dyDescent="0.2">
      <c r="B16" s="1" t="s">
        <v>324</v>
      </c>
    </row>
    <row r="17" spans="2:14" x14ac:dyDescent="0.2">
      <c r="B17" s="2" t="s">
        <v>223</v>
      </c>
      <c r="F17" s="2" t="s">
        <v>126</v>
      </c>
      <c r="H17" s="93">
        <f>'Variabel tarief elektriciteit'!H17</f>
        <v>0.69441300790524851</v>
      </c>
      <c r="J17" s="2" t="s">
        <v>339</v>
      </c>
      <c r="L17" s="2" t="s">
        <v>340</v>
      </c>
      <c r="N17" s="121"/>
    </row>
    <row r="18" spans="2:14" x14ac:dyDescent="0.2">
      <c r="B18" s="2" t="s">
        <v>266</v>
      </c>
      <c r="F18" s="2" t="s">
        <v>126</v>
      </c>
      <c r="H18" s="100">
        <f>'Variabel tarief elektriciteit'!H24</f>
        <v>0.19751481089072498</v>
      </c>
      <c r="J18" s="2" t="s">
        <v>325</v>
      </c>
      <c r="L18" s="2" t="s">
        <v>438</v>
      </c>
      <c r="N18" s="121"/>
    </row>
    <row r="19" spans="2:14" x14ac:dyDescent="0.2">
      <c r="H19" s="103"/>
      <c r="N19" s="121"/>
    </row>
    <row r="20" spans="2:14" x14ac:dyDescent="0.2">
      <c r="B20" s="1" t="s">
        <v>326</v>
      </c>
      <c r="H20" s="103"/>
      <c r="N20" s="121"/>
    </row>
    <row r="21" spans="2:14" x14ac:dyDescent="0.2">
      <c r="B21" s="27" t="s">
        <v>284</v>
      </c>
      <c r="F21" s="2" t="s">
        <v>126</v>
      </c>
      <c r="H21" s="93">
        <f>'Variabel tarief elektriciteit'!H40</f>
        <v>0.22246938846443717</v>
      </c>
      <c r="J21" s="2" t="s">
        <v>341</v>
      </c>
      <c r="N21" s="121"/>
    </row>
    <row r="22" spans="2:14" x14ac:dyDescent="0.2">
      <c r="B22" s="2" t="s">
        <v>282</v>
      </c>
      <c r="F22" s="2" t="s">
        <v>126</v>
      </c>
      <c r="H22" s="93">
        <f>'Vaste tarieven elektriciteit'!H44</f>
        <v>0.43278800000000001</v>
      </c>
      <c r="J22" s="2" t="s">
        <v>341</v>
      </c>
      <c r="N22" s="121"/>
    </row>
    <row r="23" spans="2:14" x14ac:dyDescent="0.2">
      <c r="N23" s="118"/>
    </row>
    <row r="24" spans="2:14" x14ac:dyDescent="0.2">
      <c r="B24" s="1" t="s">
        <v>327</v>
      </c>
      <c r="N24" s="118"/>
    </row>
    <row r="25" spans="2:14" x14ac:dyDescent="0.2">
      <c r="B25" s="1" t="s">
        <v>132</v>
      </c>
      <c r="C25" s="1" t="s">
        <v>328</v>
      </c>
      <c r="N25" s="118"/>
    </row>
    <row r="26" spans="2:14" x14ac:dyDescent="0.2">
      <c r="B26" s="2" t="s">
        <v>107</v>
      </c>
      <c r="C26" s="114">
        <v>3.1</v>
      </c>
      <c r="F26" s="2" t="s">
        <v>337</v>
      </c>
      <c r="H26" s="115">
        <f>'Vaste tarieven elektriciteit'!H26</f>
        <v>30.865702946131254</v>
      </c>
      <c r="J26" s="2" t="s">
        <v>339</v>
      </c>
      <c r="N26" s="118"/>
    </row>
    <row r="27" spans="2:14" x14ac:dyDescent="0.2">
      <c r="B27" s="2" t="s">
        <v>109</v>
      </c>
      <c r="C27" s="114">
        <v>4.4000000000000004</v>
      </c>
      <c r="F27" s="2" t="s">
        <v>337</v>
      </c>
      <c r="H27" s="115">
        <f>'Vaste tarieven elektriciteit'!H27</f>
        <v>43.809384826766944</v>
      </c>
      <c r="J27" s="2" t="s">
        <v>339</v>
      </c>
      <c r="N27" s="118"/>
    </row>
    <row r="28" spans="2:14" x14ac:dyDescent="0.2">
      <c r="B28" s="2" t="s">
        <v>110</v>
      </c>
      <c r="C28" s="114">
        <v>4.4000000000000004</v>
      </c>
      <c r="F28" s="2" t="s">
        <v>337</v>
      </c>
      <c r="H28" s="115">
        <f>'Vaste tarieven elektriciteit'!H28</f>
        <v>43.809384826766944</v>
      </c>
      <c r="J28" s="2" t="s">
        <v>339</v>
      </c>
      <c r="N28" s="118"/>
    </row>
    <row r="29" spans="2:14" x14ac:dyDescent="0.2">
      <c r="B29" s="2" t="s">
        <v>111</v>
      </c>
      <c r="C29" s="114">
        <v>11.4</v>
      </c>
      <c r="F29" s="2" t="s">
        <v>337</v>
      </c>
      <c r="H29" s="115">
        <f>'Vaste tarieven elektriciteit'!H29</f>
        <v>113.50613341480526</v>
      </c>
      <c r="J29" s="2" t="s">
        <v>339</v>
      </c>
      <c r="N29" s="118"/>
    </row>
    <row r="30" spans="2:14" x14ac:dyDescent="0.2">
      <c r="B30" s="2" t="s">
        <v>112</v>
      </c>
      <c r="C30" s="114">
        <v>19.2</v>
      </c>
      <c r="F30" s="2" t="s">
        <v>337</v>
      </c>
      <c r="H30" s="115">
        <f>'Vaste tarieven elektriciteit'!H30</f>
        <v>191.16822469861935</v>
      </c>
      <c r="J30" s="2" t="s">
        <v>339</v>
      </c>
      <c r="N30" s="118"/>
    </row>
    <row r="31" spans="2:14" x14ac:dyDescent="0.2">
      <c r="B31" s="2" t="s">
        <v>113</v>
      </c>
      <c r="C31" s="114">
        <v>30.4</v>
      </c>
      <c r="F31" s="2" t="s">
        <v>337</v>
      </c>
      <c r="H31" s="115">
        <f>'Vaste tarieven elektriciteit'!H31</f>
        <v>302.68302243948068</v>
      </c>
      <c r="J31" s="2" t="s">
        <v>339</v>
      </c>
      <c r="N31" s="118"/>
    </row>
    <row r="32" spans="2:14" x14ac:dyDescent="0.2">
      <c r="B32" s="2" t="s">
        <v>114</v>
      </c>
      <c r="C32" s="114">
        <v>38.1</v>
      </c>
      <c r="F32" s="2" t="s">
        <v>337</v>
      </c>
      <c r="H32" s="115">
        <f>'Vaste tarieven elektriciteit'!H32</f>
        <v>379.34944588632283</v>
      </c>
      <c r="J32" s="2" t="s">
        <v>339</v>
      </c>
      <c r="N32" s="118"/>
    </row>
    <row r="33" spans="2:14" x14ac:dyDescent="0.2">
      <c r="B33" s="2" t="s">
        <v>115</v>
      </c>
      <c r="C33" s="114">
        <v>47.6</v>
      </c>
      <c r="F33" s="2" t="s">
        <v>337</v>
      </c>
      <c r="H33" s="115">
        <f>'Vaste tarieven elektriciteit'!H33</f>
        <v>473.93789039866056</v>
      </c>
      <c r="J33" s="2" t="s">
        <v>339</v>
      </c>
      <c r="N33" s="118"/>
    </row>
    <row r="34" spans="2:14" x14ac:dyDescent="0.2">
      <c r="B34" s="2" t="s">
        <v>116</v>
      </c>
      <c r="C34" s="114">
        <v>60.9</v>
      </c>
      <c r="F34" s="2" t="s">
        <v>337</v>
      </c>
      <c r="H34" s="115">
        <f>'Vaste tarieven elektriciteit'!H34</f>
        <v>606.36171271593332</v>
      </c>
      <c r="J34" s="2" t="s">
        <v>339</v>
      </c>
      <c r="N34" s="118"/>
    </row>
    <row r="35" spans="2:14" x14ac:dyDescent="0.2">
      <c r="B35" s="2" t="s">
        <v>117</v>
      </c>
      <c r="C35" s="114">
        <v>76.099999999999994</v>
      </c>
      <c r="F35" s="2" t="s">
        <v>337</v>
      </c>
      <c r="H35" s="115">
        <f>'Vaste tarieven elektriciteit'!H35</f>
        <v>757.70322393567358</v>
      </c>
      <c r="J35" s="2" t="s">
        <v>339</v>
      </c>
      <c r="N35" s="118"/>
    </row>
    <row r="36" spans="2:14" x14ac:dyDescent="0.2">
      <c r="B36" s="2" t="s">
        <v>329</v>
      </c>
      <c r="C36" s="114"/>
      <c r="F36" s="2" t="s">
        <v>338</v>
      </c>
      <c r="H36" s="115">
        <f>'Vaste tarieven elektriciteit'!H36</f>
        <v>9.9566783697197589</v>
      </c>
      <c r="J36" s="2" t="s">
        <v>339</v>
      </c>
      <c r="L36" s="2" t="s">
        <v>330</v>
      </c>
      <c r="N36" s="118"/>
    </row>
    <row r="37" spans="2:14" x14ac:dyDescent="0.2">
      <c r="N37" s="118"/>
    </row>
    <row r="38" spans="2:14" x14ac:dyDescent="0.2">
      <c r="B38" s="1" t="s">
        <v>292</v>
      </c>
      <c r="N38" s="118"/>
    </row>
    <row r="39" spans="2:14" x14ac:dyDescent="0.2">
      <c r="B39" s="2" t="s">
        <v>287</v>
      </c>
      <c r="F39" s="2" t="s">
        <v>137</v>
      </c>
      <c r="H39" s="115">
        <f>'Vaste tarieven elektriciteit'!H50</f>
        <v>40</v>
      </c>
      <c r="J39" s="2" t="s">
        <v>339</v>
      </c>
      <c r="N39" s="118"/>
    </row>
    <row r="40" spans="2:14" x14ac:dyDescent="0.2">
      <c r="B40" s="2" t="s">
        <v>331</v>
      </c>
      <c r="F40" s="2" t="s">
        <v>137</v>
      </c>
      <c r="H40" s="115">
        <f>'Vaste tarieven elektriciteit'!H54</f>
        <v>1589.8652901162006</v>
      </c>
      <c r="J40" s="2" t="s">
        <v>339</v>
      </c>
      <c r="N40" s="118"/>
    </row>
    <row r="41" spans="2:14" x14ac:dyDescent="0.2">
      <c r="B41" s="5" t="s">
        <v>332</v>
      </c>
      <c r="N41" s="118"/>
    </row>
    <row r="42" spans="2:14" x14ac:dyDescent="0.2">
      <c r="N42" s="118"/>
    </row>
    <row r="43" spans="2:14" x14ac:dyDescent="0.2">
      <c r="N43" s="118"/>
    </row>
    <row r="44" spans="2:14" s="9" customFormat="1" x14ac:dyDescent="0.2">
      <c r="B44" s="9" t="s">
        <v>342</v>
      </c>
      <c r="N44" s="119"/>
    </row>
    <row r="45" spans="2:14" x14ac:dyDescent="0.2">
      <c r="N45" s="118"/>
    </row>
    <row r="46" spans="2:14" x14ac:dyDescent="0.2">
      <c r="B46" s="1" t="s">
        <v>324</v>
      </c>
      <c r="N46" s="118"/>
    </row>
    <row r="47" spans="2:14" x14ac:dyDescent="0.2">
      <c r="B47" s="27" t="s">
        <v>333</v>
      </c>
      <c r="F47" s="2" t="s">
        <v>172</v>
      </c>
      <c r="H47" s="93">
        <f>'Variabel tarief drinkwater'!H28</f>
        <v>3.2240000000000002</v>
      </c>
      <c r="J47" s="2" t="s">
        <v>339</v>
      </c>
      <c r="N47" s="120"/>
    </row>
    <row r="48" spans="2:14" x14ac:dyDescent="0.2">
      <c r="H48" s="103"/>
      <c r="N48" s="120"/>
    </row>
    <row r="49" spans="2:14" x14ac:dyDescent="0.2">
      <c r="B49" s="1" t="s">
        <v>326</v>
      </c>
      <c r="H49" s="103"/>
      <c r="N49" s="120"/>
    </row>
    <row r="50" spans="2:14" x14ac:dyDescent="0.2">
      <c r="B50" s="27" t="s">
        <v>284</v>
      </c>
      <c r="F50" s="2" t="s">
        <v>172</v>
      </c>
      <c r="H50" s="95">
        <f>'Variabel tarief drinkwater'!H37</f>
        <v>3.7679999999999998</v>
      </c>
      <c r="J50" s="2" t="s">
        <v>339</v>
      </c>
      <c r="N50" s="120"/>
    </row>
    <row r="51" spans="2:14" x14ac:dyDescent="0.2">
      <c r="B51" s="2" t="s">
        <v>315</v>
      </c>
      <c r="F51" s="2" t="s">
        <v>172</v>
      </c>
      <c r="H51" s="95">
        <f>'Vaste tarieven drinkwater'!H45</f>
        <v>14.069000000000001</v>
      </c>
      <c r="J51" s="2" t="s">
        <v>339</v>
      </c>
      <c r="N51" s="120"/>
    </row>
    <row r="52" spans="2:14" x14ac:dyDescent="0.2">
      <c r="N52" s="118"/>
    </row>
    <row r="53" spans="2:14" x14ac:dyDescent="0.2">
      <c r="B53" s="1" t="s">
        <v>334</v>
      </c>
      <c r="N53" s="118"/>
    </row>
    <row r="54" spans="2:14" x14ac:dyDescent="0.2">
      <c r="B54" s="1" t="s">
        <v>132</v>
      </c>
      <c r="N54" s="118"/>
    </row>
    <row r="55" spans="2:14" x14ac:dyDescent="0.2">
      <c r="B55" s="2" t="s">
        <v>119</v>
      </c>
      <c r="F55" s="2" t="s">
        <v>337</v>
      </c>
      <c r="H55" s="115">
        <f>'Vaste tarieven drinkwater'!H26</f>
        <v>45.653985645851662</v>
      </c>
      <c r="J55" s="2" t="s">
        <v>339</v>
      </c>
      <c r="N55" s="118"/>
    </row>
    <row r="56" spans="2:14" x14ac:dyDescent="0.2">
      <c r="B56" s="2" t="s">
        <v>120</v>
      </c>
      <c r="F56" s="2" t="s">
        <v>337</v>
      </c>
      <c r="H56" s="115">
        <f>'Vaste tarieven drinkwater'!H27</f>
        <v>102.72146770316624</v>
      </c>
      <c r="J56" s="2" t="s">
        <v>339</v>
      </c>
      <c r="N56" s="118"/>
    </row>
    <row r="57" spans="2:14" x14ac:dyDescent="0.2">
      <c r="B57" s="2" t="s">
        <v>121</v>
      </c>
      <c r="F57" s="2" t="s">
        <v>337</v>
      </c>
      <c r="H57" s="115">
        <f>'Vaste tarieven drinkwater'!H28</f>
        <v>182.61594258340665</v>
      </c>
      <c r="J57" s="2" t="s">
        <v>339</v>
      </c>
      <c r="N57" s="118"/>
    </row>
    <row r="58" spans="2:14" x14ac:dyDescent="0.2">
      <c r="B58" s="2" t="s">
        <v>122</v>
      </c>
      <c r="F58" s="2" t="s">
        <v>337</v>
      </c>
      <c r="H58" s="115">
        <f>'Vaste tarieven drinkwater'!H29</f>
        <v>730.4637703336266</v>
      </c>
      <c r="J58" s="2" t="s">
        <v>339</v>
      </c>
      <c r="N58" s="118"/>
    </row>
    <row r="59" spans="2:14" x14ac:dyDescent="0.2">
      <c r="B59" s="2" t="s">
        <v>123</v>
      </c>
      <c r="F59" s="2" t="s">
        <v>337</v>
      </c>
      <c r="H59" s="115">
        <f>'Vaste tarieven drinkwater'!H30</f>
        <v>2921.8550813345064</v>
      </c>
      <c r="J59" s="2" t="s">
        <v>339</v>
      </c>
      <c r="N59" s="118"/>
    </row>
    <row r="60" spans="2:14" x14ac:dyDescent="0.2">
      <c r="N60" s="118"/>
    </row>
    <row r="61" spans="2:14" x14ac:dyDescent="0.2">
      <c r="B61" s="1" t="s">
        <v>292</v>
      </c>
      <c r="N61" s="118"/>
    </row>
    <row r="62" spans="2:14" x14ac:dyDescent="0.2">
      <c r="B62" s="2" t="s">
        <v>287</v>
      </c>
      <c r="F62" s="2" t="s">
        <v>137</v>
      </c>
      <c r="H62" s="115">
        <f>'Vaste tarieven drinkwater'!H51</f>
        <v>40</v>
      </c>
      <c r="J62" s="2" t="s">
        <v>339</v>
      </c>
      <c r="N62" s="118"/>
    </row>
    <row r="63" spans="2:14" x14ac:dyDescent="0.2">
      <c r="B63" s="2" t="s">
        <v>331</v>
      </c>
      <c r="F63" s="2" t="s">
        <v>137</v>
      </c>
      <c r="H63" s="115">
        <f>'Vaste tarieven drinkwater'!H55</f>
        <v>1082.4413632737615</v>
      </c>
      <c r="J63" s="2" t="s">
        <v>339</v>
      </c>
      <c r="N63" s="118"/>
    </row>
    <row r="64" spans="2:14" x14ac:dyDescent="0.2">
      <c r="B64" s="5" t="s">
        <v>332</v>
      </c>
    </row>
    <row r="68" spans="2:2" x14ac:dyDescent="0.2">
      <c r="B68" s="2" t="s">
        <v>75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FFE1"/>
  </sheetPr>
  <dimension ref="B2:L26"/>
  <sheetViews>
    <sheetView showGridLines="0" zoomScale="85" zoomScaleNormal="85" workbookViewId="0">
      <pane xSplit="6" ySplit="13" topLeftCell="G14" activePane="bottomRight" state="frozen"/>
      <selection pane="topRight" activeCell="G1" sqref="G1"/>
      <selection pane="bottomLeft" activeCell="A11" sqref="A11"/>
      <selection pane="bottomRight" activeCell="G14" sqref="G14"/>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40.7109375" style="2" customWidth="1"/>
    <col min="11" max="11" width="2.7109375" style="2" customWidth="1"/>
    <col min="12" max="21" width="12.5703125" style="2" customWidth="1"/>
    <col min="22" max="22" width="2.7109375" style="2" customWidth="1"/>
    <col min="23" max="23" width="17.140625" style="2" customWidth="1"/>
    <col min="24" max="24" width="2.7109375" style="2" customWidth="1"/>
    <col min="25" max="25" width="13.7109375" style="2" customWidth="1"/>
    <col min="26" max="26" width="2.7109375" style="2" customWidth="1"/>
    <col min="27" max="41" width="13.7109375" style="2" customWidth="1"/>
    <col min="42" max="16384" width="9.140625" style="2"/>
  </cols>
  <sheetData>
    <row r="2" spans="2:12" s="22" customFormat="1" ht="18" x14ac:dyDescent="0.2">
      <c r="B2" s="22" t="s">
        <v>69</v>
      </c>
    </row>
    <row r="4" spans="2:12" x14ac:dyDescent="0.2">
      <c r="B4" s="31" t="s">
        <v>25</v>
      </c>
      <c r="C4" s="1"/>
      <c r="D4" s="1"/>
    </row>
    <row r="5" spans="2:12" x14ac:dyDescent="0.2">
      <c r="B5" s="27" t="s">
        <v>70</v>
      </c>
      <c r="C5" s="27"/>
      <c r="D5" s="27"/>
      <c r="H5" s="23"/>
    </row>
    <row r="6" spans="2:12" x14ac:dyDescent="0.2">
      <c r="B6" s="27"/>
      <c r="C6" s="27"/>
      <c r="D6" s="27"/>
      <c r="H6" s="23"/>
    </row>
    <row r="7" spans="2:12" x14ac:dyDescent="0.2">
      <c r="B7" s="32" t="s">
        <v>26</v>
      </c>
      <c r="C7" s="27"/>
      <c r="D7" s="27"/>
      <c r="H7" s="23"/>
    </row>
    <row r="8" spans="2:12" x14ac:dyDescent="0.2">
      <c r="B8" s="5" t="s">
        <v>346</v>
      </c>
      <c r="C8" s="27"/>
      <c r="D8" s="27"/>
    </row>
    <row r="9" spans="2:12" x14ac:dyDescent="0.2">
      <c r="B9" s="5" t="s">
        <v>347</v>
      </c>
      <c r="C9" s="27"/>
      <c r="D9" s="27"/>
    </row>
    <row r="10" spans="2:12" x14ac:dyDescent="0.2">
      <c r="B10" s="5"/>
    </row>
    <row r="12" spans="2:12" s="9" customFormat="1" x14ac:dyDescent="0.2">
      <c r="B12" s="9" t="s">
        <v>41</v>
      </c>
      <c r="F12" s="9" t="s">
        <v>23</v>
      </c>
      <c r="H12" s="9" t="s">
        <v>24</v>
      </c>
      <c r="J12" s="9" t="s">
        <v>42</v>
      </c>
      <c r="L12" s="9" t="s">
        <v>43</v>
      </c>
    </row>
    <row r="15" spans="2:12" s="9" customFormat="1" x14ac:dyDescent="0.2">
      <c r="B15" s="9" t="s">
        <v>71</v>
      </c>
    </row>
    <row r="17" spans="2:12" x14ac:dyDescent="0.2">
      <c r="B17" s="2" t="s">
        <v>73</v>
      </c>
      <c r="F17" s="2" t="s">
        <v>72</v>
      </c>
      <c r="H17" s="46">
        <v>3.5000000000000003E-2</v>
      </c>
      <c r="J17" s="47" t="s">
        <v>74</v>
      </c>
    </row>
    <row r="18" spans="2:12" x14ac:dyDescent="0.2">
      <c r="B18" s="2" t="s">
        <v>76</v>
      </c>
      <c r="F18" s="2" t="s">
        <v>72</v>
      </c>
      <c r="H18" s="46">
        <v>1.2E-2</v>
      </c>
      <c r="J18" s="47" t="s">
        <v>74</v>
      </c>
      <c r="L18" s="2" t="s">
        <v>385</v>
      </c>
    </row>
    <row r="21" spans="2:12" s="9" customFormat="1" x14ac:dyDescent="0.2">
      <c r="B21" s="9" t="s">
        <v>165</v>
      </c>
    </row>
    <row r="23" spans="2:12" x14ac:dyDescent="0.2">
      <c r="B23" s="2" t="s">
        <v>77</v>
      </c>
      <c r="F23" s="2" t="s">
        <v>72</v>
      </c>
      <c r="H23" s="46">
        <v>6.08E-2</v>
      </c>
      <c r="J23" s="47" t="s">
        <v>164</v>
      </c>
    </row>
    <row r="26" spans="2:12" x14ac:dyDescent="0.2">
      <c r="B26" s="2" t="s">
        <v>75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1FFE1"/>
  </sheetPr>
  <dimension ref="B2:T34"/>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55.710937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5.42578125" style="2" customWidth="1"/>
    <col min="17" max="17" width="2.7109375" style="2" customWidth="1"/>
    <col min="18" max="18" width="34.42578125" style="2" customWidth="1"/>
    <col min="19" max="19" width="2.7109375" style="2" customWidth="1"/>
    <col min="20" max="20" width="13.7109375" style="2" customWidth="1"/>
    <col min="21" max="21" width="2.7109375" style="2" customWidth="1"/>
    <col min="22" max="36" width="13.7109375" style="2" customWidth="1"/>
    <col min="37" max="16384" width="9.140625" style="2"/>
  </cols>
  <sheetData>
    <row r="2" spans="2:20" s="22" customFormat="1" ht="18" x14ac:dyDescent="0.2">
      <c r="B2" s="22" t="s">
        <v>78</v>
      </c>
    </row>
    <row r="4" spans="2:20" x14ac:dyDescent="0.2">
      <c r="B4" s="31" t="s">
        <v>25</v>
      </c>
      <c r="C4" s="1"/>
      <c r="D4" s="1"/>
      <c r="L4"/>
    </row>
    <row r="5" spans="2:20" x14ac:dyDescent="0.2">
      <c r="B5" s="27" t="s">
        <v>348</v>
      </c>
      <c r="C5" s="3"/>
      <c r="D5" s="3"/>
      <c r="H5" s="23"/>
    </row>
    <row r="6" spans="2:20" x14ac:dyDescent="0.2">
      <c r="B6" s="2" t="s">
        <v>264</v>
      </c>
      <c r="C6" s="3"/>
      <c r="D6" s="3"/>
      <c r="H6" s="23"/>
    </row>
    <row r="7" spans="2:20" x14ac:dyDescent="0.2">
      <c r="B7" s="27" t="s">
        <v>231</v>
      </c>
      <c r="C7" s="3"/>
      <c r="D7" s="3"/>
      <c r="H7" s="23"/>
    </row>
    <row r="8" spans="2:20" x14ac:dyDescent="0.2">
      <c r="B8" s="27" t="s">
        <v>349</v>
      </c>
      <c r="C8" s="3"/>
      <c r="D8" s="3"/>
    </row>
    <row r="11" spans="2:20" s="9" customFormat="1" ht="25.5" x14ac:dyDescent="0.2">
      <c r="B11" s="9" t="s">
        <v>41</v>
      </c>
      <c r="F11" s="9" t="s">
        <v>23</v>
      </c>
      <c r="H11" s="9" t="s">
        <v>24</v>
      </c>
      <c r="J11" s="9" t="s">
        <v>45</v>
      </c>
      <c r="L11" s="48" t="s">
        <v>79</v>
      </c>
      <c r="M11" s="48" t="s">
        <v>80</v>
      </c>
      <c r="N11" s="48" t="s">
        <v>81</v>
      </c>
      <c r="O11" s="48" t="s">
        <v>82</v>
      </c>
      <c r="P11" s="48" t="s">
        <v>83</v>
      </c>
      <c r="R11" s="9" t="s">
        <v>42</v>
      </c>
      <c r="T11" s="9" t="s">
        <v>43</v>
      </c>
    </row>
    <row r="14" spans="2:20" s="9" customFormat="1" x14ac:dyDescent="0.2">
      <c r="B14" s="9" t="s">
        <v>85</v>
      </c>
    </row>
    <row r="15" spans="2:20" x14ac:dyDescent="0.2">
      <c r="L15" s="122"/>
      <c r="M15" s="122"/>
      <c r="N15" s="122"/>
      <c r="O15" s="122"/>
      <c r="P15" s="122"/>
    </row>
    <row r="16" spans="2:20" x14ac:dyDescent="0.2">
      <c r="B16" s="31" t="s">
        <v>84</v>
      </c>
      <c r="L16" s="122"/>
      <c r="M16" s="122"/>
      <c r="N16" s="122"/>
      <c r="O16" s="122"/>
      <c r="P16" s="122"/>
    </row>
    <row r="17" spans="2:20" x14ac:dyDescent="0.2">
      <c r="B17" s="2" t="s">
        <v>86</v>
      </c>
      <c r="F17" s="2" t="s">
        <v>89</v>
      </c>
      <c r="J17" s="49">
        <f>SUM(L17:P17)</f>
        <v>48940511.720001459</v>
      </c>
      <c r="L17" s="39">
        <v>1190465.5730082868</v>
      </c>
      <c r="M17" s="39">
        <v>32710069.519751161</v>
      </c>
      <c r="N17" s="39">
        <v>3268841.919868337</v>
      </c>
      <c r="O17" s="39">
        <v>11725700.312810486</v>
      </c>
      <c r="P17" s="39">
        <v>45434.394563191861</v>
      </c>
      <c r="R17" s="2" t="s">
        <v>383</v>
      </c>
      <c r="T17" s="27" t="s">
        <v>448</v>
      </c>
    </row>
    <row r="18" spans="2:20" x14ac:dyDescent="0.2">
      <c r="B18" s="2" t="s">
        <v>87</v>
      </c>
      <c r="F18" s="2" t="s">
        <v>89</v>
      </c>
      <c r="J18" s="49">
        <f>SUM(L18:P18)</f>
        <v>4527827.4343265938</v>
      </c>
      <c r="L18" s="39">
        <v>91596.482646057106</v>
      </c>
      <c r="M18" s="39">
        <v>2497325.3755498696</v>
      </c>
      <c r="N18" s="39">
        <v>267135.86365889176</v>
      </c>
      <c r="O18" s="39">
        <v>1642174.1774010661</v>
      </c>
      <c r="P18" s="39">
        <v>29595.535070709899</v>
      </c>
      <c r="R18" s="2" t="s">
        <v>383</v>
      </c>
      <c r="T18" s="27" t="s">
        <v>448</v>
      </c>
    </row>
    <row r="20" spans="2:20" x14ac:dyDescent="0.2">
      <c r="B20" s="1" t="s">
        <v>88</v>
      </c>
    </row>
    <row r="21" spans="2:20" x14ac:dyDescent="0.2">
      <c r="B21" s="27" t="s">
        <v>350</v>
      </c>
      <c r="F21" s="2" t="s">
        <v>89</v>
      </c>
      <c r="J21" s="49">
        <f>SUM(L21:P21)</f>
        <v>11608697.669320103</v>
      </c>
      <c r="L21" s="39">
        <v>59050.606023817323</v>
      </c>
      <c r="M21" s="39">
        <v>6815534.1331010703</v>
      </c>
      <c r="N21" s="39">
        <v>1306546.1102666745</v>
      </c>
      <c r="O21" s="39">
        <v>3344957.3707104605</v>
      </c>
      <c r="P21" s="39">
        <v>82609.449218078706</v>
      </c>
      <c r="R21" s="2" t="s">
        <v>384</v>
      </c>
      <c r="T21" s="109"/>
    </row>
    <row r="22" spans="2:20" x14ac:dyDescent="0.2">
      <c r="L22" s="122"/>
      <c r="M22" s="122"/>
      <c r="N22" s="122"/>
      <c r="O22" s="122"/>
      <c r="P22" s="122"/>
    </row>
    <row r="24" spans="2:20" s="9" customFormat="1" x14ac:dyDescent="0.2">
      <c r="B24" s="9" t="s">
        <v>136</v>
      </c>
    </row>
    <row r="26" spans="2:20" x14ac:dyDescent="0.2">
      <c r="B26" s="1" t="s">
        <v>170</v>
      </c>
    </row>
    <row r="27" spans="2:20" x14ac:dyDescent="0.2">
      <c r="B27" s="2" t="s">
        <v>167</v>
      </c>
      <c r="F27" s="2" t="s">
        <v>72</v>
      </c>
      <c r="L27" s="79">
        <v>0</v>
      </c>
      <c r="M27" s="79">
        <v>0.5</v>
      </c>
      <c r="N27" s="79">
        <v>0</v>
      </c>
      <c r="O27" s="79">
        <v>0.5</v>
      </c>
      <c r="P27" s="79">
        <v>0.5</v>
      </c>
      <c r="R27" s="2" t="s">
        <v>168</v>
      </c>
    </row>
    <row r="28" spans="2:20" x14ac:dyDescent="0.2">
      <c r="B28" s="2" t="s">
        <v>169</v>
      </c>
      <c r="F28" s="2" t="s">
        <v>72</v>
      </c>
      <c r="L28" s="79">
        <v>0</v>
      </c>
      <c r="M28" s="79">
        <v>0.5</v>
      </c>
      <c r="N28" s="79">
        <v>0</v>
      </c>
      <c r="O28" s="79">
        <v>0.5</v>
      </c>
      <c r="P28" s="79">
        <v>0.5</v>
      </c>
      <c r="R28" s="2" t="s">
        <v>168</v>
      </c>
    </row>
    <row r="29" spans="2:20" x14ac:dyDescent="0.2">
      <c r="B29" s="2" t="s">
        <v>166</v>
      </c>
      <c r="F29" s="2" t="s">
        <v>72</v>
      </c>
      <c r="L29" s="86">
        <v>0</v>
      </c>
      <c r="M29" s="79">
        <v>0.12</v>
      </c>
      <c r="N29" s="79">
        <v>0.35</v>
      </c>
      <c r="O29" s="79">
        <v>0.2</v>
      </c>
      <c r="P29" s="80">
        <f>O29</f>
        <v>0.2</v>
      </c>
      <c r="R29" s="2" t="s">
        <v>384</v>
      </c>
      <c r="T29" s="69" t="s">
        <v>447</v>
      </c>
    </row>
    <row r="34" spans="2:2" x14ac:dyDescent="0.2">
      <c r="B34" s="2" t="s">
        <v>75</v>
      </c>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1FFE1"/>
  </sheetPr>
  <dimension ref="A2:T70"/>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RowHeight="12.75" x14ac:dyDescent="0.2"/>
  <cols>
    <col min="1" max="1" width="4.7109375" style="2" customWidth="1"/>
    <col min="2" max="2" width="61.5703125" style="2" customWidth="1"/>
    <col min="3" max="3" width="22"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4.85546875" style="2" customWidth="1"/>
    <col min="17" max="17" width="6.85546875" style="2" customWidth="1"/>
    <col min="18" max="18" width="37.42578125" style="2" customWidth="1"/>
    <col min="19" max="19" width="9.5703125" style="2" customWidth="1"/>
    <col min="20" max="21" width="12.5703125" style="2" customWidth="1"/>
    <col min="22" max="22" width="2.7109375" style="2" customWidth="1"/>
    <col min="23" max="23" width="17.140625" style="2" customWidth="1"/>
    <col min="24" max="24" width="2.7109375" style="2" customWidth="1"/>
    <col min="25" max="25" width="13.7109375" style="2" customWidth="1"/>
    <col min="26" max="26" width="2.7109375" style="2" customWidth="1"/>
    <col min="27" max="41" width="13.7109375" style="2" customWidth="1"/>
    <col min="42" max="16384" width="9.140625" style="2"/>
  </cols>
  <sheetData>
    <row r="2" spans="2:20" s="22" customFormat="1" ht="18" x14ac:dyDescent="0.2">
      <c r="B2" s="22" t="s">
        <v>351</v>
      </c>
    </row>
    <row r="4" spans="2:20" s="27" customFormat="1" x14ac:dyDescent="0.2">
      <c r="B4" s="50" t="s">
        <v>25</v>
      </c>
      <c r="C4" s="1"/>
      <c r="D4" s="1"/>
      <c r="L4" s="51"/>
    </row>
    <row r="5" spans="2:20" s="27" customFormat="1" x14ac:dyDescent="0.2">
      <c r="B5" s="27" t="s">
        <v>90</v>
      </c>
      <c r="H5" s="23"/>
    </row>
    <row r="6" spans="2:20" s="27" customFormat="1" x14ac:dyDescent="0.2">
      <c r="H6" s="23"/>
    </row>
    <row r="7" spans="2:20" s="27" customFormat="1" x14ac:dyDescent="0.2"/>
    <row r="8" spans="2:20" s="52" customFormat="1" ht="26.25" customHeight="1" x14ac:dyDescent="0.2">
      <c r="B8" s="52" t="s">
        <v>41</v>
      </c>
      <c r="F8" s="52" t="s">
        <v>23</v>
      </c>
      <c r="H8" s="52" t="s">
        <v>24</v>
      </c>
      <c r="J8" s="52" t="s">
        <v>45</v>
      </c>
      <c r="L8" s="53" t="s">
        <v>79</v>
      </c>
      <c r="M8" s="53" t="s">
        <v>80</v>
      </c>
      <c r="N8" s="53" t="s">
        <v>81</v>
      </c>
      <c r="O8" s="53" t="s">
        <v>82</v>
      </c>
      <c r="P8" s="53" t="s">
        <v>83</v>
      </c>
      <c r="R8" s="52" t="s">
        <v>42</v>
      </c>
      <c r="T8" s="52" t="s">
        <v>43</v>
      </c>
    </row>
    <row r="11" spans="2:20" s="52" customFormat="1" x14ac:dyDescent="0.2">
      <c r="B11" s="52" t="s">
        <v>149</v>
      </c>
    </row>
    <row r="12" spans="2:20" s="27" customFormat="1" x14ac:dyDescent="0.2"/>
    <row r="13" spans="2:20" s="27" customFormat="1" x14ac:dyDescent="0.2">
      <c r="B13" s="50" t="s">
        <v>91</v>
      </c>
      <c r="M13" s="54"/>
    </row>
    <row r="14" spans="2:20" s="27" customFormat="1" x14ac:dyDescent="0.2">
      <c r="B14" s="77" t="s">
        <v>151</v>
      </c>
      <c r="F14" s="56" t="s">
        <v>93</v>
      </c>
      <c r="L14" s="39">
        <v>8622420</v>
      </c>
      <c r="M14" s="54"/>
      <c r="R14" s="2" t="s">
        <v>449</v>
      </c>
    </row>
    <row r="15" spans="2:20" s="27" customFormat="1" x14ac:dyDescent="0.2">
      <c r="B15" s="27" t="s">
        <v>152</v>
      </c>
      <c r="F15" s="56" t="s">
        <v>93</v>
      </c>
      <c r="L15" s="39">
        <v>325206.43000000005</v>
      </c>
      <c r="R15" s="2" t="s">
        <v>449</v>
      </c>
      <c r="T15" s="58"/>
    </row>
    <row r="16" spans="2:20" s="27" customFormat="1" x14ac:dyDescent="0.2">
      <c r="B16" s="27" t="s">
        <v>232</v>
      </c>
      <c r="F16" s="56" t="s">
        <v>93</v>
      </c>
      <c r="L16" s="39">
        <v>104119300</v>
      </c>
      <c r="M16" s="51"/>
      <c r="R16" s="2" t="s">
        <v>450</v>
      </c>
    </row>
    <row r="17" spans="2:20" s="27" customFormat="1" x14ac:dyDescent="0.2">
      <c r="F17" s="56"/>
      <c r="L17" s="64"/>
      <c r="M17" s="51"/>
    </row>
    <row r="18" spans="2:20" s="27" customFormat="1" x14ac:dyDescent="0.2">
      <c r="B18" s="50" t="s">
        <v>94</v>
      </c>
      <c r="F18" s="56"/>
      <c r="M18" s="51"/>
    </row>
    <row r="19" spans="2:20" s="27" customFormat="1" x14ac:dyDescent="0.2">
      <c r="B19" s="27" t="s">
        <v>150</v>
      </c>
      <c r="F19" s="56" t="s">
        <v>95</v>
      </c>
      <c r="H19" s="63"/>
      <c r="L19" s="98"/>
      <c r="N19" s="37"/>
      <c r="R19" s="2" t="s">
        <v>449</v>
      </c>
      <c r="T19" s="58"/>
    </row>
    <row r="20" spans="2:20" s="27" customFormat="1" x14ac:dyDescent="0.2">
      <c r="B20" s="78" t="s">
        <v>233</v>
      </c>
      <c r="F20" s="56" t="s">
        <v>95</v>
      </c>
      <c r="N20" s="37"/>
      <c r="R20" s="2" t="s">
        <v>449</v>
      </c>
    </row>
    <row r="22" spans="2:20" s="27" customFormat="1" x14ac:dyDescent="0.2"/>
    <row r="23" spans="2:20" s="52" customFormat="1" x14ac:dyDescent="0.2">
      <c r="B23" s="52" t="s">
        <v>153</v>
      </c>
    </row>
    <row r="24" spans="2:20" s="27" customFormat="1" x14ac:dyDescent="0.2"/>
    <row r="25" spans="2:20" s="27" customFormat="1" x14ac:dyDescent="0.2">
      <c r="B25" s="1" t="s">
        <v>131</v>
      </c>
    </row>
    <row r="26" spans="2:20" s="27" customFormat="1" ht="25.5" x14ac:dyDescent="0.2">
      <c r="B26" s="72" t="s">
        <v>132</v>
      </c>
      <c r="C26" s="73" t="s">
        <v>106</v>
      </c>
    </row>
    <row r="27" spans="2:20" s="27" customFormat="1" x14ac:dyDescent="0.2">
      <c r="B27" s="27" t="s">
        <v>107</v>
      </c>
      <c r="C27" s="67">
        <v>3.1</v>
      </c>
      <c r="F27" s="27" t="s">
        <v>108</v>
      </c>
      <c r="L27" s="56"/>
      <c r="M27" s="68">
        <v>918.37856868527547</v>
      </c>
      <c r="R27" s="27" t="s">
        <v>451</v>
      </c>
    </row>
    <row r="28" spans="2:20" s="27" customFormat="1" x14ac:dyDescent="0.2">
      <c r="B28" s="27" t="s">
        <v>109</v>
      </c>
      <c r="C28" s="67">
        <v>4.4000000000000004</v>
      </c>
      <c r="F28" s="27" t="s">
        <v>108</v>
      </c>
      <c r="L28" s="56"/>
      <c r="M28" s="68">
        <v>1314.3160461102348</v>
      </c>
      <c r="T28" s="27" t="s">
        <v>135</v>
      </c>
    </row>
    <row r="29" spans="2:20" s="27" customFormat="1" x14ac:dyDescent="0.2">
      <c r="B29" s="27" t="s">
        <v>110</v>
      </c>
      <c r="C29" s="67">
        <v>4.4000000000000004</v>
      </c>
      <c r="F29" s="27" t="s">
        <v>108</v>
      </c>
      <c r="L29" s="56"/>
      <c r="M29" s="68">
        <v>4458.2985376136367</v>
      </c>
      <c r="T29" s="27" t="s">
        <v>135</v>
      </c>
    </row>
    <row r="30" spans="2:20" s="27" customFormat="1" x14ac:dyDescent="0.2">
      <c r="B30" s="27" t="s">
        <v>111</v>
      </c>
      <c r="C30" s="67">
        <v>11.4</v>
      </c>
      <c r="F30" s="27" t="s">
        <v>108</v>
      </c>
      <c r="L30" s="56"/>
      <c r="M30" s="68">
        <v>845.20808560756223</v>
      </c>
    </row>
    <row r="31" spans="2:20" s="27" customFormat="1" x14ac:dyDescent="0.2">
      <c r="B31" s="27" t="s">
        <v>112</v>
      </c>
      <c r="C31" s="67">
        <v>19.2</v>
      </c>
      <c r="F31" s="27" t="s">
        <v>108</v>
      </c>
      <c r="L31" s="56"/>
      <c r="M31" s="68">
        <v>400.11536186926469</v>
      </c>
    </row>
    <row r="32" spans="2:20" s="27" customFormat="1" x14ac:dyDescent="0.2">
      <c r="B32" s="27" t="s">
        <v>113</v>
      </c>
      <c r="C32" s="67">
        <v>30.4</v>
      </c>
      <c r="F32" s="27" t="s">
        <v>108</v>
      </c>
      <c r="L32" s="56"/>
      <c r="M32" s="68">
        <v>183.29117800755026</v>
      </c>
    </row>
    <row r="33" spans="2:18" s="27" customFormat="1" x14ac:dyDescent="0.2">
      <c r="B33" s="27" t="s">
        <v>114</v>
      </c>
      <c r="C33" s="67">
        <v>38.1</v>
      </c>
      <c r="F33" s="27" t="s">
        <v>108</v>
      </c>
      <c r="L33" s="56"/>
      <c r="M33" s="68">
        <v>92.672768587096954</v>
      </c>
    </row>
    <row r="34" spans="2:18" s="27" customFormat="1" x14ac:dyDescent="0.2">
      <c r="B34" s="27" t="s">
        <v>115</v>
      </c>
      <c r="C34" s="67">
        <v>47.6</v>
      </c>
      <c r="F34" s="27" t="s">
        <v>108</v>
      </c>
      <c r="L34" s="56"/>
      <c r="M34" s="68">
        <v>34.054238261990434</v>
      </c>
    </row>
    <row r="35" spans="2:18" s="27" customFormat="1" x14ac:dyDescent="0.2">
      <c r="B35" s="27" t="s">
        <v>116</v>
      </c>
      <c r="C35" s="67">
        <v>60.9</v>
      </c>
      <c r="F35" s="27" t="s">
        <v>108</v>
      </c>
      <c r="L35" s="56"/>
      <c r="M35" s="68">
        <v>10.888888888888889</v>
      </c>
    </row>
    <row r="36" spans="2:18" s="27" customFormat="1" x14ac:dyDescent="0.2">
      <c r="B36" s="27" t="s">
        <v>117</v>
      </c>
      <c r="C36" s="67">
        <v>76.099999999999994</v>
      </c>
      <c r="F36" s="27" t="s">
        <v>108</v>
      </c>
      <c r="L36" s="56"/>
      <c r="M36" s="68">
        <v>4.333333333333333</v>
      </c>
    </row>
    <row r="37" spans="2:18" s="27" customFormat="1" x14ac:dyDescent="0.2">
      <c r="B37" s="27" t="s">
        <v>118</v>
      </c>
      <c r="C37" s="67">
        <v>28424.03654381114</v>
      </c>
      <c r="M37" s="68">
        <v>1</v>
      </c>
    </row>
    <row r="38" spans="2:18" s="27" customFormat="1" x14ac:dyDescent="0.2"/>
    <row r="39" spans="2:18" s="27" customFormat="1" x14ac:dyDescent="0.2"/>
    <row r="40" spans="2:18" s="27" customFormat="1" x14ac:dyDescent="0.2">
      <c r="B40" s="1" t="s">
        <v>155</v>
      </c>
    </row>
    <row r="41" spans="2:18" s="27" customFormat="1" x14ac:dyDescent="0.2">
      <c r="B41" s="27" t="s">
        <v>134</v>
      </c>
      <c r="C41" s="67">
        <v>4.4000000000000004</v>
      </c>
      <c r="F41" s="27" t="s">
        <v>108</v>
      </c>
      <c r="M41" s="68">
        <v>2208.3333333333335</v>
      </c>
      <c r="R41" s="27" t="s">
        <v>451</v>
      </c>
    </row>
    <row r="42" spans="2:18" s="27" customFormat="1" x14ac:dyDescent="0.2">
      <c r="B42" s="27" t="s">
        <v>102</v>
      </c>
      <c r="F42" s="27" t="s">
        <v>103</v>
      </c>
      <c r="M42" s="66">
        <f>2500/12</f>
        <v>208.33333333333334</v>
      </c>
      <c r="R42" s="27" t="s">
        <v>104</v>
      </c>
    </row>
    <row r="43" spans="2:18" s="27" customFormat="1" x14ac:dyDescent="0.2"/>
    <row r="44" spans="2:18" s="27" customFormat="1" x14ac:dyDescent="0.2">
      <c r="B44" s="27" t="s">
        <v>156</v>
      </c>
      <c r="F44" s="27" t="s">
        <v>72</v>
      </c>
      <c r="M44" s="71">
        <v>9.0200000000000002E-2</v>
      </c>
      <c r="R44" s="2" t="s">
        <v>449</v>
      </c>
    </row>
    <row r="45" spans="2:18" s="27" customFormat="1" x14ac:dyDescent="0.2"/>
    <row r="46" spans="2:18" s="27" customFormat="1" x14ac:dyDescent="0.2"/>
    <row r="47" spans="2:18" s="27" customFormat="1" x14ac:dyDescent="0.2">
      <c r="B47" s="1" t="s">
        <v>154</v>
      </c>
    </row>
    <row r="48" spans="2:18" s="27" customFormat="1" ht="25.5" x14ac:dyDescent="0.2">
      <c r="B48" s="72" t="s">
        <v>132</v>
      </c>
      <c r="C48" s="73" t="s">
        <v>133</v>
      </c>
    </row>
    <row r="49" spans="2:18" s="27" customFormat="1" x14ac:dyDescent="0.2">
      <c r="B49" s="56" t="s">
        <v>119</v>
      </c>
      <c r="C49" s="70">
        <v>0.25</v>
      </c>
      <c r="F49" s="27" t="s">
        <v>108</v>
      </c>
      <c r="O49" s="68">
        <v>9676.9168253968255</v>
      </c>
      <c r="R49" s="27" t="s">
        <v>451</v>
      </c>
    </row>
    <row r="50" spans="2:18" s="27" customFormat="1" x14ac:dyDescent="0.2">
      <c r="B50" s="56" t="s">
        <v>120</v>
      </c>
      <c r="C50" s="110">
        <f>0.75^2</f>
        <v>0.5625</v>
      </c>
      <c r="F50" s="27" t="s">
        <v>108</v>
      </c>
      <c r="O50" s="68">
        <v>111.62873450647122</v>
      </c>
    </row>
    <row r="51" spans="2:18" s="27" customFormat="1" x14ac:dyDescent="0.2">
      <c r="B51" s="56" t="s">
        <v>121</v>
      </c>
      <c r="C51" s="70">
        <v>1</v>
      </c>
      <c r="F51" s="27" t="s">
        <v>108</v>
      </c>
      <c r="O51" s="68">
        <v>10.346049046321525</v>
      </c>
    </row>
    <row r="52" spans="2:18" s="27" customFormat="1" x14ac:dyDescent="0.2">
      <c r="B52" s="56" t="s">
        <v>122</v>
      </c>
      <c r="C52" s="70">
        <v>4</v>
      </c>
      <c r="F52" s="27" t="s">
        <v>108</v>
      </c>
      <c r="O52" s="68">
        <v>9.7756584922797458</v>
      </c>
    </row>
    <row r="53" spans="2:18" s="27" customFormat="1" x14ac:dyDescent="0.2">
      <c r="B53" s="56" t="s">
        <v>123</v>
      </c>
      <c r="C53" s="70">
        <v>16</v>
      </c>
      <c r="F53" s="27" t="s">
        <v>108</v>
      </c>
      <c r="O53" s="68">
        <v>4.666666666666667</v>
      </c>
    </row>
    <row r="54" spans="2:18" s="27" customFormat="1" x14ac:dyDescent="0.2">
      <c r="F54" s="27" t="s">
        <v>108</v>
      </c>
      <c r="O54" s="59">
        <f>SUM(O49:O53)</f>
        <v>9813.3339341085648</v>
      </c>
    </row>
    <row r="55" spans="2:18" s="27" customFormat="1" x14ac:dyDescent="0.2">
      <c r="C55" s="117"/>
    </row>
    <row r="56" spans="2:18" s="27" customFormat="1" x14ac:dyDescent="0.2">
      <c r="B56" s="27" t="s">
        <v>129</v>
      </c>
      <c r="F56" s="27" t="s">
        <v>95</v>
      </c>
      <c r="P56" s="39">
        <v>11006</v>
      </c>
      <c r="R56" s="27" t="s">
        <v>451</v>
      </c>
    </row>
    <row r="57" spans="2:18" s="27" customFormat="1" x14ac:dyDescent="0.2"/>
    <row r="58" spans="2:18" s="27" customFormat="1" x14ac:dyDescent="0.2">
      <c r="B58" s="27" t="s">
        <v>157</v>
      </c>
      <c r="F58" s="27" t="s">
        <v>72</v>
      </c>
      <c r="O58" s="71">
        <v>0.14169999999999999</v>
      </c>
      <c r="R58" s="2" t="s">
        <v>449</v>
      </c>
    </row>
    <row r="59" spans="2:18" s="27" customFormat="1" x14ac:dyDescent="0.2"/>
    <row r="60" spans="2:18" s="27" customFormat="1" x14ac:dyDescent="0.2"/>
    <row r="61" spans="2:18" s="52" customFormat="1" x14ac:dyDescent="0.2">
      <c r="B61" s="52" t="s">
        <v>352</v>
      </c>
    </row>
    <row r="63" spans="2:18" x14ac:dyDescent="0.2">
      <c r="B63" s="1" t="s">
        <v>148</v>
      </c>
    </row>
    <row r="64" spans="2:18" x14ac:dyDescent="0.2">
      <c r="B64" s="2" t="s">
        <v>144</v>
      </c>
      <c r="F64" s="2" t="s">
        <v>145</v>
      </c>
      <c r="L64" s="76" t="s">
        <v>93</v>
      </c>
      <c r="M64" s="76" t="s">
        <v>146</v>
      </c>
      <c r="N64" s="76" t="s">
        <v>95</v>
      </c>
      <c r="O64" s="76" t="s">
        <v>147</v>
      </c>
      <c r="P64" s="76" t="s">
        <v>95</v>
      </c>
    </row>
    <row r="65" spans="1:16" x14ac:dyDescent="0.2">
      <c r="A65" s="27"/>
      <c r="B65" s="2" t="s">
        <v>159</v>
      </c>
      <c r="F65" s="2" t="s">
        <v>108</v>
      </c>
      <c r="L65" s="34">
        <f>L14+L15</f>
        <v>8947626.4299999997</v>
      </c>
      <c r="M65" s="34">
        <f>SUMPRODUCT(C27:C37,M27:M37)+C41*M41</f>
        <v>95421.53410147196</v>
      </c>
      <c r="N65" s="37"/>
      <c r="O65" s="34">
        <f>SUMPRODUCT(C49:C53,O49:O53)</f>
        <v>2606.1357191912034</v>
      </c>
      <c r="P65" s="34">
        <f>P56</f>
        <v>11006</v>
      </c>
    </row>
    <row r="66" spans="1:16" x14ac:dyDescent="0.2">
      <c r="A66" s="27"/>
      <c r="B66" s="2" t="s">
        <v>160</v>
      </c>
      <c r="F66" s="2" t="s">
        <v>108</v>
      </c>
      <c r="L66" s="34">
        <f>SUM(L14:L16)</f>
        <v>113066926.43000001</v>
      </c>
      <c r="N66" s="37">
        <v>1750931</v>
      </c>
    </row>
    <row r="70" spans="1:16" x14ac:dyDescent="0.2">
      <c r="B70" s="2" t="s">
        <v>75</v>
      </c>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1FFE1"/>
  </sheetPr>
  <dimension ref="B2:T93"/>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RowHeight="12.75" x14ac:dyDescent="0.2"/>
  <cols>
    <col min="1" max="1" width="4.7109375" style="2" customWidth="1"/>
    <col min="2" max="2" width="61.42578125" style="2" customWidth="1"/>
    <col min="3" max="3" width="22" style="2" customWidth="1"/>
    <col min="4" max="5" width="4.5703125" style="2" customWidth="1"/>
    <col min="6" max="6" width="19"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4.85546875" style="2" customWidth="1"/>
    <col min="17" max="17" width="12.5703125" style="2" customWidth="1"/>
    <col min="18" max="18" width="40.28515625" style="2" customWidth="1"/>
    <col min="19" max="19" width="6.7109375" style="2" customWidth="1"/>
    <col min="20" max="21" width="12.5703125" style="2" customWidth="1"/>
    <col min="22" max="22" width="2.7109375" style="2" customWidth="1"/>
    <col min="23" max="23" width="17.140625" style="2" customWidth="1"/>
    <col min="24" max="24" width="2.7109375" style="2" customWidth="1"/>
    <col min="25" max="25" width="13.7109375" style="2" customWidth="1"/>
    <col min="26" max="26" width="2.7109375" style="2" customWidth="1"/>
    <col min="27" max="41" width="13.7109375" style="2" customWidth="1"/>
    <col min="42" max="16384" width="9.140625" style="2"/>
  </cols>
  <sheetData>
    <row r="2" spans="2:20" s="22" customFormat="1" ht="18" x14ac:dyDescent="0.2">
      <c r="B2" s="22" t="s">
        <v>353</v>
      </c>
    </row>
    <row r="4" spans="2:20" s="27" customFormat="1" x14ac:dyDescent="0.2">
      <c r="B4" s="50" t="s">
        <v>25</v>
      </c>
      <c r="C4" s="1"/>
      <c r="D4" s="1"/>
      <c r="L4" s="51"/>
    </row>
    <row r="5" spans="2:20" s="27" customFormat="1" x14ac:dyDescent="0.2">
      <c r="B5" s="27" t="s">
        <v>355</v>
      </c>
      <c r="H5" s="23"/>
    </row>
    <row r="6" spans="2:20" s="27" customFormat="1" x14ac:dyDescent="0.2">
      <c r="B6" s="23"/>
      <c r="H6" s="23"/>
    </row>
    <row r="7" spans="2:20" s="27" customFormat="1" x14ac:dyDescent="0.2"/>
    <row r="8" spans="2:20" s="52" customFormat="1" ht="26.25" customHeight="1" x14ac:dyDescent="0.2">
      <c r="B8" s="52" t="s">
        <v>41</v>
      </c>
      <c r="F8" s="52" t="s">
        <v>23</v>
      </c>
      <c r="H8" s="52" t="s">
        <v>24</v>
      </c>
      <c r="J8" s="52" t="s">
        <v>45</v>
      </c>
      <c r="L8" s="53" t="s">
        <v>79</v>
      </c>
      <c r="M8" s="53" t="s">
        <v>80</v>
      </c>
      <c r="N8" s="53" t="s">
        <v>81</v>
      </c>
      <c r="O8" s="53" t="s">
        <v>82</v>
      </c>
      <c r="P8" s="53" t="s">
        <v>83</v>
      </c>
      <c r="R8" s="52" t="s">
        <v>42</v>
      </c>
      <c r="T8" s="52" t="s">
        <v>43</v>
      </c>
    </row>
    <row r="11" spans="2:20" s="52" customFormat="1" x14ac:dyDescent="0.2">
      <c r="B11" s="52" t="s">
        <v>124</v>
      </c>
    </row>
    <row r="12" spans="2:20" s="27" customFormat="1" x14ac:dyDescent="0.2"/>
    <row r="13" spans="2:20" s="27" customFormat="1" x14ac:dyDescent="0.2">
      <c r="B13" s="50" t="s">
        <v>91</v>
      </c>
      <c r="M13" s="54"/>
    </row>
    <row r="14" spans="2:20" s="27" customFormat="1" x14ac:dyDescent="0.2">
      <c r="B14" s="55" t="s">
        <v>92</v>
      </c>
      <c r="M14" s="54"/>
    </row>
    <row r="15" spans="2:20" s="27" customFormat="1" x14ac:dyDescent="0.2">
      <c r="B15" s="27" t="s">
        <v>125</v>
      </c>
      <c r="F15" s="56" t="s">
        <v>93</v>
      </c>
      <c r="L15" s="44">
        <f>'Gegevens volumes 2018'!L15</f>
        <v>325206.43000000005</v>
      </c>
      <c r="R15" s="23"/>
      <c r="T15" s="2" t="s">
        <v>171</v>
      </c>
    </row>
    <row r="16" spans="2:20" s="27" customFormat="1" x14ac:dyDescent="0.2">
      <c r="F16" s="56"/>
      <c r="L16" s="60"/>
    </row>
    <row r="17" spans="2:20" s="27" customFormat="1" x14ac:dyDescent="0.2">
      <c r="B17" s="55" t="s">
        <v>356</v>
      </c>
      <c r="F17" s="56"/>
    </row>
    <row r="18" spans="2:20" s="27" customFormat="1" x14ac:dyDescent="0.2">
      <c r="B18" s="27" t="s">
        <v>357</v>
      </c>
      <c r="F18" s="61" t="s">
        <v>126</v>
      </c>
      <c r="L18" s="82">
        <v>0.19620000000000001</v>
      </c>
      <c r="M18" s="62"/>
      <c r="R18" s="2" t="s">
        <v>380</v>
      </c>
      <c r="T18" s="27" t="s">
        <v>382</v>
      </c>
    </row>
    <row r="19" spans="2:20" s="27" customFormat="1" x14ac:dyDescent="0.2">
      <c r="B19" s="27" t="s">
        <v>354</v>
      </c>
      <c r="F19" s="56" t="s">
        <v>93</v>
      </c>
      <c r="L19" s="39">
        <v>122900000</v>
      </c>
      <c r="M19" s="51"/>
      <c r="R19" s="2" t="s">
        <v>380</v>
      </c>
    </row>
    <row r="20" spans="2:20" s="27" customFormat="1" x14ac:dyDescent="0.2">
      <c r="F20" s="56"/>
      <c r="L20" s="63"/>
      <c r="M20" s="51"/>
    </row>
    <row r="21" spans="2:20" s="27" customFormat="1" x14ac:dyDescent="0.2">
      <c r="B21" s="27" t="s">
        <v>127</v>
      </c>
      <c r="F21" s="56" t="s">
        <v>72</v>
      </c>
      <c r="L21" s="46">
        <v>0.48418606543249587</v>
      </c>
      <c r="M21" s="51"/>
      <c r="R21" s="69" t="s">
        <v>452</v>
      </c>
    </row>
    <row r="22" spans="2:20" s="27" customFormat="1" x14ac:dyDescent="0.2">
      <c r="F22" s="56"/>
      <c r="L22" s="64"/>
      <c r="M22" s="51"/>
    </row>
    <row r="23" spans="2:20" s="27" customFormat="1" x14ac:dyDescent="0.2">
      <c r="B23" s="50" t="s">
        <v>94</v>
      </c>
      <c r="F23" s="56"/>
      <c r="M23" s="51"/>
    </row>
    <row r="24" spans="2:20" s="27" customFormat="1" x14ac:dyDescent="0.2">
      <c r="B24" s="55" t="s">
        <v>92</v>
      </c>
      <c r="H24" s="65"/>
    </row>
    <row r="25" spans="2:20" s="27" customFormat="1" x14ac:dyDescent="0.2">
      <c r="B25" s="27" t="s">
        <v>128</v>
      </c>
      <c r="F25" s="56" t="s">
        <v>95</v>
      </c>
      <c r="H25" s="63"/>
      <c r="N25" s="37"/>
      <c r="R25" s="127" t="s">
        <v>452</v>
      </c>
      <c r="T25" s="58"/>
    </row>
    <row r="26" spans="2:20" s="27" customFormat="1" x14ac:dyDescent="0.2">
      <c r="B26" s="27" t="s">
        <v>96</v>
      </c>
      <c r="F26" s="56" t="s">
        <v>97</v>
      </c>
      <c r="H26" s="63"/>
      <c r="N26" s="83">
        <v>4.1059999999999999</v>
      </c>
      <c r="R26" s="69" t="s">
        <v>453</v>
      </c>
    </row>
    <row r="27" spans="2:20" s="27" customFormat="1" x14ac:dyDescent="0.2">
      <c r="B27" s="27" t="s">
        <v>98</v>
      </c>
      <c r="F27" s="56" t="s">
        <v>99</v>
      </c>
      <c r="N27" s="57">
        <v>1967</v>
      </c>
      <c r="R27" s="27" t="s">
        <v>449</v>
      </c>
    </row>
    <row r="28" spans="2:20" s="27" customFormat="1" x14ac:dyDescent="0.2"/>
    <row r="29" spans="2:20" s="27" customFormat="1" x14ac:dyDescent="0.2">
      <c r="B29" s="55" t="s">
        <v>100</v>
      </c>
      <c r="F29" s="56"/>
    </row>
    <row r="30" spans="2:20" s="27" customFormat="1" x14ac:dyDescent="0.2">
      <c r="B30" s="78" t="s">
        <v>261</v>
      </c>
      <c r="F30" s="56" t="s">
        <v>95</v>
      </c>
      <c r="N30" s="37"/>
      <c r="R30" s="127" t="s">
        <v>452</v>
      </c>
    </row>
    <row r="31" spans="2:20" s="27" customFormat="1" x14ac:dyDescent="0.2">
      <c r="B31" s="27" t="s">
        <v>260</v>
      </c>
      <c r="F31" s="61" t="s">
        <v>172</v>
      </c>
      <c r="N31" s="37"/>
      <c r="R31" s="27" t="s">
        <v>449</v>
      </c>
    </row>
    <row r="32" spans="2:20" s="27" customFormat="1" x14ac:dyDescent="0.2"/>
    <row r="33" spans="2:18" s="27" customFormat="1" x14ac:dyDescent="0.2">
      <c r="B33" s="27" t="s">
        <v>127</v>
      </c>
      <c r="F33" s="56" t="s">
        <v>72</v>
      </c>
      <c r="N33" s="46">
        <v>0.50055056424268007</v>
      </c>
      <c r="R33" s="127" t="s">
        <v>452</v>
      </c>
    </row>
    <row r="34" spans="2:18" s="27" customFormat="1" x14ac:dyDescent="0.2"/>
    <row r="35" spans="2:18" s="27" customFormat="1" x14ac:dyDescent="0.2"/>
    <row r="36" spans="2:18" s="52" customFormat="1" x14ac:dyDescent="0.2">
      <c r="B36" s="52" t="s">
        <v>101</v>
      </c>
    </row>
    <row r="37" spans="2:18" s="27" customFormat="1" x14ac:dyDescent="0.2"/>
    <row r="38" spans="2:18" s="27" customFormat="1" x14ac:dyDescent="0.2">
      <c r="B38" s="27" t="s">
        <v>130</v>
      </c>
      <c r="F38" s="27" t="s">
        <v>72</v>
      </c>
      <c r="M38" s="75">
        <f>'Gegevens volumes 2018'!M44</f>
        <v>9.0200000000000002E-2</v>
      </c>
      <c r="O38" s="75">
        <f>'Gegevens volumes 2018'!O58</f>
        <v>0.14169999999999999</v>
      </c>
    </row>
    <row r="39" spans="2:18" s="27" customFormat="1" x14ac:dyDescent="0.2">
      <c r="B39" s="27" t="s">
        <v>358</v>
      </c>
      <c r="F39" s="27" t="s">
        <v>95</v>
      </c>
      <c r="P39" s="44">
        <f>'Gegevens volumes 2018'!P56</f>
        <v>11006</v>
      </c>
    </row>
    <row r="40" spans="2:18" s="27" customFormat="1" x14ac:dyDescent="0.2">
      <c r="B40" s="27" t="s">
        <v>359</v>
      </c>
      <c r="F40" s="27" t="s">
        <v>103</v>
      </c>
      <c r="M40" s="44">
        <f>'Gegevens volumes 2018'!M42</f>
        <v>208.33333333333334</v>
      </c>
    </row>
    <row r="41" spans="2:18" s="27" customFormat="1" x14ac:dyDescent="0.2"/>
    <row r="42" spans="2:18" s="27" customFormat="1" x14ac:dyDescent="0.2">
      <c r="B42" s="1" t="s">
        <v>292</v>
      </c>
    </row>
    <row r="43" spans="2:18" s="27" customFormat="1" x14ac:dyDescent="0.2">
      <c r="B43" s="27" t="s">
        <v>293</v>
      </c>
      <c r="F43" s="27" t="s">
        <v>197</v>
      </c>
      <c r="M43" s="39">
        <v>40</v>
      </c>
      <c r="O43" s="39">
        <v>40</v>
      </c>
      <c r="R43" s="27" t="s">
        <v>433</v>
      </c>
    </row>
    <row r="44" spans="2:18" s="27" customFormat="1" x14ac:dyDescent="0.2">
      <c r="B44" s="27" t="s">
        <v>294</v>
      </c>
      <c r="F44" s="27" t="s">
        <v>197</v>
      </c>
      <c r="M44" s="39">
        <v>1571.0131325258899</v>
      </c>
      <c r="O44" s="39">
        <v>1069.6060901914639</v>
      </c>
      <c r="R44" s="27" t="s">
        <v>433</v>
      </c>
    </row>
    <row r="45" spans="2:18" s="27" customFormat="1" x14ac:dyDescent="0.2"/>
    <row r="46" spans="2:18" s="27" customFormat="1" x14ac:dyDescent="0.2"/>
    <row r="47" spans="2:18" s="52" customFormat="1" x14ac:dyDescent="0.2">
      <c r="B47" s="52" t="s">
        <v>105</v>
      </c>
    </row>
    <row r="48" spans="2:18" s="27" customFormat="1" x14ac:dyDescent="0.2"/>
    <row r="49" spans="2:20" s="27" customFormat="1" x14ac:dyDescent="0.2">
      <c r="B49" s="1" t="s">
        <v>163</v>
      </c>
    </row>
    <row r="50" spans="2:20" s="27" customFormat="1" x14ac:dyDescent="0.2"/>
    <row r="51" spans="2:20" s="27" customFormat="1" ht="25.5" x14ac:dyDescent="0.2">
      <c r="B51" s="72" t="s">
        <v>132</v>
      </c>
      <c r="C51" s="73" t="s">
        <v>106</v>
      </c>
    </row>
    <row r="52" spans="2:20" s="27" customFormat="1" x14ac:dyDescent="0.2">
      <c r="B52" s="27" t="s">
        <v>107</v>
      </c>
      <c r="C52" s="67">
        <v>3.1</v>
      </c>
      <c r="F52" s="27" t="s">
        <v>108</v>
      </c>
      <c r="L52" s="56"/>
      <c r="M52" s="68">
        <v>851.51214285714275</v>
      </c>
      <c r="R52" s="127" t="s">
        <v>452</v>
      </c>
    </row>
    <row r="53" spans="2:20" s="27" customFormat="1" x14ac:dyDescent="0.2">
      <c r="B53" s="27" t="s">
        <v>109</v>
      </c>
      <c r="C53" s="67">
        <v>4.4000000000000004</v>
      </c>
      <c r="F53" s="27" t="s">
        <v>108</v>
      </c>
      <c r="L53" s="56"/>
      <c r="M53" s="68">
        <v>1250.5121428571426</v>
      </c>
      <c r="T53" s="27" t="s">
        <v>173</v>
      </c>
    </row>
    <row r="54" spans="2:20" s="27" customFormat="1" x14ac:dyDescent="0.2">
      <c r="B54" s="27" t="s">
        <v>110</v>
      </c>
      <c r="C54" s="67">
        <v>4.4000000000000004</v>
      </c>
      <c r="F54" s="27" t="s">
        <v>108</v>
      </c>
      <c r="L54" s="56"/>
      <c r="M54" s="68">
        <v>7635.353214285713</v>
      </c>
      <c r="T54" s="27" t="s">
        <v>173</v>
      </c>
    </row>
    <row r="55" spans="2:20" s="27" customFormat="1" x14ac:dyDescent="0.2">
      <c r="B55" s="27" t="s">
        <v>111</v>
      </c>
      <c r="C55" s="67">
        <v>11.4</v>
      </c>
      <c r="F55" s="27" t="s">
        <v>108</v>
      </c>
      <c r="L55" s="56"/>
      <c r="M55" s="68">
        <v>769.22463410623232</v>
      </c>
    </row>
    <row r="56" spans="2:20" s="27" customFormat="1" x14ac:dyDescent="0.2">
      <c r="B56" s="27" t="s">
        <v>112</v>
      </c>
      <c r="C56" s="67">
        <v>19.2</v>
      </c>
      <c r="F56" s="27" t="s">
        <v>108</v>
      </c>
      <c r="L56" s="56"/>
      <c r="M56" s="68">
        <v>333</v>
      </c>
    </row>
    <row r="57" spans="2:20" s="27" customFormat="1" x14ac:dyDescent="0.2">
      <c r="B57" s="27" t="s">
        <v>113</v>
      </c>
      <c r="C57" s="67">
        <v>30.4</v>
      </c>
      <c r="F57" s="27" t="s">
        <v>108</v>
      </c>
      <c r="L57" s="56"/>
      <c r="M57" s="68">
        <v>165.99999999999994</v>
      </c>
    </row>
    <row r="58" spans="2:20" s="27" customFormat="1" x14ac:dyDescent="0.2">
      <c r="B58" s="27" t="s">
        <v>114</v>
      </c>
      <c r="C58" s="67">
        <v>38.1</v>
      </c>
      <c r="F58" s="27" t="s">
        <v>108</v>
      </c>
      <c r="L58" s="56"/>
      <c r="M58" s="68">
        <v>61.246889872255153</v>
      </c>
    </row>
    <row r="59" spans="2:20" s="27" customFormat="1" x14ac:dyDescent="0.2">
      <c r="B59" s="27" t="s">
        <v>115</v>
      </c>
      <c r="C59" s="67">
        <v>47.6</v>
      </c>
      <c r="F59" s="27" t="s">
        <v>108</v>
      </c>
      <c r="L59" s="56"/>
      <c r="M59" s="68">
        <v>29</v>
      </c>
    </row>
    <row r="60" spans="2:20" s="27" customFormat="1" x14ac:dyDescent="0.2">
      <c r="B60" s="27" t="s">
        <v>116</v>
      </c>
      <c r="C60" s="67">
        <v>60.9</v>
      </c>
      <c r="F60" s="27" t="s">
        <v>108</v>
      </c>
      <c r="L60" s="56"/>
      <c r="M60" s="68">
        <v>13</v>
      </c>
    </row>
    <row r="61" spans="2:20" s="27" customFormat="1" x14ac:dyDescent="0.2">
      <c r="B61" s="27" t="s">
        <v>117</v>
      </c>
      <c r="C61" s="67">
        <v>76.099999999999994</v>
      </c>
      <c r="F61" s="27" t="s">
        <v>108</v>
      </c>
      <c r="L61" s="56"/>
      <c r="M61" s="68">
        <v>3</v>
      </c>
    </row>
    <row r="62" spans="2:20" s="27" customFormat="1" x14ac:dyDescent="0.2">
      <c r="B62" s="27" t="s">
        <v>118</v>
      </c>
      <c r="C62" s="67">
        <v>27274.37</v>
      </c>
      <c r="M62" s="68">
        <v>1</v>
      </c>
    </row>
    <row r="63" spans="2:20" s="27" customFormat="1" x14ac:dyDescent="0.2">
      <c r="B63" s="27" t="s">
        <v>439</v>
      </c>
      <c r="F63" s="27" t="s">
        <v>108</v>
      </c>
      <c r="M63" s="59">
        <f>SUM(M52:M62)</f>
        <v>11112.849023978486</v>
      </c>
      <c r="R63" s="27" t="s">
        <v>440</v>
      </c>
    </row>
    <row r="64" spans="2:20" s="27" customFormat="1" x14ac:dyDescent="0.2">
      <c r="B64" s="27" t="s">
        <v>262</v>
      </c>
      <c r="C64" s="67">
        <v>4.4000000000000004</v>
      </c>
      <c r="F64" s="27" t="s">
        <v>108</v>
      </c>
      <c r="M64" s="68">
        <v>2570</v>
      </c>
      <c r="R64" s="127" t="s">
        <v>452</v>
      </c>
    </row>
    <row r="65" spans="2:18" s="27" customFormat="1" x14ac:dyDescent="0.2"/>
    <row r="66" spans="2:18" s="27" customFormat="1" x14ac:dyDescent="0.2"/>
    <row r="67" spans="2:18" s="27" customFormat="1" ht="25.5" x14ac:dyDescent="0.2">
      <c r="B67" s="72" t="s">
        <v>132</v>
      </c>
      <c r="C67" s="73" t="s">
        <v>133</v>
      </c>
    </row>
    <row r="68" spans="2:18" s="27" customFormat="1" x14ac:dyDescent="0.2">
      <c r="B68" s="56" t="s">
        <v>119</v>
      </c>
      <c r="C68" s="107">
        <f>'Gegevens volumes 2018'!C49</f>
        <v>0.25</v>
      </c>
      <c r="F68" s="27" t="s">
        <v>108</v>
      </c>
      <c r="O68" s="68">
        <v>10362</v>
      </c>
      <c r="R68" s="127" t="s">
        <v>452</v>
      </c>
    </row>
    <row r="69" spans="2:18" s="27" customFormat="1" x14ac:dyDescent="0.2">
      <c r="B69" s="56" t="s">
        <v>120</v>
      </c>
      <c r="C69" s="107">
        <f>'Gegevens volumes 2018'!C50</f>
        <v>0.5625</v>
      </c>
      <c r="F69" s="27" t="s">
        <v>108</v>
      </c>
      <c r="O69" s="68">
        <v>77</v>
      </c>
    </row>
    <row r="70" spans="2:18" s="27" customFormat="1" x14ac:dyDescent="0.2">
      <c r="B70" s="56" t="s">
        <v>121</v>
      </c>
      <c r="C70" s="107">
        <f>'Gegevens volumes 2018'!C51</f>
        <v>1</v>
      </c>
      <c r="F70" s="27" t="s">
        <v>108</v>
      </c>
      <c r="O70" s="68">
        <v>13</v>
      </c>
    </row>
    <row r="71" spans="2:18" s="27" customFormat="1" x14ac:dyDescent="0.2">
      <c r="B71" s="56" t="s">
        <v>122</v>
      </c>
      <c r="C71" s="107">
        <f>'Gegevens volumes 2018'!C52</f>
        <v>4</v>
      </c>
      <c r="F71" s="27" t="s">
        <v>108</v>
      </c>
      <c r="O71" s="68">
        <v>12</v>
      </c>
    </row>
    <row r="72" spans="2:18" s="27" customFormat="1" x14ac:dyDescent="0.2">
      <c r="B72" s="56" t="s">
        <v>123</v>
      </c>
      <c r="C72" s="107">
        <f>'Gegevens volumes 2018'!C53</f>
        <v>16</v>
      </c>
      <c r="F72" s="27" t="s">
        <v>108</v>
      </c>
      <c r="O72" s="68">
        <v>5</v>
      </c>
    </row>
    <row r="73" spans="2:18" s="27" customFormat="1" x14ac:dyDescent="0.2">
      <c r="F73" s="27" t="s">
        <v>108</v>
      </c>
      <c r="O73" s="59">
        <f>SUM(O68:O72)</f>
        <v>10469</v>
      </c>
    </row>
    <row r="74" spans="2:18" s="27" customFormat="1" x14ac:dyDescent="0.2"/>
    <row r="75" spans="2:18" s="27" customFormat="1" x14ac:dyDescent="0.2"/>
    <row r="76" spans="2:18" s="52" customFormat="1" x14ac:dyDescent="0.2">
      <c r="B76" s="52" t="s">
        <v>174</v>
      </c>
    </row>
    <row r="78" spans="2:18" x14ac:dyDescent="0.2">
      <c r="B78" s="1" t="s">
        <v>148</v>
      </c>
    </row>
    <row r="79" spans="2:18" x14ac:dyDescent="0.2">
      <c r="B79" s="2" t="s">
        <v>144</v>
      </c>
      <c r="F79" s="2" t="s">
        <v>145</v>
      </c>
      <c r="L79" s="76" t="s">
        <v>93</v>
      </c>
      <c r="M79" s="76" t="s">
        <v>146</v>
      </c>
      <c r="N79" s="76" t="s">
        <v>95</v>
      </c>
      <c r="O79" s="76" t="s">
        <v>147</v>
      </c>
      <c r="P79" s="76" t="s">
        <v>95</v>
      </c>
    </row>
    <row r="80" spans="2:18" x14ac:dyDescent="0.2">
      <c r="B80" s="2" t="s">
        <v>159</v>
      </c>
      <c r="F80" s="2" t="s">
        <v>108</v>
      </c>
      <c r="L80" s="34">
        <f>L15</f>
        <v>325206.43000000005</v>
      </c>
      <c r="M80" s="34">
        <f>SUMPRODUCT(C52:C62,M52:M62)</f>
        <v>93954.932547229662</v>
      </c>
      <c r="N80" s="37"/>
      <c r="O80" s="34">
        <f>SUMPRODUCT(C68:C72,O68:O72)</f>
        <v>2774.8125</v>
      </c>
      <c r="P80" s="34">
        <f>P39</f>
        <v>11006</v>
      </c>
    </row>
    <row r="81" spans="2:15" x14ac:dyDescent="0.2">
      <c r="B81" s="2" t="s">
        <v>175</v>
      </c>
      <c r="F81" s="2" t="s">
        <v>108</v>
      </c>
      <c r="L81" s="34">
        <f>L15+L19</f>
        <v>123225206.43000001</v>
      </c>
      <c r="N81" s="37">
        <v>2087597.5766049165</v>
      </c>
    </row>
    <row r="83" spans="2:15" x14ac:dyDescent="0.2">
      <c r="O83" s="84"/>
    </row>
    <row r="84" spans="2:15" s="9" customFormat="1" x14ac:dyDescent="0.2">
      <c r="B84" s="9" t="s">
        <v>178</v>
      </c>
    </row>
    <row r="86" spans="2:15" x14ac:dyDescent="0.2">
      <c r="B86" s="5" t="s">
        <v>177</v>
      </c>
    </row>
    <row r="87" spans="2:15" x14ac:dyDescent="0.2">
      <c r="B87" s="5" t="s">
        <v>263</v>
      </c>
    </row>
    <row r="88" spans="2:15" x14ac:dyDescent="0.2">
      <c r="B88" s="32"/>
    </row>
    <row r="89" spans="2:15" x14ac:dyDescent="0.2">
      <c r="B89" s="32"/>
    </row>
    <row r="93" spans="2:15" x14ac:dyDescent="0.2">
      <c r="B93" s="2" t="s">
        <v>75</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DAB9D1-B815-4B0E-93E7-4496A7FE99F6}">
  <ds:schemaRefs>
    <ds:schemaRef ds:uri="http://schemas.microsoft.com/office/2006/documentManagement/types"/>
    <ds:schemaRef ds:uri="http://purl.org/dc/elements/1.1/"/>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Titelblad</vt:lpstr>
      <vt:lpstr>Toelichting</vt:lpstr>
      <vt:lpstr>Bronnen en toepassingen</vt:lpstr>
      <vt:lpstr>Resultaat</vt:lpstr>
      <vt:lpstr>Input --&gt;</vt:lpstr>
      <vt:lpstr>Parameters</vt:lpstr>
      <vt:lpstr>Gegevens kosten 2018</vt:lpstr>
      <vt:lpstr>Gegevens volumes 2018</vt:lpstr>
      <vt:lpstr>Gegevens raming 2020</vt:lpstr>
      <vt:lpstr>Correcties (incl. berekening)</vt:lpstr>
      <vt:lpstr>Berekeningen --&gt;</vt:lpstr>
      <vt:lpstr>Berekening kostenbasis 2020</vt:lpstr>
      <vt:lpstr>Variabel tarief elektriciteit</vt:lpstr>
      <vt:lpstr>Vaste tarieven elektriciteit</vt:lpstr>
      <vt:lpstr>Variabel tarief drinkwater</vt:lpstr>
      <vt:lpstr>Vaste tarieven drinkwater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2020-01-06T14:43:16Z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