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9980" windowHeight="7560"/>
  </bookViews>
  <sheets>
    <sheet name="Title page" sheetId="9" r:id="rId1"/>
    <sheet name="Explanation" sheetId="10" r:id="rId2"/>
    <sheet name="Source overview" sheetId="11" r:id="rId3"/>
    <sheet name="Production price 2020" sheetId="21" r:id="rId4"/>
    <sheet name="Input --&gt;" sheetId="13" r:id="rId5"/>
    <sheet name="Parameters" sheetId="18" r:id="rId6"/>
    <sheet name="Est. and realized costs 2018" sheetId="24" r:id="rId7"/>
    <sheet name="Production and fuel costs 2018" sheetId="26" r:id="rId8"/>
    <sheet name="Est. production and costs 2020" sheetId="27" r:id="rId9"/>
    <sheet name="Calculations --&gt;" sheetId="15" r:id="rId10"/>
    <sheet name="RAB calculation 2018" sheetId="28" r:id="rId11"/>
    <sheet name="Fuel  correction 2018" sheetId="30" r:id="rId12"/>
    <sheet name="Volume corr. and P.S. 2018" sheetId="22" r:id="rId13"/>
    <sheet name="Income 2020 and prod. price" sheetId="29" r:id="rId14"/>
  </sheets>
  <calcPr calcId="145621"/>
</workbook>
</file>

<file path=xl/calcChain.xml><?xml version="1.0" encoding="utf-8"?>
<calcChain xmlns="http://schemas.openxmlformats.org/spreadsheetml/2006/main">
  <c r="H56" i="26" l="1"/>
  <c r="H28" i="29" l="1"/>
  <c r="H63" i="29" s="1"/>
  <c r="H15" i="27" l="1"/>
  <c r="H19" i="27"/>
  <c r="H24" i="27" l="1"/>
  <c r="H59" i="27" l="1"/>
  <c r="H16" i="21" s="1"/>
  <c r="H20" i="27" l="1"/>
  <c r="H17" i="29" l="1"/>
  <c r="H27" i="27" l="1"/>
  <c r="H52" i="29" l="1"/>
  <c r="H51" i="29"/>
  <c r="H47" i="29" l="1"/>
  <c r="P38" i="30"/>
  <c r="Q38" i="30"/>
  <c r="R38" i="30"/>
  <c r="S38" i="30"/>
  <c r="T38" i="30"/>
  <c r="U38" i="30"/>
  <c r="V38" i="30"/>
  <c r="W38" i="30"/>
  <c r="X38" i="30"/>
  <c r="Y38" i="30"/>
  <c r="Z38" i="30"/>
  <c r="O38" i="30"/>
  <c r="P34" i="30"/>
  <c r="Q34" i="30"/>
  <c r="Q44" i="30" s="1"/>
  <c r="R34" i="30"/>
  <c r="R44" i="30" s="1"/>
  <c r="S34" i="30"/>
  <c r="T34" i="30"/>
  <c r="U34" i="30"/>
  <c r="V34" i="30"/>
  <c r="V44" i="30" s="1"/>
  <c r="W34" i="30"/>
  <c r="W44" i="30" s="1"/>
  <c r="X34" i="30"/>
  <c r="X44" i="30" s="1"/>
  <c r="Y34" i="30"/>
  <c r="Y44" i="30" s="1"/>
  <c r="Z34" i="30"/>
  <c r="Z44" i="30" s="1"/>
  <c r="P35" i="30"/>
  <c r="Q35" i="30"/>
  <c r="R35" i="30"/>
  <c r="S35" i="30"/>
  <c r="T35" i="30"/>
  <c r="U35" i="30"/>
  <c r="V35" i="30"/>
  <c r="W35" i="30"/>
  <c r="X35" i="30"/>
  <c r="Y35" i="30"/>
  <c r="Z35" i="30"/>
  <c r="O35" i="30"/>
  <c r="O34" i="30"/>
  <c r="O44" i="30" s="1"/>
  <c r="P26" i="30"/>
  <c r="Q26" i="30"/>
  <c r="R26" i="30"/>
  <c r="S26" i="30"/>
  <c r="T26" i="30"/>
  <c r="U26" i="30"/>
  <c r="V26" i="30"/>
  <c r="W26" i="30"/>
  <c r="X26" i="30"/>
  <c r="Y26" i="30"/>
  <c r="Z26" i="30"/>
  <c r="O26" i="30"/>
  <c r="P21" i="30"/>
  <c r="Q21" i="30"/>
  <c r="R21" i="30"/>
  <c r="T21" i="30"/>
  <c r="V21" i="30"/>
  <c r="W21" i="30"/>
  <c r="X21" i="30"/>
  <c r="Y21" i="30"/>
  <c r="P22" i="30"/>
  <c r="Q22" i="30"/>
  <c r="R22" i="30"/>
  <c r="S22" i="30"/>
  <c r="T22" i="30"/>
  <c r="U22" i="30"/>
  <c r="V22" i="30"/>
  <c r="W22" i="30"/>
  <c r="X22" i="30"/>
  <c r="Y22" i="30"/>
  <c r="Z22" i="30"/>
  <c r="P23" i="30"/>
  <c r="Q23" i="30"/>
  <c r="R23" i="30"/>
  <c r="S23" i="30"/>
  <c r="T23" i="30"/>
  <c r="U23" i="30"/>
  <c r="V23" i="30"/>
  <c r="W23" i="30"/>
  <c r="X23" i="30"/>
  <c r="Y23" i="30"/>
  <c r="Z23" i="30"/>
  <c r="O22" i="30"/>
  <c r="O23" i="30"/>
  <c r="O21" i="30"/>
  <c r="P16" i="30"/>
  <c r="Q16" i="30"/>
  <c r="R16" i="30"/>
  <c r="S16" i="30"/>
  <c r="T16" i="30"/>
  <c r="U16" i="30"/>
  <c r="V16" i="30"/>
  <c r="W16" i="30"/>
  <c r="X16" i="30"/>
  <c r="Z16" i="30"/>
  <c r="P17" i="30"/>
  <c r="Q17" i="30"/>
  <c r="R17" i="30"/>
  <c r="S17" i="30"/>
  <c r="T17" i="30"/>
  <c r="U17" i="30"/>
  <c r="V17" i="30"/>
  <c r="W17" i="30"/>
  <c r="X17" i="30"/>
  <c r="Y17" i="30"/>
  <c r="Z17" i="30"/>
  <c r="P18" i="30"/>
  <c r="Q18" i="30"/>
  <c r="R18" i="30"/>
  <c r="S18" i="30"/>
  <c r="T18" i="30"/>
  <c r="U18" i="30"/>
  <c r="V18" i="30"/>
  <c r="W18" i="30"/>
  <c r="X18" i="30"/>
  <c r="Y18" i="30"/>
  <c r="Z18" i="30"/>
  <c r="O17" i="30"/>
  <c r="O18" i="30"/>
  <c r="O16" i="30"/>
  <c r="H39" i="29" l="1"/>
  <c r="S44" i="30"/>
  <c r="U44" i="30"/>
  <c r="P44" i="30"/>
  <c r="P45" i="30" s="1"/>
  <c r="W28" i="30"/>
  <c r="S28" i="30"/>
  <c r="X49" i="30"/>
  <c r="O28" i="30"/>
  <c r="T49" i="30"/>
  <c r="U48" i="30"/>
  <c r="Q48" i="30"/>
  <c r="Y49" i="30"/>
  <c r="Q49" i="30"/>
  <c r="Y28" i="30"/>
  <c r="T44" i="30"/>
  <c r="T45" i="30" s="1"/>
  <c r="U28" i="30"/>
  <c r="P49" i="30"/>
  <c r="Z48" i="30"/>
  <c r="V48" i="30"/>
  <c r="R48" i="30"/>
  <c r="V49" i="30"/>
  <c r="R49" i="30"/>
  <c r="Z28" i="30"/>
  <c r="V28" i="30"/>
  <c r="R28" i="30"/>
  <c r="Y45" i="30"/>
  <c r="U45" i="30"/>
  <c r="Z45" i="30"/>
  <c r="V45" i="30"/>
  <c r="Q28" i="30"/>
  <c r="Q45" i="30"/>
  <c r="X28" i="30"/>
  <c r="P28" i="30"/>
  <c r="R45" i="30"/>
  <c r="T28" i="30"/>
  <c r="O48" i="30"/>
  <c r="W48" i="30"/>
  <c r="P48" i="30"/>
  <c r="T48" i="30"/>
  <c r="X48" i="30"/>
  <c r="O49" i="30"/>
  <c r="W49" i="30"/>
  <c r="O45" i="30"/>
  <c r="S45" i="30"/>
  <c r="W45" i="30"/>
  <c r="S48" i="30"/>
  <c r="X45" i="30"/>
  <c r="T50" i="30" l="1"/>
  <c r="X50" i="30"/>
  <c r="Q50" i="30"/>
  <c r="V50" i="30"/>
  <c r="P50" i="30"/>
  <c r="R50" i="30"/>
  <c r="W50" i="30"/>
  <c r="O50" i="30"/>
  <c r="H61" i="26" l="1"/>
  <c r="H52" i="26"/>
  <c r="Z21" i="30"/>
  <c r="Z49" i="30" s="1"/>
  <c r="Z50" i="30" s="1"/>
  <c r="Y16" i="30"/>
  <c r="Y48" i="30" s="1"/>
  <c r="Y50" i="30" s="1"/>
  <c r="O29" i="26"/>
  <c r="S21" i="30" l="1"/>
  <c r="S49" i="30" s="1"/>
  <c r="S50" i="30" s="1"/>
  <c r="U21" i="30"/>
  <c r="U49" i="30" s="1"/>
  <c r="U50" i="30" s="1"/>
  <c r="H59" i="26"/>
  <c r="H60" i="26"/>
  <c r="H54" i="30" l="1"/>
  <c r="H71" i="29" s="1"/>
  <c r="Z29" i="26"/>
  <c r="Y29" i="26"/>
  <c r="X29" i="26"/>
  <c r="W29" i="26"/>
  <c r="V29" i="26"/>
  <c r="U29" i="26"/>
  <c r="T29" i="26"/>
  <c r="S29" i="26"/>
  <c r="R29" i="26"/>
  <c r="Q29" i="26"/>
  <c r="P29" i="26"/>
  <c r="H27" i="22" l="1"/>
  <c r="H26" i="29"/>
  <c r="H25" i="29"/>
  <c r="H22" i="29"/>
  <c r="H21" i="29"/>
  <c r="H15" i="29"/>
  <c r="H14" i="29"/>
  <c r="H59" i="29" l="1"/>
  <c r="H48" i="29" l="1"/>
  <c r="H80" i="29" s="1"/>
  <c r="H81" i="29" s="1"/>
  <c r="H20" i="24"/>
  <c r="H19" i="24"/>
  <c r="H36" i="24" l="1"/>
  <c r="H17" i="22" s="1"/>
  <c r="H35" i="24"/>
  <c r="H16" i="22" s="1"/>
  <c r="H29" i="22"/>
  <c r="H24" i="22" l="1"/>
  <c r="H14" i="28" l="1"/>
  <c r="H13" i="28"/>
  <c r="H57" i="28"/>
  <c r="H58" i="28"/>
  <c r="H59" i="28"/>
  <c r="H52" i="28"/>
  <c r="H51" i="28"/>
  <c r="H50" i="28"/>
  <c r="H47" i="28"/>
  <c r="H46" i="28"/>
  <c r="H45" i="28"/>
  <c r="H40" i="28"/>
  <c r="H39" i="28"/>
  <c r="H38" i="28"/>
  <c r="H35" i="28"/>
  <c r="H34" i="28"/>
  <c r="H33" i="28"/>
  <c r="H30" i="28"/>
  <c r="H29" i="28"/>
  <c r="H28" i="28"/>
  <c r="H21" i="28"/>
  <c r="H20" i="28"/>
  <c r="H19" i="28"/>
  <c r="H18" i="28"/>
  <c r="H20" i="29"/>
  <c r="H20" i="22"/>
  <c r="H58" i="29" l="1"/>
  <c r="H23" i="22"/>
  <c r="H108" i="28"/>
  <c r="H109" i="28" s="1"/>
  <c r="H77" i="28"/>
  <c r="H112" i="28"/>
  <c r="H113" i="28" s="1"/>
  <c r="H117" i="28"/>
  <c r="H118" i="28" s="1"/>
  <c r="H119" i="28" s="1"/>
  <c r="H98" i="28"/>
  <c r="H102" i="28"/>
  <c r="H103" i="28" s="1"/>
  <c r="H94" i="28"/>
  <c r="H64" i="29" l="1"/>
  <c r="H78" i="28"/>
  <c r="H79" i="28" s="1"/>
  <c r="H149" i="28" s="1"/>
  <c r="H40" i="29"/>
  <c r="H95" i="28"/>
  <c r="H154" i="28"/>
  <c r="H99" i="28"/>
  <c r="H30" i="21" l="1"/>
  <c r="H18" i="22"/>
  <c r="H81" i="28"/>
  <c r="H82" i="28" s="1"/>
  <c r="H141" i="28"/>
  <c r="H84" i="28"/>
  <c r="H85" i="28" s="1"/>
  <c r="H41" i="29"/>
  <c r="H43" i="29" s="1"/>
  <c r="H153" i="28"/>
  <c r="H140" i="28"/>
  <c r="H33" i="29"/>
  <c r="H142" i="28" l="1"/>
  <c r="H25" i="22" s="1"/>
  <c r="H43" i="22" s="1"/>
  <c r="H86" i="28"/>
  <c r="H155" i="28"/>
  <c r="H32" i="29" s="1"/>
  <c r="H87" i="28"/>
  <c r="H148" i="28" s="1"/>
  <c r="H150" i="28" l="1"/>
  <c r="H163" i="28" s="1"/>
  <c r="H31" i="29"/>
  <c r="H60" i="29" s="1"/>
  <c r="H61" i="29" l="1"/>
  <c r="H67" i="29" s="1"/>
  <c r="H46" i="29"/>
  <c r="H82" i="29" s="1"/>
  <c r="H21" i="21" s="1"/>
  <c r="H28" i="21" l="1"/>
  <c r="H21" i="27"/>
  <c r="H17" i="21" l="1"/>
  <c r="B17" i="10"/>
  <c r="H35" i="22" l="1"/>
  <c r="B24" i="10"/>
  <c r="B18" i="10"/>
  <c r="B19" i="10" s="1"/>
  <c r="B23" i="10" s="1"/>
  <c r="H29" i="21" l="1"/>
  <c r="H36" i="22"/>
  <c r="H37" i="22"/>
  <c r="H39" i="22" s="1"/>
  <c r="H49" i="22" l="1"/>
  <c r="H50" i="22" s="1"/>
  <c r="H69" i="29" s="1"/>
  <c r="H40" i="22"/>
  <c r="H56" i="22" s="1"/>
  <c r="H57" i="22" s="1"/>
  <c r="H70" i="29" s="1"/>
  <c r="H72" i="29" l="1"/>
  <c r="H74" i="29" s="1"/>
  <c r="H15" i="21" s="1"/>
  <c r="H18" i="21" s="1"/>
  <c r="H19" i="21" s="1"/>
  <c r="H23" i="21" l="1"/>
  <c r="H24" i="21" s="1"/>
</calcChain>
</file>

<file path=xl/comments1.xml><?xml version="1.0" encoding="utf-8"?>
<comments xmlns="http://schemas.openxmlformats.org/spreadsheetml/2006/main">
  <authors>
    <author>Auteur</author>
  </authors>
  <commentList>
    <comment ref="B23" authorId="0">
      <text>
        <r>
          <rPr>
            <sz val="8"/>
            <color indexed="81"/>
            <rFont val="Tahoma"/>
            <family val="2"/>
          </rPr>
          <t>In all cases (a part of) the pink cells need to include a remark on what is specific to this pink cell.</t>
        </r>
      </text>
    </comment>
  </commentList>
</comments>
</file>

<file path=xl/comments2.xml><?xml version="1.0" encoding="utf-8"?>
<comments xmlns="http://schemas.openxmlformats.org/spreadsheetml/2006/main">
  <authors>
    <author>Auteur</author>
  </authors>
  <commentList>
    <comment ref="H45" authorId="0">
      <text>
        <r>
          <rPr>
            <sz val="8"/>
            <color indexed="81"/>
            <rFont val="Tahoma"/>
            <family val="2"/>
          </rPr>
          <t xml:space="preserve">Changes made to this cell due to data confidentiality 
</t>
        </r>
      </text>
    </comment>
    <comment ref="H46" authorId="0">
      <text>
        <r>
          <rPr>
            <sz val="8"/>
            <color indexed="81"/>
            <rFont val="Tahoma"/>
            <family val="2"/>
          </rPr>
          <t xml:space="preserve">Changes made to this cell due to data confidentiality 
</t>
        </r>
      </text>
    </comment>
    <comment ref="H47" authorId="0">
      <text>
        <r>
          <rPr>
            <sz val="8"/>
            <color indexed="81"/>
            <rFont val="Tahoma"/>
            <family val="2"/>
          </rPr>
          <t xml:space="preserve">Changes made to this cell due to data confidentiality 
</t>
        </r>
      </text>
    </comment>
    <comment ref="H48" authorId="0">
      <text>
        <r>
          <rPr>
            <sz val="8"/>
            <color indexed="81"/>
            <rFont val="Tahoma"/>
            <family val="2"/>
          </rPr>
          <t xml:space="preserve">Changes made to this cell due to data confidentiality 
</t>
        </r>
      </text>
    </comment>
  </commentList>
</comments>
</file>

<file path=xl/comments3.xml><?xml version="1.0" encoding="utf-8"?>
<comments xmlns="http://schemas.openxmlformats.org/spreadsheetml/2006/main">
  <authors>
    <author>Auteur</author>
  </authors>
  <commentList>
    <comment ref="K17" authorId="0">
      <text>
        <r>
          <rPr>
            <sz val="8"/>
            <color indexed="81"/>
            <rFont val="Tahoma"/>
            <family val="2"/>
          </rPr>
          <t xml:space="preserve">Changes made to these cells due to data confidentiality 
</t>
        </r>
      </text>
    </comment>
    <comment ref="K22" authorId="0">
      <text>
        <r>
          <rPr>
            <sz val="8"/>
            <color indexed="81"/>
            <rFont val="Tahoma"/>
            <family val="2"/>
          </rPr>
          <t xml:space="preserve">Changes made to these cells due to data confidentiality 
</t>
        </r>
      </text>
    </comment>
    <comment ref="K27" authorId="0">
      <text>
        <r>
          <rPr>
            <sz val="8"/>
            <color indexed="81"/>
            <rFont val="Tahoma"/>
            <family val="2"/>
          </rPr>
          <t xml:space="preserve">Changes made to these cells due to data confidentiality 
</t>
        </r>
      </text>
    </comment>
    <comment ref="H30" authorId="0">
      <text>
        <r>
          <rPr>
            <sz val="8"/>
            <color indexed="81"/>
            <rFont val="Tahoma"/>
            <family val="2"/>
          </rPr>
          <t xml:space="preserve">Changes made to these cells due to data confidentiality 
</t>
        </r>
      </text>
    </comment>
    <comment ref="H31" authorId="0">
      <text>
        <r>
          <rPr>
            <sz val="8"/>
            <color indexed="81"/>
            <rFont val="Tahoma"/>
            <family val="2"/>
          </rPr>
          <t xml:space="preserve">Changes made to these cells due to data confidentiality 
</t>
        </r>
      </text>
    </comment>
    <comment ref="K37" authorId="0">
      <text>
        <r>
          <rPr>
            <sz val="8"/>
            <color indexed="81"/>
            <rFont val="Tahoma"/>
            <family val="2"/>
          </rPr>
          <t xml:space="preserve">Changes made to these cells due to data confidentiality 
</t>
        </r>
      </text>
    </comment>
  </commentList>
</comments>
</file>

<file path=xl/comments4.xml><?xml version="1.0" encoding="utf-8"?>
<comments xmlns="http://schemas.openxmlformats.org/spreadsheetml/2006/main">
  <authors>
    <author>Auteur</author>
  </authors>
  <commentList>
    <comment ref="H39" authorId="0">
      <text>
        <r>
          <rPr>
            <sz val="8"/>
            <color indexed="81"/>
            <rFont val="Tahoma"/>
            <family val="2"/>
          </rPr>
          <t xml:space="preserve">Changes made to these cells due to data confidentiality 
</t>
        </r>
      </text>
    </comment>
    <comment ref="H43" authorId="0">
      <text>
        <r>
          <rPr>
            <sz val="8"/>
            <color indexed="81"/>
            <rFont val="Tahoma"/>
            <family val="2"/>
          </rPr>
          <t xml:space="preserve">Changes made to these cells due to data confidentiality 
</t>
        </r>
      </text>
    </comment>
  </commentList>
</comments>
</file>

<file path=xl/comments5.xml><?xml version="1.0" encoding="utf-8"?>
<comments xmlns="http://schemas.openxmlformats.org/spreadsheetml/2006/main">
  <authors>
    <author>Auteur</author>
  </authors>
  <commentList>
    <comment ref="H64" authorId="0">
      <text>
        <r>
          <rPr>
            <sz val="8"/>
            <color indexed="81"/>
            <rFont val="Tahoma"/>
            <family val="2"/>
          </rPr>
          <t xml:space="preserve">Changes made to these cells due to data confidentiality 
</t>
        </r>
      </text>
    </comment>
    <comment ref="H68" authorId="0">
      <text>
        <r>
          <rPr>
            <sz val="8"/>
            <color indexed="81"/>
            <rFont val="Tahoma"/>
            <family val="2"/>
          </rPr>
          <t xml:space="preserve">Changes made to these cells due to data confidentiality 
</t>
        </r>
      </text>
    </comment>
    <comment ref="H81" authorId="0">
      <text>
        <r>
          <rPr>
            <sz val="8"/>
            <color indexed="81"/>
            <rFont val="Tahoma"/>
            <family val="2"/>
          </rPr>
          <t>Calculation based on assumptions and choices made in tariff calculation for 2017</t>
        </r>
      </text>
    </comment>
    <comment ref="H84" authorId="0">
      <text>
        <r>
          <rPr>
            <sz val="8"/>
            <color indexed="81"/>
            <rFont val="Tahoma"/>
            <family val="2"/>
          </rPr>
          <t xml:space="preserve">New calculation of RAB value per ultimo 2015 . From this tariff decision on, we use this new calculation as it is more in line with the other RAB formulas. </t>
        </r>
      </text>
    </comment>
    <comment ref="H125" authorId="0">
      <text>
        <r>
          <rPr>
            <sz val="8"/>
            <color indexed="81"/>
            <rFont val="Tahoma"/>
            <family val="2"/>
          </rPr>
          <t xml:space="preserve">Changes made to these cells due to data confidentiality 
</t>
        </r>
      </text>
    </comment>
    <comment ref="H131" authorId="0">
      <text>
        <r>
          <rPr>
            <sz val="8"/>
            <color indexed="81"/>
            <rFont val="Tahoma"/>
            <family val="2"/>
          </rPr>
          <t xml:space="preserve">Changes made to these cells due to data confidentiality 
</t>
        </r>
      </text>
    </comment>
    <comment ref="H158" authorId="0">
      <text>
        <r>
          <rPr>
            <sz val="8"/>
            <color indexed="81"/>
            <rFont val="Tahoma"/>
            <family val="2"/>
          </rPr>
          <t xml:space="preserve">Changes made to this cell due to data confidentiality 
</t>
        </r>
      </text>
    </comment>
    <comment ref="H159" authorId="0">
      <text>
        <r>
          <rPr>
            <sz val="8"/>
            <color indexed="81"/>
            <rFont val="Tahoma"/>
            <family val="2"/>
          </rPr>
          <t xml:space="preserve">Changes made to this cell due to data confidentiality 
</t>
        </r>
      </text>
    </comment>
    <comment ref="H160" authorId="0">
      <text>
        <r>
          <rPr>
            <sz val="8"/>
            <color indexed="81"/>
            <rFont val="Tahoma"/>
            <family val="2"/>
          </rPr>
          <t xml:space="preserve">Changes made to this cell due to data confidentiality 
</t>
        </r>
      </text>
    </comment>
  </commentList>
</comments>
</file>

<file path=xl/comments6.xml><?xml version="1.0" encoding="utf-8"?>
<comments xmlns="http://schemas.openxmlformats.org/spreadsheetml/2006/main">
  <authors>
    <author>Auteur</author>
  </authors>
  <commentList>
    <comment ref="Z52" authorId="0">
      <text>
        <r>
          <rPr>
            <sz val="8"/>
            <color indexed="81"/>
            <rFont val="Tahoma"/>
            <family val="2"/>
          </rPr>
          <t xml:space="preserve">Changes made to these cells due to data confidentiality 
</t>
        </r>
      </text>
    </comment>
  </commentList>
</comments>
</file>

<file path=xl/comments7.xml><?xml version="1.0" encoding="utf-8"?>
<comments xmlns="http://schemas.openxmlformats.org/spreadsheetml/2006/main">
  <authors>
    <author>Auteur</author>
  </authors>
  <commentList>
    <comment ref="H18" authorId="0">
      <text>
        <r>
          <rPr>
            <sz val="8"/>
            <color indexed="81"/>
            <rFont val="Tahoma"/>
            <family val="2"/>
          </rPr>
          <t>Note: forward referencing</t>
        </r>
      </text>
    </comment>
  </commentList>
</comments>
</file>

<file path=xl/sharedStrings.xml><?xml version="1.0" encoding="utf-8"?>
<sst xmlns="http://schemas.openxmlformats.org/spreadsheetml/2006/main" count="951" uniqueCount="453">
  <si>
    <t>Data</t>
  </si>
  <si>
    <t>Input --&gt;</t>
  </si>
  <si>
    <t>Tariff Calculation Contour Global Bonaire 2020 (incl. profit sharing over 2018)</t>
  </si>
  <si>
    <t>About this file</t>
  </si>
  <si>
    <t>Case number</t>
  </si>
  <si>
    <t>Title</t>
  </si>
  <si>
    <t>Title page</t>
  </si>
  <si>
    <t>File status</t>
  </si>
  <si>
    <t>Final version? (y/n)</t>
  </si>
  <si>
    <t>No</t>
  </si>
  <si>
    <t>Published? (y/n)</t>
  </si>
  <si>
    <t>Is this file legally part of above decision? (y/n)</t>
  </si>
  <si>
    <t>Decision title</t>
  </si>
  <si>
    <t>Decision reference</t>
  </si>
  <si>
    <t>Other remarks</t>
  </si>
  <si>
    <t>Production price decision 2020 (productprijsbeschikking 2020)</t>
  </si>
  <si>
    <t>Does this file contain confidential information</t>
  </si>
  <si>
    <t>Legend to cell coloring</t>
  </si>
  <si>
    <t>Description</t>
  </si>
  <si>
    <t>Data and input (source required)</t>
  </si>
  <si>
    <t>Value that is drawn from another sheet or cell without calculation</t>
  </si>
  <si>
    <t>Calculated value</t>
  </si>
  <si>
    <t>Result / calculated value that is referred to on another sheet</t>
  </si>
  <si>
    <t>Empty cell (not zero) used in a formula range</t>
  </si>
  <si>
    <t>Exceptional cells</t>
  </si>
  <si>
    <t>Value or calculation that needs special attention or explanation</t>
  </si>
  <si>
    <t>Input or calculation that is not yet up to date, pro memori or work in progress</t>
  </si>
  <si>
    <t>Sheet colors</t>
  </si>
  <si>
    <t>Model sheets</t>
  </si>
  <si>
    <t>Result</t>
  </si>
  <si>
    <t>Sheet with result/output</t>
  </si>
  <si>
    <t>Sheet with input</t>
  </si>
  <si>
    <t>Calculation</t>
  </si>
  <si>
    <t>Sheet with calculations</t>
  </si>
  <si>
    <t>Sheet not yet up to date / work in progress</t>
  </si>
  <si>
    <t>Explanatory sheets</t>
  </si>
  <si>
    <t>Empty sheet used for indexing</t>
  </si>
  <si>
    <t>Explanation</t>
  </si>
  <si>
    <t>Standardized sheets with information on the file</t>
  </si>
  <si>
    <t>Explanation to this file</t>
  </si>
  <si>
    <t>Explanatory notes</t>
  </si>
  <si>
    <t>Source overview and specifications</t>
  </si>
  <si>
    <t>On this sheet, an overview can be found in which the ACM describes the sources used for data and calculations in this file.</t>
  </si>
  <si>
    <t>Each input sheet contains a column 'Source', in which the sources are referred to by their shortened name. These sources are further explained in the table below.</t>
  </si>
  <si>
    <t>Shortened name</t>
  </si>
  <si>
    <t>External file name</t>
  </si>
  <si>
    <t>Additional information on this source</t>
  </si>
  <si>
    <t>As referred to in Source column</t>
  </si>
  <si>
    <t>Exact file name</t>
  </si>
  <si>
    <t>Date received, email, file location</t>
  </si>
  <si>
    <t>Result: calculation of production price 2020</t>
  </si>
  <si>
    <t>Description result</t>
  </si>
  <si>
    <t>Constant</t>
  </si>
  <si>
    <t>Remark</t>
  </si>
  <si>
    <t>Unit</t>
  </si>
  <si>
    <t xml:space="preserve">Parameters </t>
  </si>
  <si>
    <t>Description data</t>
  </si>
  <si>
    <t xml:space="preserve">The development of the CPI of Q3 year T and Q3 year T-1 will be used as the estimated inflation for the year T+1. The estimated inflation is rounded to one decimal. </t>
  </si>
  <si>
    <t>As of the development of the CPI between Q3 2017 and Q3 2018, the 2017 = 100 serie is used. Before this, the 2010 = 100 serie has been used.</t>
  </si>
  <si>
    <t>Source</t>
  </si>
  <si>
    <t>Comments</t>
  </si>
  <si>
    <t>%</t>
  </si>
  <si>
    <t>CPI gegevens CBS (2010=100)</t>
  </si>
  <si>
    <t>Estimated inflation 2017</t>
  </si>
  <si>
    <t>Estimated inflation 2018</t>
  </si>
  <si>
    <t>Estimated inflation 2019</t>
  </si>
  <si>
    <t>CPI gegevens CBS (2017=100)</t>
  </si>
  <si>
    <t>WACC 2018</t>
  </si>
  <si>
    <t>Profit sharing parameter</t>
  </si>
  <si>
    <t>Estimated inflation 2020</t>
  </si>
  <si>
    <t>WACC Decision 2017-2019</t>
  </si>
  <si>
    <t>WACC 2020</t>
  </si>
  <si>
    <t>WACC Decision 2020-2022</t>
  </si>
  <si>
    <t>USD, pl 2018</t>
  </si>
  <si>
    <t>Cost estimation 2018</t>
  </si>
  <si>
    <t>In the 2019 tariff a correction was taken into account to correct the use of a wrong WACC for 2018. This effect is now corrected on the cost estimation for 2018 before applying the profit sharing.</t>
  </si>
  <si>
    <t>Difference from using wrong WACC, corrected in production price 2019</t>
  </si>
  <si>
    <t>Total estimated cost level 2018</t>
  </si>
  <si>
    <t>Incl. all additional costs taken into account</t>
  </si>
  <si>
    <t>kWh</t>
  </si>
  <si>
    <t>Other relevant information</t>
  </si>
  <si>
    <t>Estimated production volume for 2018</t>
  </si>
  <si>
    <t>Regular OPEX (excl. fuel)</t>
  </si>
  <si>
    <t>Personnel expenses</t>
  </si>
  <si>
    <t>Other operating expenses</t>
  </si>
  <si>
    <t>Other information on OPEX and other income</t>
  </si>
  <si>
    <t>Annual account CGB 2018</t>
  </si>
  <si>
    <t>Part 1: RAB power plant (initial investment)</t>
  </si>
  <si>
    <t>Initial costs power plant (value 20 Aug 2010)</t>
  </si>
  <si>
    <t>USD</t>
  </si>
  <si>
    <t>Mazars-report 30 Nov 2015, appendix A</t>
  </si>
  <si>
    <t>Transaction costs financing</t>
  </si>
  <si>
    <t>Residual value power plant (value 20 Aug 2025)</t>
  </si>
  <si>
    <t>PPA period in years</t>
  </si>
  <si>
    <t>Years</t>
  </si>
  <si>
    <t>Part 2: yearly investments (regular add-ons)</t>
  </si>
  <si>
    <t>RAB investments 2016</t>
  </si>
  <si>
    <t xml:space="preserve">Office </t>
  </si>
  <si>
    <t>Investment</t>
  </si>
  <si>
    <t>Depreciation period</t>
  </si>
  <si>
    <t>years</t>
  </si>
  <si>
    <t xml:space="preserve">Investment date </t>
  </si>
  <si>
    <t>date</t>
  </si>
  <si>
    <t>Software</t>
  </si>
  <si>
    <t>Computer equipment</t>
  </si>
  <si>
    <t>RAB investments 2017</t>
  </si>
  <si>
    <t>Software / computer equipment</t>
  </si>
  <si>
    <t>Realized production levels and fuel costs</t>
  </si>
  <si>
    <t>Data on cost estimation for 2018 and realized costs of 2018</t>
  </si>
  <si>
    <t>Then the realized costs of 2018 are presented. The source of the costs data is the annual account of 2018 plus additional data from CGB. The source of the production data is an information request by ACM to ContourGlobal</t>
  </si>
  <si>
    <t>For the realized capital costs, ACM will not apply CPI to the RAB level of investments to translate depreciation costs or costs of capital over years. By using a nominal WACC, CG is fully compensated for costs of inflation on the invested assets. As the RAB is not indexed, depreciation levels are constant over time, and do not need te be indexed with CPI.</t>
  </si>
  <si>
    <t>Realized costs 2018: Operational costs</t>
  </si>
  <si>
    <t>Wind</t>
  </si>
  <si>
    <t>barrel / kWh</t>
  </si>
  <si>
    <t>Investment batteries</t>
  </si>
  <si>
    <t>Investment extra diesel generators</t>
  </si>
  <si>
    <t>Extra operational costs related to additional production facilities</t>
  </si>
  <si>
    <t>Extra operational costs batteries</t>
  </si>
  <si>
    <t>Estimated production for 2020</t>
  </si>
  <si>
    <t>Production by fuel in 2020</t>
  </si>
  <si>
    <t>Totals over 2020</t>
  </si>
  <si>
    <t>Total amount of production by ContourGlobal in 2020</t>
  </si>
  <si>
    <t>Specific estimations for OPEX 2020</t>
  </si>
  <si>
    <t>Estimated (extra) operational costs in 2020</t>
  </si>
  <si>
    <t>USD, pl 2020</t>
  </si>
  <si>
    <t>Information on yield</t>
  </si>
  <si>
    <t>Part 3: expansion investments (capacity add-on realized in 2019)</t>
  </si>
  <si>
    <t>Estimated additional capital costs in 2020 resulting from major occurrence</t>
  </si>
  <si>
    <t>liter / month</t>
  </si>
  <si>
    <t>Production by renewables in 2020</t>
  </si>
  <si>
    <t>Correction for volume effect and profit sharing effect over 2018</t>
  </si>
  <si>
    <t>Data on cost estimation 2018 and costs realization 2018</t>
  </si>
  <si>
    <t>Total regular OPEX</t>
  </si>
  <si>
    <t>Data on RAB</t>
  </si>
  <si>
    <t>RAB calculation 2018</t>
  </si>
  <si>
    <t>RAB investments 2018</t>
  </si>
  <si>
    <t>Initial costs power plant excluding transaction costs (value 20 Aug 2010)</t>
  </si>
  <si>
    <t>Decrease in value during PPA-period</t>
  </si>
  <si>
    <t>Yearly depreciation</t>
  </si>
  <si>
    <t>RAB value of Powerplant (initial investment) ultimo 2015</t>
  </si>
  <si>
    <t>This is the exact formula that was used for estimating the cost level end of 2015 in the tariff decision for 2017</t>
  </si>
  <si>
    <t>RAB value of Powerplant (initial investment) primo 2020</t>
  </si>
  <si>
    <t>RAB value of Powerplant (initial investment) ultimo 2020</t>
  </si>
  <si>
    <t>Average RAB value of Powerplant (initial investment) during 2020</t>
  </si>
  <si>
    <t>Yearly depreciation investments in this category</t>
  </si>
  <si>
    <t>RAB value of regular investments 2016 ultimo 2018</t>
  </si>
  <si>
    <t>RAB value of regular investments 2017 ultimo 2018</t>
  </si>
  <si>
    <t>depreciation in 2018</t>
  </si>
  <si>
    <t>RAB value of regular investments 2018 ultimo 2018</t>
  </si>
  <si>
    <t>Total Depreciation 2018</t>
  </si>
  <si>
    <t>Total capital costs 2018 for profit sharing</t>
  </si>
  <si>
    <t>RAB value of Powerplant (initial investment) ultimo 2018</t>
  </si>
  <si>
    <t>RAB calculation (2018 and 2020)</t>
  </si>
  <si>
    <t>RAB value of investment primo 2020</t>
  </si>
  <si>
    <t>RAB value of investment ultimo 2020</t>
  </si>
  <si>
    <t>Average RAB value of investment during 2020</t>
  </si>
  <si>
    <t>Total capital costs for cost base 2020</t>
  </si>
  <si>
    <t>Cost base (capital costs) for estimating expected costs in 2020</t>
  </si>
  <si>
    <t xml:space="preserve">Estimated costs and production 2018 </t>
  </si>
  <si>
    <t>Capital costs 2018</t>
  </si>
  <si>
    <t>Realized costs and production 2018</t>
  </si>
  <si>
    <t>Calculation estimated and realized costs 2018</t>
  </si>
  <si>
    <t>USD, pl 2018 / kWh</t>
  </si>
  <si>
    <t>Cost estimation variable costs corrected for realized volume 2018</t>
  </si>
  <si>
    <t>Cost estimation total costs corrected for realized volume 2018</t>
  </si>
  <si>
    <t>Calculation volume correction</t>
  </si>
  <si>
    <t>Cost covering of fixed costs 2018</t>
  </si>
  <si>
    <t>Total realized income for covering fixed costs in 2018, based on realized volumes</t>
  </si>
  <si>
    <t>Estimated fixed costs 2018</t>
  </si>
  <si>
    <t>Cost cover was higher than estimated fixed costs: add this (negative) amount to tariff income 2020</t>
  </si>
  <si>
    <t>Calculation of profit sharing correction</t>
  </si>
  <si>
    <t>Profit sharing</t>
  </si>
  <si>
    <t>Realized profit over 2018 (after volume correction)</t>
  </si>
  <si>
    <t>Profit sharing amount</t>
  </si>
  <si>
    <t>Calculation total income 2020 and production price 2020</t>
  </si>
  <si>
    <t>Calculation production price</t>
  </si>
  <si>
    <t>Calculation production price 2020</t>
  </si>
  <si>
    <t>USD, price level 2020</t>
  </si>
  <si>
    <t>USD, pl 2016</t>
  </si>
  <si>
    <t>Total amount of regular OPEX in estimated cost level 2018</t>
  </si>
  <si>
    <t>Regular OPEX 2016 (price level 2016)</t>
  </si>
  <si>
    <t>Yield production by HFO (kWh)</t>
  </si>
  <si>
    <t>Monthly LFO usage start/stop and maintenance</t>
  </si>
  <si>
    <t>Yield production by LFO (kWh)</t>
  </si>
  <si>
    <t>liter / kWh</t>
  </si>
  <si>
    <t xml:space="preserve">Estimation real estate tax for 2020 </t>
  </si>
  <si>
    <t>Part 2: yearly investments (regular add-ons and replacements)</t>
  </si>
  <si>
    <t>Note: all capital costs are regarded as fixed (based on lumpy character and lack of direct relation with kWh)</t>
  </si>
  <si>
    <t>Total costs considered as variable</t>
  </si>
  <si>
    <t>Total realized capital costs for profit sharing</t>
  </si>
  <si>
    <t>Total realized costs</t>
  </si>
  <si>
    <t>Realized costs 2018</t>
  </si>
  <si>
    <t>Estimated costs 2018</t>
  </si>
  <si>
    <t>Data on cost estimation 2020</t>
  </si>
  <si>
    <t>Regular OPEX 2018</t>
  </si>
  <si>
    <t>Calculation capital costs for profit sharing</t>
  </si>
  <si>
    <t>RAB value 'medio' 2020</t>
  </si>
  <si>
    <t>Depreciation in 2020</t>
  </si>
  <si>
    <t>Capital costs in 2020 (based on WACC for 2020)</t>
  </si>
  <si>
    <t>RAB value ultimo 2020</t>
  </si>
  <si>
    <t>Total capital costs</t>
  </si>
  <si>
    <t>OPEX estimation for 2020</t>
  </si>
  <si>
    <t>Additional OPEX: Real estate tax (expected for 2020)</t>
  </si>
  <si>
    <t>OPEX related to batteries (investment in 2019)</t>
  </si>
  <si>
    <t>OPEX related to new gensets (investment in 2019)</t>
  </si>
  <si>
    <t>Expected OPEX in 2020 related to major occurrences</t>
  </si>
  <si>
    <t>USD, pl 2020 / MWh</t>
  </si>
  <si>
    <t>FIN</t>
  </si>
  <si>
    <t>Extra operational costs new generators per MWh</t>
  </si>
  <si>
    <t>Calculation expected costs for 2020 (excluding fuel)</t>
  </si>
  <si>
    <t>Total capital costs estimation (incl. major occurrences)</t>
  </si>
  <si>
    <t>Total expected costs 2020</t>
  </si>
  <si>
    <t>Data on fuel and production</t>
  </si>
  <si>
    <t>HFO</t>
  </si>
  <si>
    <t>Weighted average purchasing price</t>
  </si>
  <si>
    <t>USD / barrel</t>
  </si>
  <si>
    <t>Fuel volume consumed for production</t>
  </si>
  <si>
    <t>barrel</t>
  </si>
  <si>
    <t>Total electricity production with HFO</t>
  </si>
  <si>
    <t>LFO</t>
  </si>
  <si>
    <t>USD / liter</t>
  </si>
  <si>
    <t>liter</t>
  </si>
  <si>
    <t>Total electricity production with LFO</t>
  </si>
  <si>
    <t>Production by renewable sources</t>
  </si>
  <si>
    <t>Total production by renewable sources</t>
  </si>
  <si>
    <t xml:space="preserve">Total production </t>
  </si>
  <si>
    <t xml:space="preserve">Year: 
Month: </t>
  </si>
  <si>
    <t>2017
November</t>
  </si>
  <si>
    <t>2017
December</t>
  </si>
  <si>
    <t>2018
January</t>
  </si>
  <si>
    <t>2018
February</t>
  </si>
  <si>
    <t>2018
March</t>
  </si>
  <si>
    <t>2018
April</t>
  </si>
  <si>
    <t>2018
May</t>
  </si>
  <si>
    <t>2018
June</t>
  </si>
  <si>
    <t>2018
July</t>
  </si>
  <si>
    <t>2018
August</t>
  </si>
  <si>
    <t>2018
September</t>
  </si>
  <si>
    <t>2018
October</t>
  </si>
  <si>
    <t>2018
November</t>
  </si>
  <si>
    <t>2018
December</t>
  </si>
  <si>
    <t>Remarks</t>
  </si>
  <si>
    <t>Expected capital costs for 2020, including major occurrences</t>
  </si>
  <si>
    <t>Capital costs RAB power plant (initial investment - part 1)</t>
  </si>
  <si>
    <t>Capital costs yearly investments (regular add-ons and replacements - part 2)</t>
  </si>
  <si>
    <t>Capital costs expansion investments (capacity add-on realized in 2019 - part 3)</t>
  </si>
  <si>
    <t>Total OPEX estimation regular and additional OPEX</t>
  </si>
  <si>
    <t>Total OPEX estimation related to major occurrences</t>
  </si>
  <si>
    <t>Data on income from production</t>
  </si>
  <si>
    <t>Information from monthly invoice to WEB</t>
  </si>
  <si>
    <t>Production price as calculated by CG</t>
  </si>
  <si>
    <t>USD / kWh</t>
  </si>
  <si>
    <t>Volume sold to WEB</t>
  </si>
  <si>
    <t>Total production in 2018</t>
  </si>
  <si>
    <t>Realized production volume 2018</t>
  </si>
  <si>
    <t>General</t>
  </si>
  <si>
    <t>Number of liters in a barrel</t>
  </si>
  <si>
    <t>Liters</t>
  </si>
  <si>
    <t>barrels / kWh</t>
  </si>
  <si>
    <t>Estimated part of production by HFO (of expected production with fuel)</t>
  </si>
  <si>
    <t>Expected production</t>
  </si>
  <si>
    <t>Expected total production for full year</t>
  </si>
  <si>
    <t>Split up of expected yearly production by source</t>
  </si>
  <si>
    <t>Expected HFO production</t>
  </si>
  <si>
    <t>Expected LFO production</t>
  </si>
  <si>
    <t>Expected production from renewable sources</t>
  </si>
  <si>
    <t>Production price excluding fuel component</t>
  </si>
  <si>
    <t>Paramaters on fuel use and expected production (from production price decision for 2018)</t>
  </si>
  <si>
    <t>Expected part of production with fuel in 2018</t>
  </si>
  <si>
    <t>Estimated fuel yield for HFO and LFO combined</t>
  </si>
  <si>
    <t>Fuel use</t>
  </si>
  <si>
    <t>Data on fuel and production 2018</t>
  </si>
  <si>
    <t>Parameters of production price decision for 2018</t>
  </si>
  <si>
    <t>2017
October</t>
  </si>
  <si>
    <t>Description calculation</t>
  </si>
  <si>
    <t xml:space="preserve">Production price as calculated by CG </t>
  </si>
  <si>
    <t>Production price as set in production price decision</t>
  </si>
  <si>
    <t>Production price excluding fuel component CG (as set for full year)</t>
  </si>
  <si>
    <t>Fuel income</t>
  </si>
  <si>
    <t>Calculation realized fuel component</t>
  </si>
  <si>
    <t>Fuel costs</t>
  </si>
  <si>
    <t>Costs HFO fuel</t>
  </si>
  <si>
    <t>Costs LFO fuel</t>
  </si>
  <si>
    <t>Total fuel costs</t>
  </si>
  <si>
    <t>Total fuel price correction per month</t>
  </si>
  <si>
    <t>Negative amount means: income was higher than costs, so add negative amount to income in 2020</t>
  </si>
  <si>
    <t>Data on fuel component 2020</t>
  </si>
  <si>
    <t>Expected production levels</t>
  </si>
  <si>
    <t>Part of total production by renewable sources</t>
  </si>
  <si>
    <t>Calculation of fuel costs</t>
  </si>
  <si>
    <t>Calculation expected costs for 2020 and income level 2020</t>
  </si>
  <si>
    <t>Income level for 2020</t>
  </si>
  <si>
    <t>Total expected costs for 2020</t>
  </si>
  <si>
    <t>Correction on income 2020 for volume effect 2018</t>
  </si>
  <si>
    <t>Correction on income 2020 for profit sharing over 2018</t>
  </si>
  <si>
    <t>Correction on income 2020 for fuel price difference in 2018</t>
  </si>
  <si>
    <t>Total income level for 2020</t>
  </si>
  <si>
    <t>Total effect of corrections (in price level 2020)</t>
  </si>
  <si>
    <t xml:space="preserve">Expected production level with LFO </t>
  </si>
  <si>
    <t>This is based on assumption of using 20.000 liters per month</t>
  </si>
  <si>
    <t>Part of production by fuel which is done with LFO</t>
  </si>
  <si>
    <t>Estimated production amounts 2020 and fuel information</t>
  </si>
  <si>
    <t>Most recent fuel prices</t>
  </si>
  <si>
    <t>HFO (November 2019)</t>
  </si>
  <si>
    <t>LFO (November 2019)</t>
  </si>
  <si>
    <t>Fuel prices (most recent)</t>
  </si>
  <si>
    <t>Fuel component for January 2020</t>
  </si>
  <si>
    <t>Calculation fuel component 2020</t>
  </si>
  <si>
    <t>Total income from fuel component</t>
  </si>
  <si>
    <t>CPI for Bonaire</t>
  </si>
  <si>
    <t>Estimated costs divided by estimated production</t>
  </si>
  <si>
    <t>Total estimated costs for profit sharing</t>
  </si>
  <si>
    <t>Total realized costs for profit sharing</t>
  </si>
  <si>
    <t>Total expected production volume</t>
  </si>
  <si>
    <t>USD, pl 2020 / kWh</t>
  </si>
  <si>
    <t>Fuel component (for January 2020)</t>
  </si>
  <si>
    <t>Production price CGB 2020 (based on fuel component for January 2020)</t>
  </si>
  <si>
    <t>WACC for electricity production only</t>
  </si>
  <si>
    <t>For the realized operational costs, the CPI is used to translate costs over years, as these are expected to develop with CPI. So price level is always mentioned in the Unit column.</t>
  </si>
  <si>
    <t>Realized costs 2018: Asset base</t>
  </si>
  <si>
    <t>n.a.</t>
  </si>
  <si>
    <t>Based on choice in method decision</t>
  </si>
  <si>
    <t>Calculation model for production price electricity CG for 2018</t>
  </si>
  <si>
    <t>Calculation production price CGB for 2018</t>
  </si>
  <si>
    <t>Calculation production price CGB for 2018, sheet 'calculation production price', cell E11</t>
  </si>
  <si>
    <t>Calculation production price CGB for 2018, sheet 'costs', cell E54</t>
  </si>
  <si>
    <t>Calculation production price CGB for 2018, sheet 'calculation production price', cell E16</t>
  </si>
  <si>
    <t>Calculation production price CGB for 2019</t>
  </si>
  <si>
    <t>First information request 2019</t>
  </si>
  <si>
    <t>Financial statements 2018 ContourGlobal Bonaire B.V. - incl auditors rep…</t>
  </si>
  <si>
    <t>The following sources were already used in earlier versions of the production price calculation, so in this case reference is made to these earlier versions</t>
  </si>
  <si>
    <t>Information request 2016: Power Purchase Agreement</t>
  </si>
  <si>
    <t>Information request 2016: Mazars report</t>
  </si>
  <si>
    <t>Information request 2017</t>
  </si>
  <si>
    <t>First use in production price decision 2017</t>
  </si>
  <si>
    <t>First use in production price decision 2018</t>
  </si>
  <si>
    <t>Information request 2018</t>
  </si>
  <si>
    <t>Information request 2018: data on HFO expansion</t>
  </si>
  <si>
    <t>First use in production price decision 2019</t>
  </si>
  <si>
    <t>Calculation production price CGB for 2018, sheet 'input'</t>
  </si>
  <si>
    <t>Based on US Barrel standard</t>
  </si>
  <si>
    <t>Calculation production price CGB for 2018, sheet 'Calculation production price'</t>
  </si>
  <si>
    <t>Note: for the years 2017-2019 only combined yield over LFO and HFO is known</t>
  </si>
  <si>
    <t>This RAB calculation follows the choices made in earlier decisions and calculations for CGB. The RAB and depreciation levels lead to a capital cost calculation over 2018 and an estimation for 2020, at the bottom of this sheet.</t>
  </si>
  <si>
    <t>Total RAB Value ultimo 2018</t>
  </si>
  <si>
    <t>For profit sharing we still use RAB on ultimo basis (just as we did in the original estimation), see notes above.</t>
  </si>
  <si>
    <t>Note: for part 2 ACM still uses 'ultimo value' based on assumption of constant asset base / continuous replacement, see notes above.</t>
  </si>
  <si>
    <t>Cumulative fuel correction 2018</t>
  </si>
  <si>
    <t>Calculation fuel correction 2018</t>
  </si>
  <si>
    <t>Fuel correction over 2018</t>
  </si>
  <si>
    <t>In case no price is known for a specific month (as no invoice was sent / no purchase was made), the fuel price for that month is taken equal to the month in advance.</t>
  </si>
  <si>
    <t>On this sheet all relevant data on fuel use, fuel prices and invoiced income are presented. The data are used to calculated the fuel correction over 2018, which compensates for differences in fuel prices, volumes used and realized yield (see sheet 'fuel correction 2018')</t>
  </si>
  <si>
    <t>Data on income from production price 2018</t>
  </si>
  <si>
    <t>HFO (October 2019)</t>
  </si>
  <si>
    <t>LFO (October 2019)</t>
  </si>
  <si>
    <t>Estimated production and cost developments</t>
  </si>
  <si>
    <t xml:space="preserve">On this sheet the fuel correction over 2018 is calculated. This fuel correction reflects the difference between the monthly income from the fuel component in 2018 and the actual monthly fuel costs in 2018. </t>
  </si>
  <si>
    <t xml:space="preserve">This correction reimburses the positive and negative effects of differences in 1) montly production needed (based on island demand and production by WEB), 2) availability of renewable sources (i.e. wind), 3) realized production mix between HFO and LFO, </t>
  </si>
  <si>
    <t xml:space="preserve">    4) realized fuel yields of HFO and LFO (compared to assumed fuel yield), 5) actual monthly fuel prices (compared to fuel component on T-3 basis).</t>
  </si>
  <si>
    <t>The volume correction is made to correct the realized income for over- or undercovering the fixed costs. When realized volume is higher that estimated volume, the cost cover of fixed costs is more than 100%, which means the production price was too high (in hindsight).</t>
  </si>
  <si>
    <t xml:space="preserve">The profit sharing of 50% is calculated over the difference between realized costs and expected costs, where the expected costs are corrected for higher or lower realized volume. </t>
  </si>
  <si>
    <t>Costs considered as variable in the costs estimation for 2020</t>
  </si>
  <si>
    <t>Relevant for profit sharing over 2020</t>
  </si>
  <si>
    <t xml:space="preserve">This document contains the calculation of the production price of ContourGlobal B.V for 2020. The production price is based on an estimation of the cost of ContourGlobal in 2020 and several correction (including profit sharing results) over 2018. </t>
  </si>
  <si>
    <t>ACM estimates the cost of 2020 with the cost of 2018 as can be found in the annual account of ContourGlobal and other relevant information, for instance on major occurrences.</t>
  </si>
  <si>
    <t>Every sheet contains specific information on the calculation made and explanatory notes on details and exemptions.</t>
  </si>
  <si>
    <t>Cell colors numbers</t>
  </si>
  <si>
    <t>On this sheet the production price of ContourGlobal is calculated, consisting of the non-fuel part, which covers all costs excluding fuel, and the fuel component that applies for January 2020.</t>
  </si>
  <si>
    <t>Data on expected real estate tax</t>
  </si>
  <si>
    <t>https://www.acm.nl/nl/publicaties/beschikking-productieprijzen-elektriciteit-2019-bonaire-contourglobal-caribisch-nederland</t>
  </si>
  <si>
    <t>Rekenmodel ContourGlobal 2019</t>
  </si>
  <si>
    <t>https://www.acm.nl/nl/publicaties/rekenmodel-bij-beschikking-productieprijs-elektriciteit-2018-contourglobal-caribisch-nederland</t>
  </si>
  <si>
    <t>https://www.acm.nl/nl/publicaties/publicatie/16601/WACC-methode-elektriciteit-en-drinkwater-Caribisch-Nederland-2017-2019</t>
  </si>
  <si>
    <t>https://www.acm.nl/nl/publicaties/wacc-elektriciteit-en-drinkwater-caribisch-nederland-2020-2022</t>
  </si>
  <si>
    <t>Fuel consumption LFO in 2018</t>
  </si>
  <si>
    <t>Total production with LFO in 2018</t>
  </si>
  <si>
    <t>liters</t>
  </si>
  <si>
    <t>Information on yield and fuel use</t>
  </si>
  <si>
    <t xml:space="preserve">New formula, see remark in cell </t>
  </si>
  <si>
    <t>Calculation production price CGB for 2019, sheet 'WACC correction over 2018'</t>
  </si>
  <si>
    <t>Estimated variable costs per unit output (excl. fuel)</t>
  </si>
  <si>
    <t>https://opendata.cbs.nl/statline/#/CBS/nl/dataset/81122ned/table?ts=1571909642031</t>
  </si>
  <si>
    <t>https://opendata.cbs.nl/statline/#/CBS/nl/dataset/84046NED/table?ts=1571909504894</t>
  </si>
  <si>
    <t>This sheet shows the CPI and WACC used. Also, input for profit sharing is included.</t>
  </si>
  <si>
    <t>The first part of this sheet concerns the cost data that were used for setting the tariff for 2018. These were mainly based on the 2016 realisations.</t>
  </si>
  <si>
    <t>Estimated part of production by LFO (of expected production with fuel)</t>
  </si>
  <si>
    <t>On this sheet ACM presents the relevant data that is taken into acount when estimating the production and costs for 2020. Specifically the data on major occurrences is included, which influences the expected costs, production mix, fuel use and yields</t>
  </si>
  <si>
    <t>Also, the most recent fuel prices are included.</t>
  </si>
  <si>
    <t xml:space="preserve">On this sheet ACM calculated the correction for the volume effect and the profit sharing effect. Compared to calculations of last year, ACM refined the calculation method by taking into account the share of total costs that can be considered as 'variable'. </t>
  </si>
  <si>
    <t>Over- or under covering of estimated fixed costs 2018</t>
  </si>
  <si>
    <t>On this sheet the total income level for 2020 is calculated, including the effect of all corrections.The fuel component (valid for January 2020) is calculated as well. Both figures are used to calculate the production price for 2020 (January 2020) on the result sheet.</t>
  </si>
  <si>
    <t xml:space="preserve">   of which production with fuel in 2018</t>
  </si>
  <si>
    <t>Realised production volume with fuel in 2018</t>
  </si>
  <si>
    <t>Estimated production volume with fuel in 2020</t>
  </si>
  <si>
    <t>Existing and new generators</t>
  </si>
  <si>
    <t>On this sheet also the variable part of the total costs is calculated. This should also be considered as a result of this calculation model, as this amount is used when calculating the volume effect and profit sharing over 2020. It is also used as a proxy for variable costs in the profit sharing over 2018.</t>
  </si>
  <si>
    <t>Of which is considered variable costs:</t>
  </si>
  <si>
    <t>Estimate of percentage of OPEX considered as variable costs (directly related to kWh)</t>
  </si>
  <si>
    <t>Variable costs expressed as a percentage of OPEX:</t>
  </si>
  <si>
    <t>Non-variabel fuel costs</t>
  </si>
  <si>
    <t>Corrections made to cost estimation 2018: double management fee</t>
  </si>
  <si>
    <t>Corrections made to cost estimation 2018: wrong WACC for 2018</t>
  </si>
  <si>
    <t xml:space="preserve">In the 2018 cost estimation an extra amount was included for reimbursement of the management fee that was not part of the tariff in 2017. For the purpose of profit sharing, this extra amount should not be part of of the cost estimation for 2018, as it is not related to (expected) activities in 2018 and will not be part of the actual costs in 2018. </t>
  </si>
  <si>
    <t>On estimated costs: We need to make two corrections to the cost estimation for 2018: first we exclude an extra amount for a management fee that not applied to 2018, and also a later correction (in tariff 2019) was made concerning the use of a wrong WACC for 2018.</t>
  </si>
  <si>
    <t>Calculation production price CGB for 2018, sheet 'costs', cell E14</t>
  </si>
  <si>
    <t>Management fee 2015, included in cost estimation for 2018</t>
  </si>
  <si>
    <r>
      <t xml:space="preserve">Note 1: in tariff decision for 2019 no CPI is applied to this correction, so no price level difference exists between 2018 and 2019, note 2: </t>
    </r>
    <r>
      <rPr>
        <i/>
        <sz val="10"/>
        <rFont val="Arial"/>
        <family val="2"/>
      </rPr>
      <t xml:space="preserve">add </t>
    </r>
    <r>
      <rPr>
        <sz val="10"/>
        <rFont val="Arial"/>
        <family val="2"/>
      </rPr>
      <t>this (negative) amount to cost level</t>
    </r>
  </si>
  <si>
    <r>
      <t xml:space="preserve">Note: </t>
    </r>
    <r>
      <rPr>
        <i/>
        <sz val="10"/>
        <rFont val="Arial"/>
        <family val="2"/>
      </rPr>
      <t>subtract</t>
    </r>
    <r>
      <rPr>
        <sz val="10"/>
        <rFont val="Arial"/>
        <family val="2"/>
      </rPr>
      <t xml:space="preserve"> this amount from cost level</t>
    </r>
  </si>
  <si>
    <t>Original cost estimation for tariff 2018</t>
  </si>
  <si>
    <t>Cost estimation 2018 after corrections</t>
  </si>
  <si>
    <t>Negative realized profit: profit sharing return 50% of difference back to CGB. Add this amount to tariff income 2020</t>
  </si>
  <si>
    <t>Additional reimbursement of real estate tax over 2019</t>
  </si>
  <si>
    <t>Reimbursement of real estate tax over 2019 in tariff 2020</t>
  </si>
  <si>
    <t>Note: ACM should leave this reimbursement out of profit sharing over 2019</t>
  </si>
  <si>
    <t>Additional allowance in tariff 2020 for real estate tax 2019</t>
  </si>
  <si>
    <t>Total estimated costs for 2020</t>
  </si>
  <si>
    <t>Estimated production by renewables in 2020</t>
  </si>
  <si>
    <t>Total amount of estimated production by ContourGlobal in 2020</t>
  </si>
  <si>
    <t>Last update input CBS: November 25, 2019</t>
  </si>
  <si>
    <t>Most recent fuel invoices (oct 2019)</t>
  </si>
  <si>
    <t xml:space="preserve">As no actual administration or estimation of variable costs was made on 2016 cost basis, ACM uses 2020 estimation as a proxy </t>
  </si>
  <si>
    <t>This amount only applies to quantify the OPEX effect of the new generators. It cannot be interpreted as 'variable OPEX' per MWh.</t>
  </si>
  <si>
    <t>Overview of sources</t>
  </si>
  <si>
    <t>Expert judgement / anlysis on variable cost level by CGB</t>
  </si>
  <si>
    <t>This 1% increase corresponds with approx. USD 60K increase in costs, due to extra production with gensets (from 67,36 to 86,9 MWh)</t>
  </si>
  <si>
    <t>ACM/19/035836</t>
  </si>
  <si>
    <t>ACM/UIT/523294</t>
  </si>
  <si>
    <t>Yes</t>
  </si>
  <si>
    <t>Production price 2020 excl. fuel component (not rounded)</t>
  </si>
  <si>
    <t>Production price 2020 excl. fuel component (rounded to 4 decimals)</t>
  </si>
  <si>
    <t>This is the production price set in Dictum</t>
  </si>
  <si>
    <t>Production price CGB 2020 (used in usage tariff decision for WEB 2020)</t>
  </si>
  <si>
    <t>This production price is rounded to 4 decimals as this is used in the tariff calculation for WEB.</t>
  </si>
  <si>
    <t>Comments on variable OPEX</t>
  </si>
  <si>
    <t>New production levels</t>
  </si>
  <si>
    <t>Projected variable cost level in 2020</t>
  </si>
  <si>
    <t>Variable OPEX as percentage of total OPEX in 2020</t>
  </si>
  <si>
    <t>This fuel component is not rounded (as it is not set in the Dictum, but follows from the formula)</t>
  </si>
  <si>
    <t>The ACM also included the amount and percentage of variable costs, as this is information that will be used in the profit sharing calculation over 2020 (expected in tariffs for 2022).</t>
  </si>
  <si>
    <t>File name is in dutch, English title: 'Calculation production price ContourGlobal 2020'</t>
  </si>
  <si>
    <t>Yes, in the production price decision reference is made to this file in Appendix 2</t>
  </si>
  <si>
    <t>Appeal is open against the decision of which this calculation file is part of.</t>
  </si>
  <si>
    <t>ContourGlobal 16 Sep 2016, Power Purchase Agreement</t>
  </si>
  <si>
    <t>Document sent to ACM by CGB</t>
  </si>
  <si>
    <t>E-mail from CGB to ACM</t>
  </si>
  <si>
    <t>Email from CGB to ACM</t>
  </si>
  <si>
    <t>Second information request 2019</t>
  </si>
  <si>
    <t>Information request 2018, first information request 2019</t>
  </si>
  <si>
    <t>No, some of the data in this file is deleted or aggregated to avoid disclosure of confidential information</t>
  </si>
  <si>
    <t>Extra operational costs</t>
  </si>
  <si>
    <t>Extra OPEX in 2020</t>
  </si>
  <si>
    <t>Additional OPEX: extra OPEX in 2020</t>
  </si>
  <si>
    <t>Comments on maintenance reserve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</si>
</sst>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
    <numFmt numFmtId="165" formatCode="_ * #,##0_ ;_ * \-#,##0_ ;_ * &quot;-&quot;??_ ;_ @_ "/>
    <numFmt numFmtId="166" formatCode="_ * #,##0.000000_ ;_ * \-#,##0.000000_ ;_ * &quot;-&quot;??_ ;_ @_ "/>
    <numFmt numFmtId="167" formatCode="_ * #,##0.0000_ ;_ * \-#,##0.0000_ ;_ * &quot;-&quot;_ ;_ @_ "/>
    <numFmt numFmtId="168" formatCode="_ * #,##0.0000_ ;_ * \-#,##0.0000_ ;_ * &quot;-&quot;??_ ;_ @_ "/>
    <numFmt numFmtId="169" formatCode="_ * #,##0.00_ ;_ * \-#,##0.00_ ;_ * &quot;-&quot;_ ;_ @_ "/>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u/>
      <sz val="10"/>
      <name val="Arial"/>
      <family val="2"/>
    </font>
    <font>
      <i/>
      <u/>
      <sz val="10"/>
      <name val="Arial"/>
      <family val="2"/>
    </font>
    <font>
      <u/>
      <sz val="10"/>
      <color theme="1"/>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1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6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18" borderId="1">
      <alignment vertical="top"/>
    </xf>
    <xf numFmtId="49" fontId="6" fillId="0" borderId="0">
      <alignment vertical="top"/>
    </xf>
    <xf numFmtId="41" fontId="5" fillId="11" borderId="0">
      <alignment vertical="top"/>
    </xf>
    <xf numFmtId="41" fontId="5" fillId="10" borderId="0">
      <alignment vertical="top"/>
    </xf>
    <xf numFmtId="41" fontId="5" fillId="9" borderId="0">
      <alignment vertical="top"/>
    </xf>
    <xf numFmtId="41" fontId="5" fillId="45" borderId="0">
      <alignment vertical="top"/>
    </xf>
    <xf numFmtId="41" fontId="5" fillId="8" borderId="0">
      <alignment vertical="top"/>
    </xf>
    <xf numFmtId="41" fontId="5" fillId="12" borderId="0">
      <alignment vertical="top"/>
    </xf>
    <xf numFmtId="49" fontId="11" fillId="0" borderId="0">
      <alignment vertical="top"/>
    </xf>
    <xf numFmtId="49" fontId="10" fillId="0" borderId="0">
      <alignment vertical="top"/>
    </xf>
    <xf numFmtId="0" fontId="16" fillId="14" borderId="3" applyNumberFormat="0" applyAlignment="0" applyProtection="0"/>
    <xf numFmtId="0" fontId="17" fillId="15" borderId="4" applyNumberFormat="0" applyAlignment="0" applyProtection="0"/>
    <xf numFmtId="0" fontId="18" fillId="15" borderId="3" applyNumberFormat="0" applyAlignment="0" applyProtection="0"/>
    <xf numFmtId="0" fontId="19" fillId="0" borderId="5" applyNumberFormat="0" applyFill="0" applyAlignment="0" applyProtection="0"/>
    <xf numFmtId="0" fontId="13" fillId="16" borderId="6" applyNumberFormat="0" applyAlignment="0" applyProtection="0"/>
    <xf numFmtId="0" fontId="15" fillId="17" borderId="7" applyNumberFormat="0" applyFont="0" applyAlignment="0" applyProtection="0"/>
    <xf numFmtId="0" fontId="20" fillId="0" borderId="0" applyNumberFormat="0" applyFill="0" applyBorder="0" applyAlignment="0" applyProtection="0"/>
    <xf numFmtId="43" fontId="15" fillId="0" borderId="0" applyFont="0" applyFill="0" applyBorder="0" applyAlignment="0" applyProtection="0"/>
    <xf numFmtId="41" fontId="15" fillId="0" borderId="0" applyFont="0" applyFill="0" applyBorder="0" applyAlignment="0" applyProtection="0"/>
    <xf numFmtId="44" fontId="15" fillId="0" borderId="0" applyFont="0" applyFill="0" applyBorder="0" applyAlignment="0" applyProtection="0"/>
    <xf numFmtId="42" fontId="15" fillId="0" borderId="0" applyFont="0" applyFill="0" applyBorder="0" applyAlignment="0" applyProtection="0"/>
    <xf numFmtId="9" fontId="15" fillId="0" borderId="0" applyFon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14"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28" fillId="42" borderId="0" applyNumberFormat="0" applyBorder="0" applyAlignment="0" applyProtection="0"/>
    <xf numFmtId="0" fontId="29" fillId="0" borderId="0" applyNumberFormat="0" applyFill="0" applyBorder="0" applyAlignment="0" applyProtection="0"/>
    <xf numFmtId="49" fontId="21" fillId="0" borderId="0" applyFill="0" applyBorder="0" applyAlignment="0" applyProtection="0"/>
    <xf numFmtId="43" fontId="5" fillId="43" borderId="0" applyNumberFormat="0">
      <alignment vertical="top"/>
    </xf>
    <xf numFmtId="10" fontId="5" fillId="0" borderId="0" applyFont="0" applyFill="0" applyBorder="0" applyAlignment="0" applyProtection="0">
      <alignment vertical="top"/>
    </xf>
    <xf numFmtId="41" fontId="5" fillId="44" borderId="0">
      <alignment vertical="top"/>
    </xf>
    <xf numFmtId="43" fontId="15" fillId="0" borderId="0" applyFont="0" applyFill="0" applyBorder="0" applyAlignment="0" applyProtection="0"/>
  </cellStyleXfs>
  <cellXfs count="120">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18" borderId="1" xfId="6">
      <alignment vertical="top"/>
    </xf>
    <xf numFmtId="0" fontId="5" fillId="0" borderId="0" xfId="4" applyFill="1">
      <alignment vertical="top"/>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1" fontId="5" fillId="0" borderId="0" xfId="4" applyNumberFormat="1" applyFill="1">
      <alignment vertical="top"/>
    </xf>
    <xf numFmtId="0" fontId="13" fillId="6" borderId="1" xfId="4" applyFont="1" applyFill="1" applyBorder="1">
      <alignment vertical="top"/>
    </xf>
    <xf numFmtId="0" fontId="9" fillId="5" borderId="1" xfId="5" applyNumberFormat="1">
      <alignment vertical="top"/>
    </xf>
    <xf numFmtId="0" fontId="14" fillId="0" borderId="0" xfId="4" applyFont="1">
      <alignment vertical="top"/>
    </xf>
    <xf numFmtId="0" fontId="5" fillId="13" borderId="0" xfId="4" applyFill="1">
      <alignment vertical="top"/>
    </xf>
    <xf numFmtId="0" fontId="5" fillId="0" borderId="0" xfId="4" applyFont="1">
      <alignment vertical="top"/>
    </xf>
    <xf numFmtId="49" fontId="5" fillId="18"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1" fillId="0" borderId="0" xfId="14">
      <alignment vertical="top"/>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1" fontId="5" fillId="11" borderId="0" xfId="8">
      <alignment vertical="top"/>
    </xf>
    <xf numFmtId="9" fontId="5" fillId="0" borderId="0" xfId="4" applyNumberFormat="1">
      <alignment vertical="top"/>
    </xf>
    <xf numFmtId="41" fontId="5" fillId="9" borderId="0" xfId="10">
      <alignment vertical="top"/>
    </xf>
    <xf numFmtId="41" fontId="5" fillId="8" borderId="0" xfId="12">
      <alignment vertical="top"/>
    </xf>
    <xf numFmtId="41" fontId="5" fillId="45" borderId="0" xfId="11">
      <alignment vertical="top"/>
    </xf>
    <xf numFmtId="0" fontId="5" fillId="0" borderId="2" xfId="4" applyFont="1" applyBorder="1" applyAlignment="1">
      <alignment horizontal="left" vertical="top" wrapText="1"/>
    </xf>
    <xf numFmtId="41" fontId="5" fillId="12" borderId="0" xfId="13">
      <alignment vertical="top"/>
    </xf>
    <xf numFmtId="41" fontId="5" fillId="10" borderId="0" xfId="9">
      <alignment vertical="top"/>
    </xf>
    <xf numFmtId="0" fontId="10" fillId="0" borderId="0" xfId="4" applyFont="1" applyFill="1">
      <alignment vertical="top"/>
    </xf>
    <xf numFmtId="49" fontId="5" fillId="18" borderId="0" xfId="6" applyFont="1" applyBorder="1">
      <alignment vertical="top"/>
    </xf>
    <xf numFmtId="0" fontId="0" fillId="0" borderId="0" xfId="0">
      <alignment vertical="top"/>
    </xf>
    <xf numFmtId="49" fontId="6" fillId="18" borderId="1" xfId="6" applyAlignment="1">
      <alignment vertical="top" wrapText="1"/>
    </xf>
    <xf numFmtId="0" fontId="0" fillId="0" borderId="0" xfId="0" applyAlignment="1"/>
    <xf numFmtId="49" fontId="6" fillId="18" borderId="1" xfId="6" applyFont="1">
      <alignment vertical="top"/>
    </xf>
    <xf numFmtId="49" fontId="6" fillId="0" borderId="0" xfId="7" applyFont="1">
      <alignment vertical="top"/>
    </xf>
    <xf numFmtId="41" fontId="5" fillId="45" borderId="0" xfId="11" applyFont="1">
      <alignment vertical="top"/>
    </xf>
    <xf numFmtId="10" fontId="5" fillId="45" borderId="0" xfId="63" applyFill="1">
      <alignment vertical="top"/>
    </xf>
    <xf numFmtId="164" fontId="5" fillId="45" borderId="0" xfId="63" applyNumberFormat="1" applyFill="1">
      <alignment vertical="top"/>
    </xf>
    <xf numFmtId="0" fontId="27" fillId="0" borderId="0" xfId="0" applyFont="1" applyAlignment="1"/>
    <xf numFmtId="0" fontId="0" fillId="0" borderId="0" xfId="0" applyFont="1" applyAlignment="1"/>
    <xf numFmtId="49" fontId="11" fillId="0" borderId="0" xfId="14" applyFont="1">
      <alignment vertical="top"/>
    </xf>
    <xf numFmtId="0" fontId="30" fillId="0" borderId="0" xfId="4" applyFont="1">
      <alignment vertical="top"/>
    </xf>
    <xf numFmtId="14" fontId="5" fillId="45" borderId="0" xfId="11" applyNumberFormat="1">
      <alignment vertical="top"/>
    </xf>
    <xf numFmtId="49" fontId="5" fillId="0" borderId="0" xfId="14" applyFont="1">
      <alignment vertical="top"/>
    </xf>
    <xf numFmtId="165" fontId="5" fillId="45" borderId="0" xfId="11" applyNumberFormat="1">
      <alignment vertical="top"/>
    </xf>
    <xf numFmtId="49" fontId="6" fillId="18" borderId="1" xfId="6" applyFont="1" applyAlignment="1">
      <alignment horizontal="left" vertical="top"/>
    </xf>
    <xf numFmtId="0" fontId="1" fillId="0" borderId="0" xfId="0" applyFont="1" applyAlignment="1"/>
    <xf numFmtId="0" fontId="1" fillId="0" borderId="0" xfId="0" applyFont="1" applyAlignment="1">
      <alignment horizontal="left"/>
    </xf>
    <xf numFmtId="165" fontId="5" fillId="10" borderId="0" xfId="9" applyNumberFormat="1">
      <alignment vertical="top"/>
    </xf>
    <xf numFmtId="0" fontId="1" fillId="0" borderId="0" xfId="0" applyFont="1" applyAlignment="1">
      <alignment horizontal="center" vertical="center"/>
    </xf>
    <xf numFmtId="0" fontId="1" fillId="0" borderId="0" xfId="0" applyFont="1" applyBorder="1" applyAlignment="1"/>
    <xf numFmtId="2" fontId="1" fillId="0" borderId="0" xfId="0" applyNumberFormat="1" applyFont="1" applyAlignment="1">
      <alignment horizontal="center" vertical="center"/>
    </xf>
    <xf numFmtId="2" fontId="1" fillId="0" borderId="0" xfId="0" applyNumberFormat="1" applyFont="1" applyAlignment="1">
      <alignment horizontal="left" vertical="center"/>
    </xf>
    <xf numFmtId="49" fontId="5" fillId="0" borderId="0" xfId="7" applyFont="1">
      <alignment vertical="top"/>
    </xf>
    <xf numFmtId="165" fontId="5" fillId="10" borderId="0" xfId="9" applyNumberFormat="1" applyFont="1">
      <alignment vertical="top"/>
    </xf>
    <xf numFmtId="0" fontId="11" fillId="0" borderId="0" xfId="0" quotePrefix="1" applyFont="1" applyFill="1" applyAlignment="1"/>
    <xf numFmtId="0" fontId="11" fillId="0" borderId="0" xfId="0" applyFont="1" applyAlignment="1"/>
    <xf numFmtId="0" fontId="5" fillId="0" borderId="0" xfId="4" applyFont="1" applyAlignment="1">
      <alignment horizontal="left" vertical="top"/>
    </xf>
    <xf numFmtId="0" fontId="14" fillId="0" borderId="0" xfId="0" applyFont="1" applyAlignment="1"/>
    <xf numFmtId="49" fontId="11" fillId="18" borderId="1" xfId="6" applyFont="1">
      <alignment vertical="top"/>
    </xf>
    <xf numFmtId="41" fontId="5" fillId="0" borderId="0" xfId="4" applyNumberFormat="1">
      <alignment vertical="top"/>
    </xf>
    <xf numFmtId="0" fontId="5" fillId="0" borderId="0" xfId="0" applyFont="1" applyAlignment="1"/>
    <xf numFmtId="0" fontId="5" fillId="0" borderId="0" xfId="4" applyFont="1" applyFill="1">
      <alignment vertical="top"/>
    </xf>
    <xf numFmtId="165" fontId="5" fillId="12" borderId="0" xfId="13" applyNumberFormat="1">
      <alignment vertical="top"/>
    </xf>
    <xf numFmtId="165" fontId="5" fillId="11" borderId="0" xfId="8" applyNumberFormat="1">
      <alignment vertical="top"/>
    </xf>
    <xf numFmtId="14" fontId="5" fillId="12" borderId="0" xfId="13" applyNumberFormat="1">
      <alignment vertical="top"/>
    </xf>
    <xf numFmtId="165" fontId="5" fillId="9" borderId="0" xfId="10" applyNumberFormat="1">
      <alignment vertical="top"/>
    </xf>
    <xf numFmtId="0" fontId="31" fillId="0" borderId="0" xfId="4" applyFont="1">
      <alignment vertical="top"/>
    </xf>
    <xf numFmtId="2" fontId="5" fillId="0" borderId="0" xfId="4" applyNumberFormat="1">
      <alignment vertical="top"/>
    </xf>
    <xf numFmtId="165" fontId="6" fillId="18" borderId="1" xfId="6" applyNumberFormat="1">
      <alignment vertical="top"/>
    </xf>
    <xf numFmtId="10" fontId="5" fillId="12" borderId="0" xfId="13" applyNumberFormat="1">
      <alignment vertical="top"/>
    </xf>
    <xf numFmtId="10" fontId="5" fillId="12" borderId="0" xfId="63" applyFill="1">
      <alignment vertical="top"/>
    </xf>
    <xf numFmtId="0" fontId="32" fillId="0" borderId="0" xfId="0" applyFont="1" applyAlignment="1"/>
    <xf numFmtId="167" fontId="5" fillId="10" borderId="0" xfId="9" applyNumberFormat="1">
      <alignment vertical="top"/>
    </xf>
    <xf numFmtId="10" fontId="5" fillId="10" borderId="0" xfId="63" applyFill="1">
      <alignment vertical="top"/>
    </xf>
    <xf numFmtId="168" fontId="5" fillId="9" borderId="0" xfId="65" applyNumberFormat="1" applyFont="1" applyFill="1" applyAlignment="1">
      <alignment vertical="top"/>
    </xf>
    <xf numFmtId="165" fontId="5" fillId="0" borderId="0" xfId="4" applyNumberFormat="1">
      <alignment vertical="top"/>
    </xf>
    <xf numFmtId="16" fontId="5" fillId="0" borderId="0" xfId="4" applyNumberFormat="1">
      <alignment vertical="top"/>
    </xf>
    <xf numFmtId="43" fontId="5" fillId="0" borderId="0" xfId="65" applyFont="1" applyAlignment="1">
      <alignment vertical="top"/>
    </xf>
    <xf numFmtId="43" fontId="5" fillId="0" borderId="0" xfId="4" applyNumberFormat="1">
      <alignment vertical="top"/>
    </xf>
    <xf numFmtId="1" fontId="6" fillId="18" borderId="1" xfId="6" applyNumberFormat="1" applyAlignment="1">
      <alignment vertical="top" wrapText="1"/>
    </xf>
    <xf numFmtId="168" fontId="5" fillId="45" borderId="0" xfId="65" applyNumberFormat="1" applyFont="1" applyFill="1" applyAlignment="1">
      <alignment vertical="top"/>
    </xf>
    <xf numFmtId="10" fontId="5" fillId="10" borderId="0" xfId="9" applyNumberFormat="1">
      <alignment vertical="top"/>
    </xf>
    <xf numFmtId="166" fontId="5" fillId="45" borderId="0" xfId="11" applyNumberFormat="1">
      <alignment vertical="top"/>
    </xf>
    <xf numFmtId="168" fontId="5" fillId="45" borderId="0" xfId="11" applyNumberFormat="1" applyFont="1">
      <alignment vertical="top"/>
    </xf>
    <xf numFmtId="168" fontId="5" fillId="10" borderId="0" xfId="65" applyNumberFormat="1" applyFont="1" applyFill="1" applyAlignment="1">
      <alignment vertical="top"/>
    </xf>
    <xf numFmtId="169" fontId="5" fillId="0" borderId="0" xfId="4" applyNumberFormat="1">
      <alignment vertical="top"/>
    </xf>
    <xf numFmtId="168" fontId="5" fillId="12" borderId="0" xfId="13" applyNumberFormat="1">
      <alignment vertical="top"/>
    </xf>
    <xf numFmtId="168" fontId="5" fillId="12" borderId="0" xfId="65" applyNumberFormat="1" applyFont="1" applyFill="1" applyAlignment="1">
      <alignment vertical="top"/>
    </xf>
    <xf numFmtId="165" fontId="5" fillId="12" borderId="0" xfId="65" applyNumberFormat="1" applyFont="1" applyFill="1" applyAlignment="1">
      <alignment vertical="top"/>
    </xf>
    <xf numFmtId="167" fontId="5" fillId="0" borderId="0" xfId="4" applyNumberFormat="1">
      <alignment vertical="top"/>
    </xf>
    <xf numFmtId="168" fontId="5" fillId="11" borderId="0" xfId="65" applyNumberFormat="1" applyFont="1" applyFill="1" applyAlignment="1">
      <alignment vertical="top"/>
    </xf>
    <xf numFmtId="10" fontId="5" fillId="45" borderId="0" xfId="63" applyNumberFormat="1" applyFill="1">
      <alignment vertical="top"/>
    </xf>
    <xf numFmtId="165" fontId="5" fillId="11" borderId="0" xfId="65" applyNumberFormat="1" applyFont="1" applyFill="1" applyAlignment="1">
      <alignment vertical="top"/>
    </xf>
    <xf numFmtId="10" fontId="5" fillId="11" borderId="0" xfId="63" applyFill="1">
      <alignment vertical="top"/>
    </xf>
    <xf numFmtId="49" fontId="5" fillId="0" borderId="2" xfId="14" applyFont="1" applyBorder="1">
      <alignment vertical="top"/>
    </xf>
    <xf numFmtId="14" fontId="5" fillId="0" borderId="0" xfId="4" applyNumberFormat="1">
      <alignment vertical="top"/>
    </xf>
    <xf numFmtId="49" fontId="30" fillId="0" borderId="2" xfId="61" applyFont="1" applyBorder="1" applyAlignment="1">
      <alignment vertical="top"/>
    </xf>
    <xf numFmtId="49" fontId="14" fillId="0" borderId="0" xfId="14" applyFont="1">
      <alignment vertical="top"/>
    </xf>
    <xf numFmtId="0" fontId="14" fillId="0" borderId="0" xfId="0" applyFont="1" applyFill="1" applyAlignment="1"/>
    <xf numFmtId="10" fontId="5" fillId="0" borderId="0" xfId="4" applyNumberFormat="1">
      <alignment vertical="top"/>
    </xf>
    <xf numFmtId="168" fontId="5" fillId="0" borderId="0" xfId="65" applyNumberFormat="1" applyFont="1" applyAlignment="1">
      <alignment vertical="top"/>
    </xf>
    <xf numFmtId="0" fontId="5" fillId="0" borderId="0" xfId="4" applyBorder="1">
      <alignment vertical="top"/>
    </xf>
    <xf numFmtId="166" fontId="5" fillId="45" borderId="0" xfId="65" applyNumberFormat="1" applyFont="1" applyFill="1" applyAlignment="1">
      <alignment vertical="top"/>
    </xf>
    <xf numFmtId="166" fontId="5" fillId="12" borderId="0" xfId="65" applyNumberFormat="1" applyFont="1" applyFill="1" applyAlignment="1">
      <alignment vertical="top"/>
    </xf>
    <xf numFmtId="41" fontId="5" fillId="0" borderId="0" xfId="4" applyNumberFormat="1" applyFont="1">
      <alignment vertical="top"/>
    </xf>
    <xf numFmtId="43" fontId="5" fillId="45" borderId="0" xfId="65" applyFont="1" applyFill="1" applyAlignment="1">
      <alignment vertical="top"/>
    </xf>
    <xf numFmtId="165" fontId="5" fillId="0" borderId="0" xfId="65" applyNumberFormat="1" applyFont="1" applyAlignment="1">
      <alignment vertical="top"/>
    </xf>
    <xf numFmtId="164" fontId="5" fillId="11" borderId="0" xfId="63" applyNumberFormat="1" applyFill="1">
      <alignment vertical="top"/>
    </xf>
    <xf numFmtId="10" fontId="5" fillId="9" borderId="0" xfId="63" applyFill="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6">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Dataverzoek" xfId="64"/>
    <cellStyle name="Cel Input" xfId="11"/>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5"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3" builtinId="5"/>
    <cellStyle name="Standaard" xfId="0" builtinId="0" customBuiltin="1"/>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FF00FF"/>
      <color rgb="FFFFFF99"/>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D35"/>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6</v>
      </c>
    </row>
    <row r="6" spans="2:3" x14ac:dyDescent="0.2">
      <c r="B6" s="3"/>
    </row>
    <row r="13" spans="2:3" s="9" customFormat="1" x14ac:dyDescent="0.2">
      <c r="B13" s="9" t="s">
        <v>3</v>
      </c>
    </row>
    <row r="14" spans="2:3" s="10" customFormat="1" x14ac:dyDescent="0.2"/>
    <row r="15" spans="2:3" x14ac:dyDescent="0.2">
      <c r="B15" s="33" t="s">
        <v>4</v>
      </c>
      <c r="C15" s="11" t="s">
        <v>425</v>
      </c>
    </row>
    <row r="16" spans="2:3" x14ac:dyDescent="0.2">
      <c r="B16" s="33" t="s">
        <v>5</v>
      </c>
      <c r="C16" s="11" t="s">
        <v>2</v>
      </c>
    </row>
    <row r="17" spans="2:4" x14ac:dyDescent="0.2">
      <c r="B17" s="33" t="s">
        <v>12</v>
      </c>
      <c r="C17" s="11" t="s">
        <v>15</v>
      </c>
    </row>
    <row r="18" spans="2:4" x14ac:dyDescent="0.2">
      <c r="B18" s="33" t="s">
        <v>13</v>
      </c>
      <c r="C18" s="11" t="s">
        <v>426</v>
      </c>
    </row>
    <row r="19" spans="2:4" x14ac:dyDescent="0.2">
      <c r="B19" s="33" t="s">
        <v>14</v>
      </c>
      <c r="C19" s="11" t="s">
        <v>439</v>
      </c>
    </row>
    <row r="22" spans="2:4" s="9" customFormat="1" x14ac:dyDescent="0.2">
      <c r="B22" s="9" t="s">
        <v>7</v>
      </c>
    </row>
    <row r="24" spans="2:4" x14ac:dyDescent="0.2">
      <c r="B24" s="33" t="s">
        <v>8</v>
      </c>
      <c r="C24" s="11" t="s">
        <v>427</v>
      </c>
    </row>
    <row r="25" spans="2:4" x14ac:dyDescent="0.2">
      <c r="B25" s="33" t="s">
        <v>10</v>
      </c>
      <c r="C25" s="11" t="s">
        <v>427</v>
      </c>
    </row>
    <row r="26" spans="2:4" x14ac:dyDescent="0.2">
      <c r="B26" s="33" t="s">
        <v>11</v>
      </c>
      <c r="C26" s="11" t="s">
        <v>440</v>
      </c>
    </row>
    <row r="27" spans="2:4" x14ac:dyDescent="0.2">
      <c r="B27" s="27" t="s">
        <v>16</v>
      </c>
      <c r="C27" s="11" t="s">
        <v>448</v>
      </c>
    </row>
    <row r="28" spans="2:4" x14ac:dyDescent="0.2">
      <c r="B28" s="33" t="s">
        <v>14</v>
      </c>
      <c r="C28" s="11"/>
    </row>
    <row r="30" spans="2:4" x14ac:dyDescent="0.2">
      <c r="B30" s="118" t="s">
        <v>441</v>
      </c>
      <c r="C30" s="119"/>
      <c r="D30" s="6"/>
    </row>
    <row r="31" spans="2:4" x14ac:dyDescent="0.2">
      <c r="B31" s="23"/>
      <c r="C31" s="23"/>
      <c r="D31" s="6"/>
    </row>
    <row r="35" spans="2:2" x14ac:dyDescent="0.2">
      <c r="B35" s="2" t="s">
        <v>207</v>
      </c>
    </row>
  </sheetData>
  <mergeCells count="1">
    <mergeCell ref="B30:C30"/>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19"/>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AB169"/>
  <sheetViews>
    <sheetView showGridLines="0" zoomScale="85" zoomScaleNormal="85" workbookViewId="0">
      <pane xSplit="6" ySplit="9" topLeftCell="G10" activePane="bottomRight" state="frozen"/>
      <selection activeCell="R6" sqref="R6"/>
      <selection pane="topRight" activeCell="R6" sqref="R6"/>
      <selection pane="bottomLeft" activeCell="R6" sqref="R6"/>
      <selection pane="bottomRight" activeCell="G10" sqref="G10"/>
    </sheetView>
  </sheetViews>
  <sheetFormatPr defaultRowHeight="12.75" x14ac:dyDescent="0.2"/>
  <cols>
    <col min="1" max="1" width="4.7109375" style="2" customWidth="1"/>
    <col min="2" max="2" width="64.28515625" style="2" customWidth="1"/>
    <col min="3" max="3" width="4.7109375" style="2" customWidth="1"/>
    <col min="4" max="5" width="4.5703125" style="2" customWidth="1"/>
    <col min="6" max="6" width="21.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4" width="13.7109375" style="2" customWidth="1"/>
    <col min="25" max="16384" width="9.140625" style="2"/>
  </cols>
  <sheetData>
    <row r="2" spans="2:10" s="17" customFormat="1" ht="18" x14ac:dyDescent="0.2">
      <c r="B2" s="17" t="s">
        <v>134</v>
      </c>
    </row>
    <row r="4" spans="2:10" x14ac:dyDescent="0.2">
      <c r="B4" s="25" t="s">
        <v>56</v>
      </c>
      <c r="C4" s="1"/>
      <c r="D4" s="1"/>
    </row>
    <row r="5" spans="2:10" x14ac:dyDescent="0.2">
      <c r="B5" s="20" t="s">
        <v>343</v>
      </c>
      <c r="C5" s="3"/>
      <c r="D5" s="3"/>
      <c r="H5" s="18"/>
    </row>
    <row r="6" spans="2:10" x14ac:dyDescent="0.2">
      <c r="B6" s="24"/>
      <c r="C6" s="3"/>
      <c r="D6" s="3"/>
      <c r="H6" s="18"/>
    </row>
    <row r="8" spans="2:10" s="9" customFormat="1" x14ac:dyDescent="0.2">
      <c r="B8" s="41" t="s">
        <v>18</v>
      </c>
      <c r="C8" s="41"/>
      <c r="D8" s="41"/>
      <c r="E8" s="41"/>
      <c r="F8" s="41" t="s">
        <v>54</v>
      </c>
      <c r="G8" s="41"/>
      <c r="H8" s="41" t="s">
        <v>52</v>
      </c>
      <c r="J8" s="9" t="s">
        <v>53</v>
      </c>
    </row>
    <row r="11" spans="2:10" s="9" customFormat="1" x14ac:dyDescent="0.2">
      <c r="B11" s="9" t="s">
        <v>133</v>
      </c>
    </row>
    <row r="13" spans="2:10" x14ac:dyDescent="0.2">
      <c r="B13" s="2" t="s">
        <v>67</v>
      </c>
      <c r="H13" s="78">
        <f>Parameters!H27</f>
        <v>6.4000000000000001E-2</v>
      </c>
    </row>
    <row r="14" spans="2:10" x14ac:dyDescent="0.2">
      <c r="B14" s="2" t="s">
        <v>71</v>
      </c>
      <c r="H14" s="79">
        <f>Parameters!H28</f>
        <v>6.2E-2</v>
      </c>
    </row>
    <row r="16" spans="2:10" s="1" customFormat="1" x14ac:dyDescent="0.2">
      <c r="B16" s="1" t="s">
        <v>87</v>
      </c>
      <c r="J16" s="48"/>
    </row>
    <row r="17" spans="2:10" s="1" customFormat="1" x14ac:dyDescent="0.2">
      <c r="J17" s="48"/>
    </row>
    <row r="18" spans="2:10" x14ac:dyDescent="0.2">
      <c r="B18" s="2" t="s">
        <v>88</v>
      </c>
      <c r="F18" s="2" t="s">
        <v>89</v>
      </c>
      <c r="H18" s="34">
        <f>'Est. and realized costs 2018'!H58</f>
        <v>61734000</v>
      </c>
    </row>
    <row r="19" spans="2:10" x14ac:dyDescent="0.2">
      <c r="B19" s="2" t="s">
        <v>91</v>
      </c>
      <c r="F19" s="2" t="s">
        <v>89</v>
      </c>
      <c r="H19" s="34">
        <f>'Est. and realized costs 2018'!H59</f>
        <v>860000</v>
      </c>
    </row>
    <row r="20" spans="2:10" x14ac:dyDescent="0.2">
      <c r="B20" s="2" t="s">
        <v>92</v>
      </c>
      <c r="F20" s="2" t="s">
        <v>89</v>
      </c>
      <c r="H20" s="34">
        <f>'Est. and realized costs 2018'!H60</f>
        <v>18696000</v>
      </c>
    </row>
    <row r="21" spans="2:10" x14ac:dyDescent="0.2">
      <c r="B21" s="2" t="s">
        <v>93</v>
      </c>
      <c r="F21" s="2" t="s">
        <v>94</v>
      </c>
      <c r="H21" s="34">
        <f>'Est. and realized costs 2018'!H61</f>
        <v>15</v>
      </c>
    </row>
    <row r="24" spans="2:10" x14ac:dyDescent="0.2">
      <c r="B24" s="1" t="s">
        <v>95</v>
      </c>
    </row>
    <row r="26" spans="2:10" x14ac:dyDescent="0.2">
      <c r="B26" s="5" t="s">
        <v>96</v>
      </c>
    </row>
    <row r="27" spans="2:10" x14ac:dyDescent="0.2">
      <c r="B27" s="49" t="s">
        <v>97</v>
      </c>
    </row>
    <row r="28" spans="2:10" x14ac:dyDescent="0.2">
      <c r="B28" s="2" t="s">
        <v>98</v>
      </c>
      <c r="F28" s="2" t="s">
        <v>89</v>
      </c>
      <c r="H28" s="34">
        <f>'Est. and realized costs 2018'!H68</f>
        <v>773908</v>
      </c>
    </row>
    <row r="29" spans="2:10" x14ac:dyDescent="0.2">
      <c r="B29" s="2" t="s">
        <v>99</v>
      </c>
      <c r="F29" s="2" t="s">
        <v>100</v>
      </c>
      <c r="H29" s="34">
        <f>'Est. and realized costs 2018'!H69</f>
        <v>9.25</v>
      </c>
    </row>
    <row r="30" spans="2:10" x14ac:dyDescent="0.2">
      <c r="B30" s="2" t="s">
        <v>101</v>
      </c>
      <c r="F30" s="2" t="s">
        <v>102</v>
      </c>
      <c r="H30" s="73">
        <f>'Est. and realized costs 2018'!H70</f>
        <v>42491</v>
      </c>
    </row>
    <row r="32" spans="2:10" x14ac:dyDescent="0.2">
      <c r="B32" s="49" t="s">
        <v>103</v>
      </c>
    </row>
    <row r="33" spans="2:10" x14ac:dyDescent="0.2">
      <c r="B33" s="2" t="s">
        <v>98</v>
      </c>
      <c r="F33" s="2" t="s">
        <v>89</v>
      </c>
      <c r="H33" s="34">
        <f>'Est. and realized costs 2018'!H73</f>
        <v>59734</v>
      </c>
      <c r="J33" s="24"/>
    </row>
    <row r="34" spans="2:10" x14ac:dyDescent="0.2">
      <c r="B34" s="2" t="s">
        <v>99</v>
      </c>
      <c r="F34" s="2" t="s">
        <v>100</v>
      </c>
      <c r="H34" s="34">
        <f>'Est. and realized costs 2018'!H74</f>
        <v>5</v>
      </c>
    </row>
    <row r="35" spans="2:10" x14ac:dyDescent="0.2">
      <c r="B35" s="2" t="s">
        <v>101</v>
      </c>
      <c r="F35" s="2" t="s">
        <v>102</v>
      </c>
      <c r="H35" s="73">
        <f>'Est. and realized costs 2018'!H75</f>
        <v>42538</v>
      </c>
    </row>
    <row r="37" spans="2:10" x14ac:dyDescent="0.2">
      <c r="B37" s="49" t="s">
        <v>104</v>
      </c>
    </row>
    <row r="38" spans="2:10" x14ac:dyDescent="0.2">
      <c r="B38" s="20" t="s">
        <v>98</v>
      </c>
      <c r="F38" s="2" t="s">
        <v>89</v>
      </c>
      <c r="H38" s="34">
        <f>'Est. and realized costs 2018'!H78</f>
        <v>6900</v>
      </c>
    </row>
    <row r="39" spans="2:10" x14ac:dyDescent="0.2">
      <c r="B39" s="20" t="s">
        <v>99</v>
      </c>
      <c r="F39" s="2" t="s">
        <v>100</v>
      </c>
      <c r="H39" s="34">
        <f>'Est. and realized costs 2018'!H79</f>
        <v>4</v>
      </c>
    </row>
    <row r="40" spans="2:10" x14ac:dyDescent="0.2">
      <c r="B40" s="2" t="s">
        <v>101</v>
      </c>
      <c r="F40" s="2" t="s">
        <v>102</v>
      </c>
      <c r="H40" s="73">
        <f>'Est. and realized costs 2018'!H80</f>
        <v>42536</v>
      </c>
    </row>
    <row r="43" spans="2:10" x14ac:dyDescent="0.2">
      <c r="B43" s="5" t="s">
        <v>105</v>
      </c>
    </row>
    <row r="44" spans="2:10" x14ac:dyDescent="0.2">
      <c r="B44" s="49" t="s">
        <v>103</v>
      </c>
    </row>
    <row r="45" spans="2:10" x14ac:dyDescent="0.2">
      <c r="B45" s="2" t="s">
        <v>98</v>
      </c>
      <c r="F45" s="2" t="s">
        <v>89</v>
      </c>
      <c r="H45" s="34">
        <f>'Est. and realized costs 2018'!H85</f>
        <v>6000</v>
      </c>
      <c r="J45" s="51"/>
    </row>
    <row r="46" spans="2:10" x14ac:dyDescent="0.2">
      <c r="B46" s="2" t="s">
        <v>99</v>
      </c>
      <c r="F46" s="2" t="s">
        <v>100</v>
      </c>
      <c r="H46" s="34">
        <f>'Est. and realized costs 2018'!H86</f>
        <v>5</v>
      </c>
      <c r="J46" s="24"/>
    </row>
    <row r="47" spans="2:10" x14ac:dyDescent="0.2">
      <c r="B47" s="2" t="s">
        <v>101</v>
      </c>
      <c r="F47" s="2" t="s">
        <v>102</v>
      </c>
      <c r="H47" s="73">
        <f>'Est. and realized costs 2018'!H87</f>
        <v>42751</v>
      </c>
      <c r="J47" s="24"/>
    </row>
    <row r="49" spans="1:28" x14ac:dyDescent="0.2">
      <c r="B49" s="49" t="s">
        <v>103</v>
      </c>
    </row>
    <row r="50" spans="1:28" x14ac:dyDescent="0.2">
      <c r="B50" s="2" t="s">
        <v>98</v>
      </c>
      <c r="F50" s="2" t="s">
        <v>89</v>
      </c>
      <c r="H50" s="34">
        <f>'Est. and realized costs 2018'!H90</f>
        <v>4000</v>
      </c>
      <c r="J50" s="51"/>
    </row>
    <row r="51" spans="1:28" x14ac:dyDescent="0.2">
      <c r="B51" s="2" t="s">
        <v>99</v>
      </c>
      <c r="F51" s="2" t="s">
        <v>100</v>
      </c>
      <c r="H51" s="34">
        <f>'Est. and realized costs 2018'!H91</f>
        <v>5</v>
      </c>
      <c r="J51" s="24"/>
    </row>
    <row r="52" spans="1:28" x14ac:dyDescent="0.2">
      <c r="B52" s="2" t="s">
        <v>101</v>
      </c>
      <c r="F52" s="2" t="s">
        <v>102</v>
      </c>
      <c r="H52" s="73">
        <f>'Est. and realized costs 2018'!H92</f>
        <v>43050</v>
      </c>
      <c r="J52" s="24"/>
    </row>
    <row r="55" spans="1:28" x14ac:dyDescent="0.2">
      <c r="B55" s="5" t="s">
        <v>135</v>
      </c>
    </row>
    <row r="56" spans="1:28" x14ac:dyDescent="0.2">
      <c r="B56" s="49" t="s">
        <v>106</v>
      </c>
    </row>
    <row r="57" spans="1:28" x14ac:dyDescent="0.2">
      <c r="B57" s="2" t="s">
        <v>98</v>
      </c>
      <c r="F57" s="2" t="s">
        <v>89</v>
      </c>
      <c r="H57" s="34">
        <f>'Est. and realized costs 2018'!H97</f>
        <v>7636</v>
      </c>
      <c r="J57" s="51"/>
    </row>
    <row r="58" spans="1:28" x14ac:dyDescent="0.2">
      <c r="B58" s="2" t="s">
        <v>99</v>
      </c>
      <c r="F58" s="2" t="s">
        <v>100</v>
      </c>
      <c r="H58" s="34">
        <f>'Est. and realized costs 2018'!H98</f>
        <v>4</v>
      </c>
      <c r="J58" s="24"/>
    </row>
    <row r="59" spans="1:28" x14ac:dyDescent="0.2">
      <c r="B59" s="2" t="s">
        <v>101</v>
      </c>
      <c r="F59" s="2" t="s">
        <v>102</v>
      </c>
      <c r="H59" s="73">
        <f>'Est. and realized costs 2018'!H99</f>
        <v>43451</v>
      </c>
      <c r="J59" s="24"/>
    </row>
    <row r="62" spans="1:28" s="20" customFormat="1" x14ac:dyDescent="0.2">
      <c r="B62" s="1" t="s">
        <v>126</v>
      </c>
      <c r="M62" s="18"/>
      <c r="AB62" s="65"/>
    </row>
    <row r="63" spans="1:28" s="20" customFormat="1" x14ac:dyDescent="0.2">
      <c r="M63" s="18"/>
      <c r="AB63" s="65"/>
    </row>
    <row r="64" spans="1:28" s="54" customFormat="1" x14ac:dyDescent="0.2">
      <c r="A64" s="20"/>
      <c r="B64" s="54" t="s">
        <v>114</v>
      </c>
      <c r="F64" s="54" t="s">
        <v>89</v>
      </c>
      <c r="H64" s="30"/>
      <c r="J64" s="69"/>
      <c r="M64" s="18"/>
      <c r="Q64" s="63"/>
      <c r="AB64" s="55"/>
    </row>
    <row r="65" spans="1:28" s="54" customFormat="1" x14ac:dyDescent="0.2">
      <c r="A65" s="20"/>
      <c r="B65" s="54" t="s">
        <v>99</v>
      </c>
      <c r="F65" s="54" t="s">
        <v>100</v>
      </c>
      <c r="H65" s="30"/>
      <c r="J65" s="69"/>
      <c r="M65" s="18"/>
      <c r="Q65" s="20"/>
      <c r="AB65" s="55"/>
    </row>
    <row r="66" spans="1:28" s="54" customFormat="1" x14ac:dyDescent="0.2">
      <c r="A66" s="20"/>
      <c r="B66" s="54" t="s">
        <v>101</v>
      </c>
      <c r="F66" s="54" t="s">
        <v>102</v>
      </c>
      <c r="H66" s="30"/>
      <c r="J66" s="69"/>
      <c r="M66" s="18"/>
      <c r="Q66" s="20"/>
      <c r="AB66" s="55"/>
    </row>
    <row r="67" spans="1:28" s="54" customFormat="1" x14ac:dyDescent="0.2">
      <c r="J67" s="69"/>
      <c r="M67" s="18"/>
      <c r="AB67" s="55"/>
    </row>
    <row r="68" spans="1:28" s="54" customFormat="1" x14ac:dyDescent="0.2">
      <c r="B68" s="54" t="s">
        <v>115</v>
      </c>
      <c r="F68" s="54" t="s">
        <v>89</v>
      </c>
      <c r="H68" s="30"/>
      <c r="J68" s="69"/>
      <c r="M68" s="18"/>
      <c r="Q68" s="20"/>
      <c r="AB68" s="55"/>
    </row>
    <row r="69" spans="1:28" s="54" customFormat="1" x14ac:dyDescent="0.2">
      <c r="B69" s="54" t="s">
        <v>99</v>
      </c>
      <c r="F69" s="54" t="s">
        <v>100</v>
      </c>
      <c r="H69" s="30"/>
      <c r="J69" s="69"/>
      <c r="M69" s="18"/>
      <c r="AB69" s="55"/>
    </row>
    <row r="70" spans="1:28" s="54" customFormat="1" x14ac:dyDescent="0.2">
      <c r="B70" s="54" t="s">
        <v>101</v>
      </c>
      <c r="F70" s="54" t="s">
        <v>102</v>
      </c>
      <c r="H70" s="30"/>
      <c r="M70" s="18"/>
      <c r="Q70" s="20"/>
      <c r="AB70" s="55"/>
    </row>
    <row r="71" spans="1:28" s="54" customFormat="1" x14ac:dyDescent="0.2">
      <c r="M71" s="66"/>
      <c r="AB71" s="55"/>
    </row>
    <row r="72" spans="1:28" s="54" customFormat="1" x14ac:dyDescent="0.2">
      <c r="M72" s="66"/>
      <c r="AB72" s="55"/>
    </row>
    <row r="73" spans="1:28" s="9" customFormat="1" x14ac:dyDescent="0.2">
      <c r="B73" s="9" t="s">
        <v>152</v>
      </c>
    </row>
    <row r="75" spans="1:28" s="1" customFormat="1" x14ac:dyDescent="0.2">
      <c r="B75" s="1" t="s">
        <v>87</v>
      </c>
      <c r="J75" s="48"/>
    </row>
    <row r="76" spans="1:28" s="1" customFormat="1" x14ac:dyDescent="0.2">
      <c r="J76" s="48"/>
    </row>
    <row r="77" spans="1:28" x14ac:dyDescent="0.2">
      <c r="B77" s="2" t="s">
        <v>136</v>
      </c>
      <c r="F77" s="2" t="s">
        <v>89</v>
      </c>
      <c r="H77" s="56">
        <f>H18-H19</f>
        <v>60874000</v>
      </c>
    </row>
    <row r="78" spans="1:28" x14ac:dyDescent="0.2">
      <c r="B78" s="2" t="s">
        <v>137</v>
      </c>
      <c r="F78" s="2" t="s">
        <v>89</v>
      </c>
      <c r="H78" s="56">
        <f>H77-H20</f>
        <v>42178000</v>
      </c>
    </row>
    <row r="79" spans="1:28" x14ac:dyDescent="0.2">
      <c r="B79" s="2" t="s">
        <v>138</v>
      </c>
      <c r="F79" s="2" t="s">
        <v>89</v>
      </c>
      <c r="H79" s="56">
        <f>H78/H21</f>
        <v>2811866.6666666665</v>
      </c>
    </row>
    <row r="81" spans="2:15" x14ac:dyDescent="0.2">
      <c r="B81" s="2" t="s">
        <v>139</v>
      </c>
      <c r="F81" s="2" t="s">
        <v>89</v>
      </c>
      <c r="H81" s="74">
        <f>H77-(2015-2010+4.4/12)*H79</f>
        <v>45783648.888888888</v>
      </c>
      <c r="J81" s="2" t="s">
        <v>140</v>
      </c>
    </row>
    <row r="82" spans="2:15" x14ac:dyDescent="0.2">
      <c r="B82" s="2" t="s">
        <v>151</v>
      </c>
      <c r="F82" s="2" t="s">
        <v>89</v>
      </c>
      <c r="H82" s="56">
        <f>H81-(2018-2015)*H79</f>
        <v>37348048.888888888</v>
      </c>
      <c r="J82" s="84"/>
    </row>
    <row r="83" spans="2:15" x14ac:dyDescent="0.2">
      <c r="J83" s="84"/>
    </row>
    <row r="84" spans="2:15" x14ac:dyDescent="0.2">
      <c r="B84" s="2" t="s">
        <v>139</v>
      </c>
      <c r="F84" s="2" t="s">
        <v>89</v>
      </c>
      <c r="H84" s="30">
        <f>H77-(DATE(2016,1,1)-DATE(2010,8,20))/365.25*H79</f>
        <v>45784996.121378049</v>
      </c>
      <c r="J84" s="84" t="s">
        <v>378</v>
      </c>
      <c r="L84" s="104"/>
      <c r="M84" s="104"/>
      <c r="N84" s="104"/>
      <c r="O84" s="84"/>
    </row>
    <row r="85" spans="2:15" x14ac:dyDescent="0.2">
      <c r="B85" s="2" t="s">
        <v>141</v>
      </c>
      <c r="F85" s="2" t="s">
        <v>89</v>
      </c>
      <c r="H85" s="56">
        <f>H84-(2019-2015)*H79</f>
        <v>34537529.454711385</v>
      </c>
      <c r="J85" s="84"/>
    </row>
    <row r="86" spans="2:15" x14ac:dyDescent="0.2">
      <c r="B86" s="2" t="s">
        <v>142</v>
      </c>
      <c r="F86" s="2" t="s">
        <v>89</v>
      </c>
      <c r="H86" s="56">
        <f>H84-(2020-2015)*H79</f>
        <v>31725662.788044717</v>
      </c>
      <c r="J86" s="84"/>
    </row>
    <row r="87" spans="2:15" x14ac:dyDescent="0.2">
      <c r="B87" s="2" t="s">
        <v>143</v>
      </c>
      <c r="F87" s="2" t="s">
        <v>89</v>
      </c>
      <c r="H87" s="56">
        <f>AVERAGE(H85,H86)</f>
        <v>33131596.121378049</v>
      </c>
    </row>
    <row r="90" spans="2:15" x14ac:dyDescent="0.2">
      <c r="B90" s="1" t="s">
        <v>186</v>
      </c>
      <c r="L90" s="85"/>
    </row>
    <row r="91" spans="2:15" x14ac:dyDescent="0.2">
      <c r="L91" s="86"/>
    </row>
    <row r="92" spans="2:15" x14ac:dyDescent="0.2">
      <c r="B92" s="5" t="s">
        <v>96</v>
      </c>
      <c r="L92" s="85"/>
      <c r="M92" s="87"/>
      <c r="N92" s="87"/>
    </row>
    <row r="93" spans="2:15" x14ac:dyDescent="0.2">
      <c r="B93" s="75" t="s">
        <v>97</v>
      </c>
    </row>
    <row r="94" spans="2:15" x14ac:dyDescent="0.2">
      <c r="B94" s="2" t="s">
        <v>144</v>
      </c>
      <c r="F94" s="2" t="s">
        <v>89</v>
      </c>
      <c r="H94" s="56">
        <f>H28/H29</f>
        <v>83665.729729729734</v>
      </c>
    </row>
    <row r="95" spans="2:15" x14ac:dyDescent="0.2">
      <c r="B95" s="2" t="s">
        <v>145</v>
      </c>
      <c r="F95" s="2" t="s">
        <v>89</v>
      </c>
      <c r="H95" s="56">
        <f>H28-(DATE(2019,1,1)-H30)/365.25*H94</f>
        <v>550570.32310339087</v>
      </c>
      <c r="J95" s="76"/>
    </row>
    <row r="97" spans="2:8" x14ac:dyDescent="0.2">
      <c r="B97" s="75" t="s">
        <v>103</v>
      </c>
    </row>
    <row r="98" spans="2:8" x14ac:dyDescent="0.2">
      <c r="B98" s="2" t="s">
        <v>144</v>
      </c>
      <c r="F98" s="2" t="s">
        <v>89</v>
      </c>
      <c r="H98" s="56">
        <f>H33/H34</f>
        <v>11946.8</v>
      </c>
    </row>
    <row r="99" spans="2:8" x14ac:dyDescent="0.2">
      <c r="B99" s="2" t="s">
        <v>145</v>
      </c>
      <c r="F99" s="2" t="s">
        <v>89</v>
      </c>
      <c r="H99" s="56">
        <f>H33-(DATE(2019,1,1)-H35)/365.25*H98</f>
        <v>29380.46023271732</v>
      </c>
    </row>
    <row r="101" spans="2:8" x14ac:dyDescent="0.2">
      <c r="B101" s="75" t="s">
        <v>104</v>
      </c>
    </row>
    <row r="102" spans="2:8" x14ac:dyDescent="0.2">
      <c r="B102" s="2" t="s">
        <v>144</v>
      </c>
      <c r="F102" s="2" t="s">
        <v>89</v>
      </c>
      <c r="H102" s="56">
        <f>H38/H39</f>
        <v>1725</v>
      </c>
    </row>
    <row r="103" spans="2:8" x14ac:dyDescent="0.2">
      <c r="B103" s="2" t="s">
        <v>145</v>
      </c>
      <c r="F103" s="2" t="s">
        <v>89</v>
      </c>
      <c r="H103" s="56">
        <f>H38-(DATE(2019,1,1)-H40)/365.25*H102</f>
        <v>2507.8028747433264</v>
      </c>
    </row>
    <row r="106" spans="2:8" x14ac:dyDescent="0.2">
      <c r="B106" s="5" t="s">
        <v>105</v>
      </c>
    </row>
    <row r="107" spans="2:8" x14ac:dyDescent="0.2">
      <c r="B107" s="75" t="s">
        <v>103</v>
      </c>
    </row>
    <row r="108" spans="2:8" x14ac:dyDescent="0.2">
      <c r="B108" s="2" t="s">
        <v>144</v>
      </c>
      <c r="F108" s="2" t="s">
        <v>89</v>
      </c>
      <c r="H108" s="56">
        <f>H45/H46</f>
        <v>1200</v>
      </c>
    </row>
    <row r="109" spans="2:8" x14ac:dyDescent="0.2">
      <c r="B109" s="2" t="s">
        <v>146</v>
      </c>
      <c r="F109" s="2" t="s">
        <v>89</v>
      </c>
      <c r="H109" s="56">
        <f>H45-(DATE(2019,1,1)-H47)/365.25*H108</f>
        <v>3650.9240246406571</v>
      </c>
    </row>
    <row r="110" spans="2:8" ht="12" customHeight="1" x14ac:dyDescent="0.2"/>
    <row r="111" spans="2:8" x14ac:dyDescent="0.2">
      <c r="B111" s="75" t="s">
        <v>103</v>
      </c>
    </row>
    <row r="112" spans="2:8" x14ac:dyDescent="0.2">
      <c r="B112" s="2" t="s">
        <v>144</v>
      </c>
      <c r="F112" s="2" t="s">
        <v>89</v>
      </c>
      <c r="H112" s="56">
        <f>H50/H51</f>
        <v>800</v>
      </c>
    </row>
    <row r="113" spans="1:28" x14ac:dyDescent="0.2">
      <c r="B113" s="2" t="s">
        <v>146</v>
      </c>
      <c r="F113" s="2" t="s">
        <v>89</v>
      </c>
      <c r="H113" s="56">
        <f>H50-(DATE(2019,1,1)-H52)/365.25*H112</f>
        <v>3088.8432580424369</v>
      </c>
    </row>
    <row r="114" spans="1:28" ht="12" customHeight="1" x14ac:dyDescent="0.2"/>
    <row r="115" spans="1:28" x14ac:dyDescent="0.2">
      <c r="B115" s="5" t="s">
        <v>135</v>
      </c>
    </row>
    <row r="116" spans="1:28" x14ac:dyDescent="0.2">
      <c r="B116" s="49" t="s">
        <v>106</v>
      </c>
    </row>
    <row r="117" spans="1:28" x14ac:dyDescent="0.2">
      <c r="B117" s="2" t="s">
        <v>144</v>
      </c>
      <c r="F117" s="2" t="s">
        <v>89</v>
      </c>
      <c r="H117" s="56">
        <f>H57/H58</f>
        <v>1909</v>
      </c>
      <c r="J117" s="51"/>
    </row>
    <row r="118" spans="1:28" x14ac:dyDescent="0.2">
      <c r="B118" s="2" t="s">
        <v>148</v>
      </c>
      <c r="F118" s="2" t="s">
        <v>89</v>
      </c>
      <c r="H118" s="56">
        <f>H57-(DATE(2019,1,1)-H59)/365.25*H117</f>
        <v>7557.6016427104723</v>
      </c>
      <c r="J118" s="24"/>
    </row>
    <row r="119" spans="1:28" x14ac:dyDescent="0.2">
      <c r="B119" s="2" t="s">
        <v>147</v>
      </c>
      <c r="F119" s="2" t="s">
        <v>89</v>
      </c>
      <c r="H119" s="56">
        <f>H57-H118</f>
        <v>78.398357289527667</v>
      </c>
      <c r="J119" s="24"/>
    </row>
    <row r="120" spans="1:28" ht="12" customHeight="1" x14ac:dyDescent="0.2"/>
    <row r="121" spans="1:28" ht="12" customHeight="1" x14ac:dyDescent="0.2"/>
    <row r="122" spans="1:28" s="20" customFormat="1" x14ac:dyDescent="0.2">
      <c r="B122" s="1" t="s">
        <v>126</v>
      </c>
      <c r="M122" s="18"/>
      <c r="AB122" s="65"/>
    </row>
    <row r="123" spans="1:28" s="20" customFormat="1" x14ac:dyDescent="0.2">
      <c r="M123" s="18"/>
      <c r="AB123" s="65"/>
    </row>
    <row r="124" spans="1:28" s="54" customFormat="1" x14ac:dyDescent="0.2">
      <c r="A124" s="20"/>
      <c r="B124" s="80" t="s">
        <v>114</v>
      </c>
      <c r="J124" s="69"/>
      <c r="M124" s="18"/>
      <c r="Q124" s="63"/>
      <c r="AB124" s="55"/>
    </row>
    <row r="125" spans="1:28" s="54" customFormat="1" x14ac:dyDescent="0.2">
      <c r="A125" s="20"/>
      <c r="B125" s="2" t="s">
        <v>144</v>
      </c>
      <c r="F125" s="2" t="s">
        <v>89</v>
      </c>
      <c r="H125" s="30"/>
      <c r="J125" s="69"/>
      <c r="M125" s="18"/>
      <c r="Q125" s="20"/>
      <c r="AB125" s="55"/>
    </row>
    <row r="126" spans="1:28" s="54" customFormat="1" x14ac:dyDescent="0.2">
      <c r="B126" s="2" t="s">
        <v>153</v>
      </c>
      <c r="F126" s="2" t="s">
        <v>89</v>
      </c>
      <c r="H126" s="30"/>
      <c r="M126" s="18"/>
      <c r="Q126" s="20"/>
      <c r="AB126" s="55"/>
    </row>
    <row r="127" spans="1:28" s="54" customFormat="1" x14ac:dyDescent="0.2">
      <c r="B127" s="2" t="s">
        <v>154</v>
      </c>
      <c r="F127" s="2" t="s">
        <v>89</v>
      </c>
      <c r="H127" s="30"/>
      <c r="M127" s="18"/>
      <c r="Q127" s="20"/>
      <c r="AB127" s="55"/>
    </row>
    <row r="128" spans="1:28" s="54" customFormat="1" x14ac:dyDescent="0.2">
      <c r="B128" s="2" t="s">
        <v>155</v>
      </c>
      <c r="F128" s="2" t="s">
        <v>89</v>
      </c>
      <c r="H128" s="30"/>
      <c r="M128" s="18"/>
      <c r="Q128" s="20"/>
      <c r="AB128" s="55"/>
    </row>
    <row r="129" spans="2:28" s="54" customFormat="1" x14ac:dyDescent="0.2">
      <c r="J129" s="69"/>
      <c r="M129" s="18"/>
      <c r="AB129" s="55"/>
    </row>
    <row r="130" spans="2:28" s="54" customFormat="1" x14ac:dyDescent="0.2">
      <c r="B130" s="80" t="s">
        <v>115</v>
      </c>
      <c r="J130" s="69"/>
      <c r="M130" s="18"/>
      <c r="Q130" s="20"/>
      <c r="AB130" s="55"/>
    </row>
    <row r="131" spans="2:28" s="54" customFormat="1" x14ac:dyDescent="0.2">
      <c r="B131" s="2" t="s">
        <v>144</v>
      </c>
      <c r="F131" s="2" t="s">
        <v>89</v>
      </c>
      <c r="H131" s="30"/>
      <c r="J131" s="69"/>
      <c r="M131" s="18"/>
      <c r="AB131" s="55"/>
    </row>
    <row r="132" spans="2:28" s="54" customFormat="1" x14ac:dyDescent="0.2">
      <c r="B132" s="2" t="s">
        <v>153</v>
      </c>
      <c r="F132" s="2" t="s">
        <v>89</v>
      </c>
      <c r="H132" s="30"/>
      <c r="M132" s="18"/>
      <c r="Q132" s="20"/>
      <c r="AB132" s="55"/>
    </row>
    <row r="133" spans="2:28" s="54" customFormat="1" x14ac:dyDescent="0.2">
      <c r="B133" s="2" t="s">
        <v>154</v>
      </c>
      <c r="F133" s="2" t="s">
        <v>89</v>
      </c>
      <c r="H133" s="30"/>
      <c r="M133" s="18"/>
      <c r="Q133" s="20"/>
      <c r="AB133" s="55"/>
    </row>
    <row r="134" spans="2:28" s="54" customFormat="1" x14ac:dyDescent="0.2">
      <c r="B134" s="2" t="s">
        <v>155</v>
      </c>
      <c r="F134" s="2" t="s">
        <v>89</v>
      </c>
      <c r="H134" s="30"/>
      <c r="M134" s="18"/>
      <c r="Q134" s="20"/>
      <c r="AB134" s="55"/>
    </row>
    <row r="135" spans="2:28" s="54" customFormat="1" x14ac:dyDescent="0.2">
      <c r="M135" s="18"/>
      <c r="Q135" s="20"/>
      <c r="AB135" s="55"/>
    </row>
    <row r="136" spans="2:28" s="54" customFormat="1" x14ac:dyDescent="0.2">
      <c r="M136" s="18"/>
      <c r="Q136" s="20"/>
      <c r="AB136" s="55"/>
    </row>
    <row r="137" spans="2:28" s="9" customFormat="1" x14ac:dyDescent="0.2">
      <c r="B137" s="9" t="s">
        <v>195</v>
      </c>
      <c r="H137" s="77"/>
    </row>
    <row r="138" spans="2:28" ht="12" customHeight="1" x14ac:dyDescent="0.2"/>
    <row r="139" spans="2:28" ht="12" customHeight="1" x14ac:dyDescent="0.2">
      <c r="B139" s="1" t="s">
        <v>189</v>
      </c>
    </row>
    <row r="140" spans="2:28" ht="12" customHeight="1" x14ac:dyDescent="0.2">
      <c r="B140" s="2" t="s">
        <v>344</v>
      </c>
      <c r="F140" s="2" t="s">
        <v>89</v>
      </c>
      <c r="H140" s="56">
        <f>H82+H95+H99+H103+H109+H113+H118</f>
        <v>37944804.844025142</v>
      </c>
      <c r="J140" s="2" t="s">
        <v>345</v>
      </c>
    </row>
    <row r="141" spans="2:28" ht="12" customHeight="1" x14ac:dyDescent="0.2">
      <c r="B141" s="2" t="s">
        <v>149</v>
      </c>
      <c r="F141" s="2" t="s">
        <v>89</v>
      </c>
      <c r="H141" s="56">
        <f>SUM(H79,H94,H98,H102,H108,H112,H119)</f>
        <v>2911282.5947536854</v>
      </c>
    </row>
    <row r="142" spans="2:28" ht="12" customHeight="1" x14ac:dyDescent="0.2">
      <c r="B142" s="2" t="s">
        <v>150</v>
      </c>
      <c r="F142" s="2" t="s">
        <v>73</v>
      </c>
      <c r="H142" s="72">
        <f>H140*H13+H141</f>
        <v>5339750.1047712946</v>
      </c>
    </row>
    <row r="143" spans="2:28" ht="12" customHeight="1" x14ac:dyDescent="0.2"/>
    <row r="144" spans="2:28" s="54" customFormat="1" x14ac:dyDescent="0.2">
      <c r="M144" s="18"/>
      <c r="Q144" s="20"/>
      <c r="AB144" s="55"/>
    </row>
    <row r="145" spans="2:10" s="9" customFormat="1" x14ac:dyDescent="0.2">
      <c r="B145" s="9" t="s">
        <v>157</v>
      </c>
      <c r="H145" s="77"/>
    </row>
    <row r="146" spans="2:10" ht="12" customHeight="1" x14ac:dyDescent="0.2"/>
    <row r="147" spans="2:10" ht="12" customHeight="1" x14ac:dyDescent="0.2">
      <c r="B147" s="1" t="s">
        <v>87</v>
      </c>
    </row>
    <row r="148" spans="2:10" ht="12" customHeight="1" x14ac:dyDescent="0.2">
      <c r="B148" s="20" t="s">
        <v>196</v>
      </c>
      <c r="F148" s="2" t="s">
        <v>89</v>
      </c>
      <c r="H148" s="34">
        <f>H87</f>
        <v>33131596.121378049</v>
      </c>
    </row>
    <row r="149" spans="2:10" ht="12" customHeight="1" x14ac:dyDescent="0.2">
      <c r="B149" s="20" t="s">
        <v>197</v>
      </c>
      <c r="F149" s="2" t="s">
        <v>89</v>
      </c>
      <c r="H149" s="34">
        <f>H79</f>
        <v>2811866.6666666665</v>
      </c>
    </row>
    <row r="150" spans="2:10" ht="12" customHeight="1" x14ac:dyDescent="0.2">
      <c r="B150" s="20" t="s">
        <v>198</v>
      </c>
      <c r="F150" s="2" t="s">
        <v>124</v>
      </c>
      <c r="H150" s="72">
        <f>H148*$H$14+H149</f>
        <v>4866025.6261921059</v>
      </c>
    </row>
    <row r="151" spans="2:10" ht="12" customHeight="1" x14ac:dyDescent="0.2">
      <c r="B151" s="1"/>
    </row>
    <row r="152" spans="2:10" ht="12" customHeight="1" x14ac:dyDescent="0.2">
      <c r="B152" s="1" t="s">
        <v>186</v>
      </c>
    </row>
    <row r="153" spans="2:10" ht="12" customHeight="1" x14ac:dyDescent="0.2">
      <c r="B153" s="20" t="s">
        <v>199</v>
      </c>
      <c r="F153" s="2" t="s">
        <v>89</v>
      </c>
      <c r="H153" s="56">
        <f>H95+H99+H103+H109+H113+H118</f>
        <v>596755.95513624523</v>
      </c>
      <c r="J153" s="2" t="s">
        <v>346</v>
      </c>
    </row>
    <row r="154" spans="2:10" ht="12" customHeight="1" x14ac:dyDescent="0.2">
      <c r="B154" s="20" t="s">
        <v>197</v>
      </c>
      <c r="F154" s="2" t="s">
        <v>89</v>
      </c>
      <c r="H154" s="56">
        <f>H94+H98+H102+H108+H112+H119</f>
        <v>99415.92808701926</v>
      </c>
    </row>
    <row r="155" spans="2:10" ht="12" customHeight="1" x14ac:dyDescent="0.2">
      <c r="B155" s="20" t="s">
        <v>198</v>
      </c>
      <c r="F155" s="2" t="s">
        <v>124</v>
      </c>
      <c r="H155" s="72">
        <f>H153*$H$14+H154</f>
        <v>136414.79730546646</v>
      </c>
    </row>
    <row r="156" spans="2:10" ht="12" customHeight="1" x14ac:dyDescent="0.2">
      <c r="B156" s="1"/>
    </row>
    <row r="157" spans="2:10" ht="12" customHeight="1" x14ac:dyDescent="0.2">
      <c r="B157" s="1" t="s">
        <v>126</v>
      </c>
    </row>
    <row r="158" spans="2:10" ht="12" customHeight="1" x14ac:dyDescent="0.2">
      <c r="B158" s="20" t="s">
        <v>196</v>
      </c>
      <c r="F158" s="2" t="s">
        <v>89</v>
      </c>
      <c r="H158" s="30">
        <v>20447986.995208763</v>
      </c>
    </row>
    <row r="159" spans="2:10" ht="12" customHeight="1" x14ac:dyDescent="0.2">
      <c r="B159" s="20" t="s">
        <v>197</v>
      </c>
      <c r="F159" s="2" t="s">
        <v>89</v>
      </c>
      <c r="H159" s="30">
        <v>1466000</v>
      </c>
    </row>
    <row r="160" spans="2:10" ht="12" customHeight="1" x14ac:dyDescent="0.2">
      <c r="B160" s="20" t="s">
        <v>198</v>
      </c>
      <c r="F160" s="2" t="s">
        <v>124</v>
      </c>
      <c r="H160" s="30">
        <v>2733775.1937029432</v>
      </c>
    </row>
    <row r="161" spans="2:8" ht="12" customHeight="1" x14ac:dyDescent="0.2">
      <c r="B161" s="1"/>
    </row>
    <row r="162" spans="2:8" ht="12" customHeight="1" x14ac:dyDescent="0.2">
      <c r="B162" s="1" t="s">
        <v>200</v>
      </c>
    </row>
    <row r="163" spans="2:8" ht="12" customHeight="1" x14ac:dyDescent="0.2">
      <c r="B163" s="2" t="s">
        <v>156</v>
      </c>
      <c r="F163" s="2" t="s">
        <v>124</v>
      </c>
      <c r="H163" s="35">
        <f>H150+H155+H160</f>
        <v>7736215.6172005162</v>
      </c>
    </row>
    <row r="164" spans="2:8" ht="12" customHeight="1" x14ac:dyDescent="0.2">
      <c r="B164" s="1"/>
    </row>
    <row r="169" spans="2:8" x14ac:dyDescent="0.2">
      <c r="B169" s="2" t="s">
        <v>207</v>
      </c>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2:JF61"/>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outlineLevelCol="1" x14ac:dyDescent="0.2"/>
  <cols>
    <col min="1" max="1" width="4.7109375" style="2" customWidth="1"/>
    <col min="2" max="2" width="55.7109375" style="2" customWidth="1"/>
    <col min="3" max="5" width="2.7109375" style="2" customWidth="1"/>
    <col min="6" max="6" width="21.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3" width="14.28515625" style="2" hidden="1" customWidth="1" outlineLevel="1"/>
    <col min="14" max="14" width="0.140625" style="2" hidden="1" customWidth="1" outlineLevel="1"/>
    <col min="15" max="15" width="14.28515625" style="2" customWidth="1" collapsed="1"/>
    <col min="16" max="26" width="14.28515625" style="2" customWidth="1"/>
    <col min="27" max="27" width="2.7109375" style="2" customWidth="1"/>
    <col min="28" max="16384" width="9.140625" style="2"/>
  </cols>
  <sheetData>
    <row r="2" spans="1:266" s="17" customFormat="1" ht="18" x14ac:dyDescent="0.2">
      <c r="B2" s="17" t="s">
        <v>349</v>
      </c>
    </row>
    <row r="4" spans="1:266" x14ac:dyDescent="0.2">
      <c r="B4" s="25" t="s">
        <v>274</v>
      </c>
      <c r="C4" s="1"/>
      <c r="D4" s="1"/>
    </row>
    <row r="5" spans="1:266" x14ac:dyDescent="0.2">
      <c r="B5" s="20" t="s">
        <v>356</v>
      </c>
      <c r="C5" s="3"/>
      <c r="D5" s="3"/>
      <c r="H5" s="18"/>
    </row>
    <row r="6" spans="1:266" x14ac:dyDescent="0.2">
      <c r="B6" s="2" t="s">
        <v>357</v>
      </c>
      <c r="C6" s="3"/>
      <c r="D6" s="3"/>
      <c r="H6" s="18"/>
    </row>
    <row r="7" spans="1:266" x14ac:dyDescent="0.2">
      <c r="B7" s="2" t="s">
        <v>358</v>
      </c>
      <c r="C7" s="3"/>
      <c r="D7" s="3"/>
      <c r="H7" s="18"/>
    </row>
    <row r="8" spans="1:266" x14ac:dyDescent="0.2">
      <c r="B8" s="20"/>
      <c r="C8" s="3"/>
      <c r="D8" s="3"/>
      <c r="H8" s="18"/>
    </row>
    <row r="10" spans="1:266" s="38" customFormat="1" ht="153" x14ac:dyDescent="0.2">
      <c r="A10" s="9"/>
      <c r="B10" s="9" t="s">
        <v>18</v>
      </c>
      <c r="C10" s="9"/>
      <c r="D10" s="9"/>
      <c r="E10" s="9"/>
      <c r="F10" s="9" t="s">
        <v>54</v>
      </c>
      <c r="G10" s="9"/>
      <c r="H10" s="9" t="s">
        <v>52</v>
      </c>
      <c r="I10" s="9"/>
      <c r="J10" s="39" t="s">
        <v>226</v>
      </c>
      <c r="K10" s="9"/>
      <c r="L10" s="88" t="s">
        <v>273</v>
      </c>
      <c r="M10" s="88" t="s">
        <v>227</v>
      </c>
      <c r="N10" s="88" t="s">
        <v>228</v>
      </c>
      <c r="O10" s="88" t="s">
        <v>229</v>
      </c>
      <c r="P10" s="88" t="s">
        <v>230</v>
      </c>
      <c r="Q10" s="88" t="s">
        <v>231</v>
      </c>
      <c r="R10" s="88" t="s">
        <v>232</v>
      </c>
      <c r="S10" s="88" t="s">
        <v>233</v>
      </c>
      <c r="T10" s="88" t="s">
        <v>234</v>
      </c>
      <c r="U10" s="88" t="s">
        <v>235</v>
      </c>
      <c r="V10" s="88" t="s">
        <v>236</v>
      </c>
      <c r="W10" s="88" t="s">
        <v>237</v>
      </c>
      <c r="X10" s="88" t="s">
        <v>238</v>
      </c>
      <c r="Y10" s="88" t="s">
        <v>239</v>
      </c>
      <c r="Z10" s="88" t="s">
        <v>240</v>
      </c>
      <c r="AA10" s="9"/>
      <c r="AB10" s="9" t="s">
        <v>241</v>
      </c>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row>
    <row r="13" spans="1:266" s="38" customFormat="1" x14ac:dyDescent="0.2">
      <c r="A13" s="9"/>
      <c r="B13" s="9" t="s">
        <v>212</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c r="JC13" s="9"/>
      <c r="JD13" s="9"/>
      <c r="JE13" s="9"/>
      <c r="JF13" s="9"/>
    </row>
    <row r="14" spans="1:266" s="38" customForma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row>
    <row r="15" spans="1:266" s="38" customFormat="1" x14ac:dyDescent="0.2">
      <c r="A15" s="2"/>
      <c r="B15" s="1" t="s">
        <v>213</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row>
    <row r="16" spans="1:266" s="38" customFormat="1" x14ac:dyDescent="0.2">
      <c r="A16" s="2"/>
      <c r="B16" s="2" t="s">
        <v>214</v>
      </c>
      <c r="C16" s="2"/>
      <c r="D16" s="2"/>
      <c r="E16" s="2"/>
      <c r="F16" s="2" t="s">
        <v>215</v>
      </c>
      <c r="G16" s="2"/>
      <c r="H16" s="2"/>
      <c r="I16" s="2"/>
      <c r="J16" s="2"/>
      <c r="K16" s="2"/>
      <c r="L16" s="2"/>
      <c r="M16" s="2"/>
      <c r="N16" s="2"/>
      <c r="O16" s="96">
        <f>'Production and fuel costs 2018'!O17</f>
        <v>0</v>
      </c>
      <c r="P16" s="96">
        <f>'Production and fuel costs 2018'!P17</f>
        <v>0</v>
      </c>
      <c r="Q16" s="96">
        <f>'Production and fuel costs 2018'!Q17</f>
        <v>0</v>
      </c>
      <c r="R16" s="96">
        <f>'Production and fuel costs 2018'!R17</f>
        <v>0</v>
      </c>
      <c r="S16" s="96">
        <f>'Production and fuel costs 2018'!S17</f>
        <v>0</v>
      </c>
      <c r="T16" s="96">
        <f>'Production and fuel costs 2018'!T17</f>
        <v>0</v>
      </c>
      <c r="U16" s="96">
        <f>'Production and fuel costs 2018'!U17</f>
        <v>0</v>
      </c>
      <c r="V16" s="96">
        <f>'Production and fuel costs 2018'!V17</f>
        <v>0</v>
      </c>
      <c r="W16" s="96">
        <f>'Production and fuel costs 2018'!W17</f>
        <v>0</v>
      </c>
      <c r="X16" s="96">
        <f>'Production and fuel costs 2018'!X17</f>
        <v>0</v>
      </c>
      <c r="Y16" s="96">
        <f>'Production and fuel costs 2018'!Y17</f>
        <v>0</v>
      </c>
      <c r="Z16" s="96">
        <f>'Production and fuel costs 2018'!Z17</f>
        <v>0</v>
      </c>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row>
    <row r="17" spans="1:266" s="38" customFormat="1" x14ac:dyDescent="0.2">
      <c r="A17" s="2"/>
      <c r="B17" s="2" t="s">
        <v>216</v>
      </c>
      <c r="C17" s="2"/>
      <c r="D17" s="2"/>
      <c r="E17" s="2"/>
      <c r="F17" s="2" t="s">
        <v>217</v>
      </c>
      <c r="G17" s="2"/>
      <c r="H17" s="2"/>
      <c r="I17" s="2"/>
      <c r="J17" s="2"/>
      <c r="K17" s="2"/>
      <c r="L17" s="2"/>
      <c r="M17" s="2"/>
      <c r="N17" s="2"/>
      <c r="O17" s="34">
        <f>'Production and fuel costs 2018'!O18</f>
        <v>0</v>
      </c>
      <c r="P17" s="34">
        <f>'Production and fuel costs 2018'!P18</f>
        <v>0</v>
      </c>
      <c r="Q17" s="34">
        <f>'Production and fuel costs 2018'!Q18</f>
        <v>0</v>
      </c>
      <c r="R17" s="34">
        <f>'Production and fuel costs 2018'!R18</f>
        <v>0</v>
      </c>
      <c r="S17" s="34">
        <f>'Production and fuel costs 2018'!S18</f>
        <v>0</v>
      </c>
      <c r="T17" s="34">
        <f>'Production and fuel costs 2018'!T18</f>
        <v>0</v>
      </c>
      <c r="U17" s="34">
        <f>'Production and fuel costs 2018'!U18</f>
        <v>0</v>
      </c>
      <c r="V17" s="34">
        <f>'Production and fuel costs 2018'!V18</f>
        <v>0</v>
      </c>
      <c r="W17" s="34">
        <f>'Production and fuel costs 2018'!W18</f>
        <v>0</v>
      </c>
      <c r="X17" s="34">
        <f>'Production and fuel costs 2018'!X18</f>
        <v>0</v>
      </c>
      <c r="Y17" s="34">
        <f>'Production and fuel costs 2018'!Y18</f>
        <v>0</v>
      </c>
      <c r="Z17" s="34">
        <f>'Production and fuel costs 2018'!Z18</f>
        <v>0</v>
      </c>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row>
    <row r="18" spans="1:266" s="38" customFormat="1" x14ac:dyDescent="0.2">
      <c r="A18" s="2"/>
      <c r="B18" s="2" t="s">
        <v>218</v>
      </c>
      <c r="C18" s="2"/>
      <c r="D18" s="2"/>
      <c r="E18" s="2"/>
      <c r="F18" s="2" t="s">
        <v>79</v>
      </c>
      <c r="G18" s="2"/>
      <c r="H18" s="2"/>
      <c r="I18" s="2"/>
      <c r="J18" s="2"/>
      <c r="K18" s="2"/>
      <c r="L18" s="2"/>
      <c r="M18" s="2"/>
      <c r="N18" s="2"/>
      <c r="O18" s="34">
        <f>'Production and fuel costs 2018'!O19</f>
        <v>0</v>
      </c>
      <c r="P18" s="34">
        <f>'Production and fuel costs 2018'!P19</f>
        <v>0</v>
      </c>
      <c r="Q18" s="34">
        <f>'Production and fuel costs 2018'!Q19</f>
        <v>0</v>
      </c>
      <c r="R18" s="34">
        <f>'Production and fuel costs 2018'!R19</f>
        <v>0</v>
      </c>
      <c r="S18" s="34">
        <f>'Production and fuel costs 2018'!S19</f>
        <v>0</v>
      </c>
      <c r="T18" s="34">
        <f>'Production and fuel costs 2018'!T19</f>
        <v>0</v>
      </c>
      <c r="U18" s="34">
        <f>'Production and fuel costs 2018'!U19</f>
        <v>0</v>
      </c>
      <c r="V18" s="34">
        <f>'Production and fuel costs 2018'!V19</f>
        <v>0</v>
      </c>
      <c r="W18" s="34">
        <f>'Production and fuel costs 2018'!W19</f>
        <v>0</v>
      </c>
      <c r="X18" s="34">
        <f>'Production and fuel costs 2018'!X19</f>
        <v>0</v>
      </c>
      <c r="Y18" s="34">
        <f>'Production and fuel costs 2018'!Y19</f>
        <v>0</v>
      </c>
      <c r="Z18" s="34">
        <f>'Production and fuel costs 2018'!Z19</f>
        <v>0</v>
      </c>
      <c r="AA18" s="2"/>
      <c r="AB18" s="24"/>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row>
    <row r="19" spans="1:266" s="38" customForma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row>
    <row r="20" spans="1:266" s="38" customFormat="1" x14ac:dyDescent="0.2">
      <c r="A20" s="2"/>
      <c r="B20" s="1" t="s">
        <v>219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row>
    <row r="21" spans="1:266" s="38" customFormat="1" x14ac:dyDescent="0.2">
      <c r="A21" s="2"/>
      <c r="B21" s="2" t="s">
        <v>214</v>
      </c>
      <c r="C21" s="2"/>
      <c r="D21" s="2"/>
      <c r="E21" s="2"/>
      <c r="F21" s="2" t="s">
        <v>220</v>
      </c>
      <c r="G21" s="2"/>
      <c r="H21" s="2"/>
      <c r="I21" s="2"/>
      <c r="J21" s="2"/>
      <c r="K21" s="2"/>
      <c r="L21" s="2"/>
      <c r="M21" s="2"/>
      <c r="N21" s="2"/>
      <c r="O21" s="96">
        <f>'Production and fuel costs 2018'!O22</f>
        <v>0</v>
      </c>
      <c r="P21" s="96">
        <f>'Production and fuel costs 2018'!P22</f>
        <v>0</v>
      </c>
      <c r="Q21" s="96">
        <f>'Production and fuel costs 2018'!Q22</f>
        <v>0</v>
      </c>
      <c r="R21" s="96">
        <f>'Production and fuel costs 2018'!R22</f>
        <v>0</v>
      </c>
      <c r="S21" s="96">
        <f>'Production and fuel costs 2018'!S22</f>
        <v>0</v>
      </c>
      <c r="T21" s="96">
        <f>'Production and fuel costs 2018'!T22</f>
        <v>0</v>
      </c>
      <c r="U21" s="96">
        <f>'Production and fuel costs 2018'!U22</f>
        <v>0</v>
      </c>
      <c r="V21" s="96">
        <f>'Production and fuel costs 2018'!V22</f>
        <v>0</v>
      </c>
      <c r="W21" s="96">
        <f>'Production and fuel costs 2018'!W22</f>
        <v>0</v>
      </c>
      <c r="X21" s="96">
        <f>'Production and fuel costs 2018'!X22</f>
        <v>0</v>
      </c>
      <c r="Y21" s="96">
        <f>'Production and fuel costs 2018'!Y22</f>
        <v>0</v>
      </c>
      <c r="Z21" s="96">
        <f>'Production and fuel costs 2018'!Z22</f>
        <v>0</v>
      </c>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row>
    <row r="22" spans="1:266" s="38" customFormat="1" x14ac:dyDescent="0.2">
      <c r="A22" s="2"/>
      <c r="B22" s="2" t="s">
        <v>216</v>
      </c>
      <c r="C22" s="2"/>
      <c r="D22" s="2"/>
      <c r="E22" s="2"/>
      <c r="F22" s="2" t="s">
        <v>221</v>
      </c>
      <c r="G22" s="2"/>
      <c r="H22" s="2"/>
      <c r="I22" s="2"/>
      <c r="J22" s="2"/>
      <c r="K22" s="2"/>
      <c r="L22" s="2"/>
      <c r="M22" s="2"/>
      <c r="N22" s="2"/>
      <c r="O22" s="34">
        <f>'Production and fuel costs 2018'!O23</f>
        <v>0</v>
      </c>
      <c r="P22" s="34">
        <f>'Production and fuel costs 2018'!P23</f>
        <v>0</v>
      </c>
      <c r="Q22" s="34">
        <f>'Production and fuel costs 2018'!Q23</f>
        <v>0</v>
      </c>
      <c r="R22" s="34">
        <f>'Production and fuel costs 2018'!R23</f>
        <v>0</v>
      </c>
      <c r="S22" s="34">
        <f>'Production and fuel costs 2018'!S23</f>
        <v>0</v>
      </c>
      <c r="T22" s="34">
        <f>'Production and fuel costs 2018'!T23</f>
        <v>0</v>
      </c>
      <c r="U22" s="34">
        <f>'Production and fuel costs 2018'!U23</f>
        <v>0</v>
      </c>
      <c r="V22" s="34">
        <f>'Production and fuel costs 2018'!V23</f>
        <v>0</v>
      </c>
      <c r="W22" s="34">
        <f>'Production and fuel costs 2018'!W23</f>
        <v>0</v>
      </c>
      <c r="X22" s="34">
        <f>'Production and fuel costs 2018'!X23</f>
        <v>0</v>
      </c>
      <c r="Y22" s="34">
        <f>'Production and fuel costs 2018'!Y23</f>
        <v>0</v>
      </c>
      <c r="Z22" s="34">
        <f>'Production and fuel costs 2018'!Z23</f>
        <v>0</v>
      </c>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row>
    <row r="23" spans="1:266" s="38" customFormat="1" x14ac:dyDescent="0.2">
      <c r="A23" s="2"/>
      <c r="B23" s="2" t="s">
        <v>222</v>
      </c>
      <c r="C23" s="2"/>
      <c r="D23" s="2"/>
      <c r="E23" s="2"/>
      <c r="F23" s="2" t="s">
        <v>79</v>
      </c>
      <c r="G23" s="2"/>
      <c r="H23" s="2"/>
      <c r="I23" s="2"/>
      <c r="J23" s="2"/>
      <c r="K23" s="2"/>
      <c r="L23" s="2"/>
      <c r="M23" s="2"/>
      <c r="N23" s="2"/>
      <c r="O23" s="34">
        <f>'Production and fuel costs 2018'!O24</f>
        <v>0</v>
      </c>
      <c r="P23" s="34">
        <f>'Production and fuel costs 2018'!P24</f>
        <v>0</v>
      </c>
      <c r="Q23" s="34">
        <f>'Production and fuel costs 2018'!Q24</f>
        <v>0</v>
      </c>
      <c r="R23" s="34">
        <f>'Production and fuel costs 2018'!R24</f>
        <v>0</v>
      </c>
      <c r="S23" s="34">
        <f>'Production and fuel costs 2018'!S24</f>
        <v>0</v>
      </c>
      <c r="T23" s="34">
        <f>'Production and fuel costs 2018'!T24</f>
        <v>0</v>
      </c>
      <c r="U23" s="34">
        <f>'Production and fuel costs 2018'!U24</f>
        <v>0</v>
      </c>
      <c r="V23" s="34">
        <f>'Production and fuel costs 2018'!V24</f>
        <v>0</v>
      </c>
      <c r="W23" s="34">
        <f>'Production and fuel costs 2018'!W24</f>
        <v>0</v>
      </c>
      <c r="X23" s="34">
        <f>'Production and fuel costs 2018'!X24</f>
        <v>0</v>
      </c>
      <c r="Y23" s="34">
        <f>'Production and fuel costs 2018'!Y24</f>
        <v>0</v>
      </c>
      <c r="Z23" s="34">
        <f>'Production and fuel costs 2018'!Z24</f>
        <v>0</v>
      </c>
      <c r="AA23" s="2"/>
      <c r="AB23" s="24"/>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row>
    <row r="24" spans="1:266" s="38" customForma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row>
    <row r="25" spans="1:266" s="38" customFormat="1" x14ac:dyDescent="0.2">
      <c r="A25" s="2"/>
      <c r="B25" s="1" t="s">
        <v>223</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row>
    <row r="26" spans="1:266" s="38" customFormat="1" x14ac:dyDescent="0.2">
      <c r="A26" s="2"/>
      <c r="B26" s="2" t="s">
        <v>224</v>
      </c>
      <c r="C26" s="2"/>
      <c r="D26" s="2"/>
      <c r="E26" s="2"/>
      <c r="F26" s="2" t="s">
        <v>79</v>
      </c>
      <c r="G26" s="2"/>
      <c r="H26" s="2"/>
      <c r="I26" s="2"/>
      <c r="J26" s="2"/>
      <c r="K26" s="2"/>
      <c r="L26" s="2"/>
      <c r="M26" s="2"/>
      <c r="N26" s="2"/>
      <c r="O26" s="34">
        <f>'Production and fuel costs 2018'!O27</f>
        <v>0</v>
      </c>
      <c r="P26" s="34">
        <f>'Production and fuel costs 2018'!P27</f>
        <v>0</v>
      </c>
      <c r="Q26" s="34">
        <f>'Production and fuel costs 2018'!Q27</f>
        <v>0</v>
      </c>
      <c r="R26" s="34">
        <f>'Production and fuel costs 2018'!R27</f>
        <v>0</v>
      </c>
      <c r="S26" s="34">
        <f>'Production and fuel costs 2018'!S27</f>
        <v>0</v>
      </c>
      <c r="T26" s="34">
        <f>'Production and fuel costs 2018'!T27</f>
        <v>0</v>
      </c>
      <c r="U26" s="34">
        <f>'Production and fuel costs 2018'!U27</f>
        <v>0</v>
      </c>
      <c r="V26" s="34">
        <f>'Production and fuel costs 2018'!V27</f>
        <v>0</v>
      </c>
      <c r="W26" s="34">
        <f>'Production and fuel costs 2018'!W27</f>
        <v>0</v>
      </c>
      <c r="X26" s="34">
        <f>'Production and fuel costs 2018'!X27</f>
        <v>0</v>
      </c>
      <c r="Y26" s="34">
        <f>'Production and fuel costs 2018'!Y27</f>
        <v>0</v>
      </c>
      <c r="Z26" s="34">
        <f>'Production and fuel costs 2018'!Z27</f>
        <v>0</v>
      </c>
      <c r="AA26" s="2"/>
      <c r="AB26" s="24"/>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row>
    <row r="27" spans="1:266" s="38" customForma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row>
    <row r="28" spans="1:266" s="38" customFormat="1" x14ac:dyDescent="0.2">
      <c r="A28" s="2"/>
      <c r="B28" s="2" t="s">
        <v>225</v>
      </c>
      <c r="C28" s="2"/>
      <c r="D28" s="2"/>
      <c r="E28" s="2"/>
      <c r="F28" s="2" t="s">
        <v>79</v>
      </c>
      <c r="G28" s="2"/>
      <c r="H28" s="2"/>
      <c r="I28" s="2"/>
      <c r="J28" s="2"/>
      <c r="K28" s="2"/>
      <c r="L28" s="2"/>
      <c r="M28" s="2"/>
      <c r="N28" s="2"/>
      <c r="O28" s="56">
        <f t="shared" ref="O28:Z28" si="0">O18+O23+O26</f>
        <v>0</v>
      </c>
      <c r="P28" s="56">
        <f t="shared" si="0"/>
        <v>0</v>
      </c>
      <c r="Q28" s="56">
        <f t="shared" si="0"/>
        <v>0</v>
      </c>
      <c r="R28" s="56">
        <f t="shared" si="0"/>
        <v>0</v>
      </c>
      <c r="S28" s="56">
        <f t="shared" si="0"/>
        <v>0</v>
      </c>
      <c r="T28" s="56">
        <f t="shared" si="0"/>
        <v>0</v>
      </c>
      <c r="U28" s="56">
        <f t="shared" si="0"/>
        <v>0</v>
      </c>
      <c r="V28" s="56">
        <f t="shared" si="0"/>
        <v>0</v>
      </c>
      <c r="W28" s="56">
        <f t="shared" si="0"/>
        <v>0</v>
      </c>
      <c r="X28" s="56">
        <f t="shared" si="0"/>
        <v>0</v>
      </c>
      <c r="Y28" s="56">
        <f t="shared" si="0"/>
        <v>0</v>
      </c>
      <c r="Z28" s="56">
        <f t="shared" si="0"/>
        <v>0</v>
      </c>
      <c r="AA28" s="2"/>
      <c r="AB28" s="24"/>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row>
    <row r="29" spans="1:266" s="38" customForma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row>
    <row r="30" spans="1:266" s="38" customForma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row>
    <row r="31" spans="1:266" s="38" customFormat="1" x14ac:dyDescent="0.2">
      <c r="A31" s="9"/>
      <c r="B31" s="9" t="s">
        <v>248</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c r="JC31" s="9"/>
      <c r="JD31" s="9"/>
      <c r="JE31" s="9"/>
      <c r="JF31" s="9"/>
    </row>
    <row r="32" spans="1:266" s="38"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row>
    <row r="33" spans="1:266" s="38" customFormat="1" x14ac:dyDescent="0.2">
      <c r="A33" s="2"/>
      <c r="B33" s="1" t="s">
        <v>249</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row>
    <row r="34" spans="1:266" s="38" customFormat="1" x14ac:dyDescent="0.2">
      <c r="A34" s="2"/>
      <c r="B34" s="2" t="s">
        <v>275</v>
      </c>
      <c r="C34" s="2"/>
      <c r="D34" s="2"/>
      <c r="E34" s="2"/>
      <c r="F34" s="2" t="s">
        <v>251</v>
      </c>
      <c r="G34" s="2"/>
      <c r="H34" s="2"/>
      <c r="I34" s="2"/>
      <c r="J34" s="2"/>
      <c r="K34" s="2"/>
      <c r="L34" s="2"/>
      <c r="M34" s="2"/>
      <c r="N34" s="2"/>
      <c r="O34" s="95">
        <f>'Production and fuel costs 2018'!O37</f>
        <v>0</v>
      </c>
      <c r="P34" s="95">
        <f>'Production and fuel costs 2018'!P37</f>
        <v>0</v>
      </c>
      <c r="Q34" s="95">
        <f>'Production and fuel costs 2018'!Q37</f>
        <v>0</v>
      </c>
      <c r="R34" s="95">
        <f>'Production and fuel costs 2018'!R37</f>
        <v>0</v>
      </c>
      <c r="S34" s="95">
        <f>'Production and fuel costs 2018'!S37</f>
        <v>0</v>
      </c>
      <c r="T34" s="95">
        <f>'Production and fuel costs 2018'!T37</f>
        <v>0</v>
      </c>
      <c r="U34" s="95">
        <f>'Production and fuel costs 2018'!U37</f>
        <v>0</v>
      </c>
      <c r="V34" s="95">
        <f>'Production and fuel costs 2018'!V37</f>
        <v>0</v>
      </c>
      <c r="W34" s="95">
        <f>'Production and fuel costs 2018'!W37</f>
        <v>0</v>
      </c>
      <c r="X34" s="95">
        <f>'Production and fuel costs 2018'!X37</f>
        <v>0</v>
      </c>
      <c r="Y34" s="95">
        <f>'Production and fuel costs 2018'!Y37</f>
        <v>0</v>
      </c>
      <c r="Z34" s="95">
        <f>'Production and fuel costs 2018'!Z37</f>
        <v>0</v>
      </c>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row>
    <row r="35" spans="1:266" s="38" customFormat="1" x14ac:dyDescent="0.2">
      <c r="A35" s="2"/>
      <c r="B35" s="2" t="s">
        <v>252</v>
      </c>
      <c r="C35" s="2"/>
      <c r="D35" s="2"/>
      <c r="E35" s="2"/>
      <c r="F35" s="2" t="s">
        <v>79</v>
      </c>
      <c r="G35" s="2"/>
      <c r="H35" s="2"/>
      <c r="I35" s="2"/>
      <c r="J35" s="2"/>
      <c r="K35" s="2"/>
      <c r="L35" s="2"/>
      <c r="M35" s="2"/>
      <c r="N35" s="2"/>
      <c r="O35" s="97">
        <f>'Production and fuel costs 2018'!O38</f>
        <v>0</v>
      </c>
      <c r="P35" s="97">
        <f>'Production and fuel costs 2018'!P38</f>
        <v>0</v>
      </c>
      <c r="Q35" s="97">
        <f>'Production and fuel costs 2018'!Q38</f>
        <v>0</v>
      </c>
      <c r="R35" s="97">
        <f>'Production and fuel costs 2018'!R38</f>
        <v>0</v>
      </c>
      <c r="S35" s="97">
        <f>'Production and fuel costs 2018'!S38</f>
        <v>0</v>
      </c>
      <c r="T35" s="97">
        <f>'Production and fuel costs 2018'!T38</f>
        <v>0</v>
      </c>
      <c r="U35" s="97">
        <f>'Production and fuel costs 2018'!U38</f>
        <v>0</v>
      </c>
      <c r="V35" s="97">
        <f>'Production and fuel costs 2018'!V38</f>
        <v>0</v>
      </c>
      <c r="W35" s="97">
        <f>'Production and fuel costs 2018'!W38</f>
        <v>0</v>
      </c>
      <c r="X35" s="97">
        <f>'Production and fuel costs 2018'!X38</f>
        <v>0</v>
      </c>
      <c r="Y35" s="97">
        <f>'Production and fuel costs 2018'!Y38</f>
        <v>0</v>
      </c>
      <c r="Z35" s="97">
        <f>'Production and fuel costs 2018'!Z38</f>
        <v>0</v>
      </c>
      <c r="AA35" s="2"/>
      <c r="AB35" s="24"/>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row>
    <row r="36" spans="1:266" s="38" customForma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4"/>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row>
    <row r="37" spans="1:266" s="38" customFormat="1" x14ac:dyDescent="0.2">
      <c r="A37" s="2"/>
      <c r="B37" s="1" t="s">
        <v>276</v>
      </c>
      <c r="C37" s="2"/>
      <c r="D37" s="2"/>
      <c r="E37" s="2"/>
      <c r="F37" s="2"/>
      <c r="G37" s="2"/>
      <c r="H37" s="2"/>
      <c r="I37" s="2"/>
      <c r="J37" s="2"/>
      <c r="K37" s="2"/>
      <c r="L37" s="2"/>
      <c r="M37" s="2"/>
      <c r="N37" s="2"/>
      <c r="O37" s="2"/>
      <c r="P37" s="2"/>
      <c r="Q37" s="2"/>
      <c r="R37" s="2"/>
      <c r="S37" s="2"/>
      <c r="T37" s="2"/>
      <c r="U37" s="2"/>
      <c r="V37" s="2"/>
      <c r="W37" s="2"/>
      <c r="X37" s="2"/>
      <c r="Y37" s="2"/>
      <c r="Z37" s="2"/>
      <c r="AA37" s="2"/>
      <c r="AB37" s="24"/>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row>
    <row r="38" spans="1:266" s="38" customFormat="1" x14ac:dyDescent="0.2">
      <c r="A38" s="2"/>
      <c r="B38" s="2" t="s">
        <v>277</v>
      </c>
      <c r="C38" s="2"/>
      <c r="D38" s="2"/>
      <c r="E38" s="2"/>
      <c r="F38" s="2" t="s">
        <v>251</v>
      </c>
      <c r="G38" s="2"/>
      <c r="H38" s="2"/>
      <c r="I38" s="2"/>
      <c r="J38" s="2"/>
      <c r="K38" s="2"/>
      <c r="L38" s="2"/>
      <c r="M38" s="2"/>
      <c r="N38" s="2"/>
      <c r="O38" s="95">
        <f>'Production and fuel costs 2018'!$H$41</f>
        <v>0.12995627909000229</v>
      </c>
      <c r="P38" s="95">
        <f>'Production and fuel costs 2018'!$H$41</f>
        <v>0.12995627909000229</v>
      </c>
      <c r="Q38" s="95">
        <f>'Production and fuel costs 2018'!$H$41</f>
        <v>0.12995627909000229</v>
      </c>
      <c r="R38" s="95">
        <f>'Production and fuel costs 2018'!$H$41</f>
        <v>0.12995627909000229</v>
      </c>
      <c r="S38" s="95">
        <f>'Production and fuel costs 2018'!$H$41</f>
        <v>0.12995627909000229</v>
      </c>
      <c r="T38" s="95">
        <f>'Production and fuel costs 2018'!$H$41</f>
        <v>0.12995627909000229</v>
      </c>
      <c r="U38" s="95">
        <f>'Production and fuel costs 2018'!$H$41</f>
        <v>0.12995627909000229</v>
      </c>
      <c r="V38" s="95">
        <f>'Production and fuel costs 2018'!$H$41</f>
        <v>0.12995627909000229</v>
      </c>
      <c r="W38" s="95">
        <f>'Production and fuel costs 2018'!$H$41</f>
        <v>0.12995627909000229</v>
      </c>
      <c r="X38" s="95">
        <f>'Production and fuel costs 2018'!$H$41</f>
        <v>0.12995627909000229</v>
      </c>
      <c r="Y38" s="95">
        <f>'Production and fuel costs 2018'!$H$41</f>
        <v>0.12995627909000229</v>
      </c>
      <c r="Z38" s="95">
        <f>'Production and fuel costs 2018'!$H$41</f>
        <v>0.12995627909000229</v>
      </c>
      <c r="AA38" s="2"/>
      <c r="AB38" s="24"/>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row>
    <row r="39" spans="1:266" s="38"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4"/>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row>
    <row r="40" spans="1:266" s="38" customForma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row>
    <row r="41" spans="1:266" s="38" customFormat="1" x14ac:dyDescent="0.2">
      <c r="A41" s="9"/>
      <c r="B41" s="9" t="s">
        <v>348</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c r="HY41" s="9"/>
      <c r="HZ41" s="9"/>
      <c r="IA41" s="9"/>
      <c r="IB41" s="9"/>
      <c r="IC41" s="9"/>
      <c r="ID41" s="9"/>
      <c r="IE41" s="9"/>
      <c r="IF41" s="9"/>
      <c r="IG41" s="9"/>
      <c r="IH41" s="9"/>
      <c r="II41" s="9"/>
      <c r="IJ41" s="9"/>
      <c r="IK41" s="9"/>
      <c r="IL41" s="9"/>
      <c r="IM41" s="9"/>
      <c r="IN41" s="9"/>
      <c r="IO41" s="9"/>
      <c r="IP41" s="9"/>
      <c r="IQ41" s="9"/>
      <c r="IR41" s="9"/>
      <c r="IS41" s="9"/>
      <c r="IT41" s="9"/>
      <c r="IU41" s="9"/>
      <c r="IV41" s="9"/>
      <c r="IW41" s="9"/>
      <c r="IX41" s="9"/>
      <c r="IY41" s="9"/>
      <c r="IZ41" s="9"/>
      <c r="JA41" s="9"/>
      <c r="JB41" s="9"/>
      <c r="JC41" s="9"/>
      <c r="JD41" s="9"/>
      <c r="JE41" s="9"/>
      <c r="JF41" s="9"/>
    </row>
    <row r="42" spans="1:266" s="38"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row>
    <row r="43" spans="1:266" s="38" customFormat="1" x14ac:dyDescent="0.2">
      <c r="A43" s="2"/>
      <c r="B43" s="1" t="s">
        <v>278</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row>
    <row r="44" spans="1:266" s="38" customFormat="1" x14ac:dyDescent="0.2">
      <c r="A44" s="2"/>
      <c r="B44" s="20" t="s">
        <v>279</v>
      </c>
      <c r="C44" s="2"/>
      <c r="D44" s="2"/>
      <c r="E44" s="2"/>
      <c r="F44" s="2" t="s">
        <v>251</v>
      </c>
      <c r="G44" s="2"/>
      <c r="H44" s="2"/>
      <c r="I44" s="2"/>
      <c r="J44" s="2"/>
      <c r="K44" s="2"/>
      <c r="L44" s="2"/>
      <c r="M44" s="2"/>
      <c r="N44" s="2"/>
      <c r="O44" s="81">
        <f t="shared" ref="O44:Z44" si="1">O34-O38</f>
        <v>-0.12995627909000229</v>
      </c>
      <c r="P44" s="81">
        <f t="shared" si="1"/>
        <v>-0.12995627909000229</v>
      </c>
      <c r="Q44" s="81">
        <f t="shared" si="1"/>
        <v>-0.12995627909000229</v>
      </c>
      <c r="R44" s="81">
        <f t="shared" si="1"/>
        <v>-0.12995627909000229</v>
      </c>
      <c r="S44" s="81">
        <f t="shared" si="1"/>
        <v>-0.12995627909000229</v>
      </c>
      <c r="T44" s="81">
        <f t="shared" si="1"/>
        <v>-0.12995627909000229</v>
      </c>
      <c r="U44" s="81">
        <f t="shared" si="1"/>
        <v>-0.12995627909000229</v>
      </c>
      <c r="V44" s="81">
        <f t="shared" si="1"/>
        <v>-0.12995627909000229</v>
      </c>
      <c r="W44" s="81">
        <f t="shared" si="1"/>
        <v>-0.12995627909000229</v>
      </c>
      <c r="X44" s="81">
        <f t="shared" si="1"/>
        <v>-0.12995627909000229</v>
      </c>
      <c r="Y44" s="81">
        <f t="shared" si="1"/>
        <v>-0.12995627909000229</v>
      </c>
      <c r="Z44" s="81">
        <f t="shared" si="1"/>
        <v>-0.12995627909000229</v>
      </c>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row>
    <row r="45" spans="1:266" s="38" customFormat="1" x14ac:dyDescent="0.2">
      <c r="A45" s="2"/>
      <c r="B45" s="2" t="s">
        <v>308</v>
      </c>
      <c r="C45" s="2"/>
      <c r="D45" s="2"/>
      <c r="E45" s="2"/>
      <c r="F45" s="2" t="s">
        <v>89</v>
      </c>
      <c r="G45" s="2"/>
      <c r="H45" s="2"/>
      <c r="I45" s="2"/>
      <c r="J45" s="2"/>
      <c r="K45" s="2"/>
      <c r="L45" s="2"/>
      <c r="M45" s="2"/>
      <c r="N45" s="2"/>
      <c r="O45" s="35">
        <f t="shared" ref="O45:Z45" si="2">O44*O35</f>
        <v>0</v>
      </c>
      <c r="P45" s="35">
        <f t="shared" si="2"/>
        <v>0</v>
      </c>
      <c r="Q45" s="35">
        <f t="shared" si="2"/>
        <v>0</v>
      </c>
      <c r="R45" s="35">
        <f t="shared" si="2"/>
        <v>0</v>
      </c>
      <c r="S45" s="35">
        <f t="shared" si="2"/>
        <v>0</v>
      </c>
      <c r="T45" s="35">
        <f t="shared" si="2"/>
        <v>0</v>
      </c>
      <c r="U45" s="35">
        <f t="shared" si="2"/>
        <v>0</v>
      </c>
      <c r="V45" s="35">
        <f t="shared" si="2"/>
        <v>0</v>
      </c>
      <c r="W45" s="35">
        <f t="shared" si="2"/>
        <v>0</v>
      </c>
      <c r="X45" s="35">
        <f t="shared" si="2"/>
        <v>0</v>
      </c>
      <c r="Y45" s="35">
        <f t="shared" si="2"/>
        <v>0</v>
      </c>
      <c r="Z45" s="35">
        <f t="shared" si="2"/>
        <v>0</v>
      </c>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row>
    <row r="46" spans="1:266" s="38" customForma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row>
    <row r="47" spans="1:266" s="38" customFormat="1" x14ac:dyDescent="0.2">
      <c r="A47" s="2"/>
      <c r="B47" s="1" t="s">
        <v>280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row>
    <row r="48" spans="1:266" s="38" customFormat="1" x14ac:dyDescent="0.2">
      <c r="A48" s="2"/>
      <c r="B48" s="2" t="s">
        <v>281</v>
      </c>
      <c r="C48" s="2"/>
      <c r="D48" s="2"/>
      <c r="E48" s="2"/>
      <c r="F48" s="2" t="s">
        <v>89</v>
      </c>
      <c r="G48" s="2"/>
      <c r="H48" s="2"/>
      <c r="I48" s="2"/>
      <c r="J48" s="2"/>
      <c r="K48" s="2"/>
      <c r="L48" s="2"/>
      <c r="M48" s="2"/>
      <c r="N48" s="2"/>
      <c r="O48" s="56">
        <f t="shared" ref="O48:Z48" si="3">O16*O17</f>
        <v>0</v>
      </c>
      <c r="P48" s="56">
        <f t="shared" si="3"/>
        <v>0</v>
      </c>
      <c r="Q48" s="56">
        <f t="shared" si="3"/>
        <v>0</v>
      </c>
      <c r="R48" s="56">
        <f t="shared" si="3"/>
        <v>0</v>
      </c>
      <c r="S48" s="56">
        <f t="shared" si="3"/>
        <v>0</v>
      </c>
      <c r="T48" s="56">
        <f t="shared" si="3"/>
        <v>0</v>
      </c>
      <c r="U48" s="56">
        <f t="shared" si="3"/>
        <v>0</v>
      </c>
      <c r="V48" s="56">
        <f t="shared" si="3"/>
        <v>0</v>
      </c>
      <c r="W48" s="56">
        <f t="shared" si="3"/>
        <v>0</v>
      </c>
      <c r="X48" s="56">
        <f t="shared" si="3"/>
        <v>0</v>
      </c>
      <c r="Y48" s="56">
        <f t="shared" si="3"/>
        <v>0</v>
      </c>
      <c r="Z48" s="56">
        <f t="shared" si="3"/>
        <v>0</v>
      </c>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row>
    <row r="49" spans="1:266" s="38" customFormat="1" x14ac:dyDescent="0.2">
      <c r="A49" s="2"/>
      <c r="B49" s="2" t="s">
        <v>282</v>
      </c>
      <c r="C49" s="2"/>
      <c r="D49" s="2"/>
      <c r="E49" s="2"/>
      <c r="F49" s="2" t="s">
        <v>89</v>
      </c>
      <c r="G49" s="2"/>
      <c r="H49" s="2"/>
      <c r="I49" s="2"/>
      <c r="J49" s="2"/>
      <c r="K49" s="2"/>
      <c r="L49" s="2"/>
      <c r="M49" s="2"/>
      <c r="N49" s="2"/>
      <c r="O49" s="56">
        <f t="shared" ref="O49:Z49" si="4">O21*O22</f>
        <v>0</v>
      </c>
      <c r="P49" s="56">
        <f t="shared" si="4"/>
        <v>0</v>
      </c>
      <c r="Q49" s="56">
        <f t="shared" si="4"/>
        <v>0</v>
      </c>
      <c r="R49" s="56">
        <f t="shared" si="4"/>
        <v>0</v>
      </c>
      <c r="S49" s="56">
        <f t="shared" si="4"/>
        <v>0</v>
      </c>
      <c r="T49" s="56">
        <f t="shared" si="4"/>
        <v>0</v>
      </c>
      <c r="U49" s="56">
        <f t="shared" si="4"/>
        <v>0</v>
      </c>
      <c r="V49" s="56">
        <f t="shared" si="4"/>
        <v>0</v>
      </c>
      <c r="W49" s="56">
        <f t="shared" si="4"/>
        <v>0</v>
      </c>
      <c r="X49" s="56">
        <f t="shared" si="4"/>
        <v>0</v>
      </c>
      <c r="Y49" s="56">
        <f t="shared" si="4"/>
        <v>0</v>
      </c>
      <c r="Z49" s="56">
        <f t="shared" si="4"/>
        <v>0</v>
      </c>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row>
    <row r="50" spans="1:266" s="38" customFormat="1" x14ac:dyDescent="0.2">
      <c r="A50" s="2"/>
      <c r="B50" s="2" t="s">
        <v>283</v>
      </c>
      <c r="C50" s="2"/>
      <c r="D50" s="2"/>
      <c r="E50" s="2"/>
      <c r="F50" s="2" t="s">
        <v>89</v>
      </c>
      <c r="G50" s="2"/>
      <c r="H50" s="2"/>
      <c r="I50" s="2"/>
      <c r="J50" s="2"/>
      <c r="K50" s="2"/>
      <c r="L50" s="2"/>
      <c r="M50" s="2"/>
      <c r="N50" s="2"/>
      <c r="O50" s="56">
        <f t="shared" ref="O50:Z50" si="5">O48+O49</f>
        <v>0</v>
      </c>
      <c r="P50" s="56">
        <f t="shared" si="5"/>
        <v>0</v>
      </c>
      <c r="Q50" s="56">
        <f t="shared" si="5"/>
        <v>0</v>
      </c>
      <c r="R50" s="56">
        <f t="shared" si="5"/>
        <v>0</v>
      </c>
      <c r="S50" s="56">
        <f t="shared" si="5"/>
        <v>0</v>
      </c>
      <c r="T50" s="56">
        <f t="shared" si="5"/>
        <v>0</v>
      </c>
      <c r="U50" s="56">
        <f t="shared" si="5"/>
        <v>0</v>
      </c>
      <c r="V50" s="56">
        <f t="shared" si="5"/>
        <v>0</v>
      </c>
      <c r="W50" s="56">
        <f t="shared" si="5"/>
        <v>0</v>
      </c>
      <c r="X50" s="56">
        <f t="shared" si="5"/>
        <v>0</v>
      </c>
      <c r="Y50" s="56">
        <f t="shared" si="5"/>
        <v>0</v>
      </c>
      <c r="Z50" s="56">
        <f t="shared" si="5"/>
        <v>0</v>
      </c>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row>
    <row r="51" spans="1:266" s="38" customFormat="1" x14ac:dyDescent="0.2">
      <c r="A51" s="2"/>
      <c r="B51" s="2"/>
      <c r="C51" s="2"/>
      <c r="D51" s="2"/>
      <c r="E51" s="2"/>
      <c r="F51" s="2"/>
      <c r="G51" s="2"/>
      <c r="H51" s="2"/>
      <c r="I51" s="2"/>
      <c r="J51" s="2"/>
      <c r="K51" s="2"/>
      <c r="L51" s="2"/>
      <c r="M51" s="2"/>
      <c r="N51" s="2"/>
      <c r="O51" s="84"/>
      <c r="P51" s="84"/>
      <c r="Q51" s="84"/>
      <c r="R51" s="84"/>
      <c r="S51" s="84"/>
      <c r="T51" s="84"/>
      <c r="U51" s="84"/>
      <c r="V51" s="84"/>
      <c r="W51" s="84"/>
      <c r="X51" s="84"/>
      <c r="Y51" s="84"/>
      <c r="Z51" s="84"/>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row>
    <row r="52" spans="1:266" s="38" customFormat="1" x14ac:dyDescent="0.2">
      <c r="A52" s="2"/>
      <c r="B52" s="20" t="s">
        <v>284</v>
      </c>
      <c r="C52" s="2"/>
      <c r="D52" s="2"/>
      <c r="E52" s="2"/>
      <c r="F52" s="2" t="s">
        <v>89</v>
      </c>
      <c r="G52" s="2"/>
      <c r="H52" s="2"/>
      <c r="I52" s="2"/>
      <c r="J52" s="2"/>
      <c r="K52" s="2"/>
      <c r="L52" s="2"/>
      <c r="M52" s="2"/>
      <c r="N52" s="2"/>
      <c r="O52" s="30">
        <v>-32525.661328938557</v>
      </c>
      <c r="P52" s="30">
        <v>-97515.750725082471</v>
      </c>
      <c r="Q52" s="30">
        <v>-84957.688889792538</v>
      </c>
      <c r="R52" s="30">
        <v>-43416.42750986875</v>
      </c>
      <c r="S52" s="30">
        <v>-124524.84464516514</v>
      </c>
      <c r="T52" s="30">
        <v>-46180.018177834223</v>
      </c>
      <c r="U52" s="30">
        <v>-6900.9048400932224</v>
      </c>
      <c r="V52" s="30">
        <v>-170623.93104230438</v>
      </c>
      <c r="W52" s="30">
        <v>118632.44179305376</v>
      </c>
      <c r="X52" s="30">
        <v>97410.740428296849</v>
      </c>
      <c r="Y52" s="30">
        <v>98013.418690504855</v>
      </c>
      <c r="Z52" s="30">
        <v>-142659.2925250103</v>
      </c>
      <c r="AA52" s="2"/>
      <c r="AB52" s="2" t="s">
        <v>285</v>
      </c>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row>
    <row r="53" spans="1:266" s="38" customFormat="1" x14ac:dyDescent="0.2">
      <c r="A53" s="2"/>
      <c r="B53" s="2"/>
      <c r="C53" s="2"/>
      <c r="D53" s="2"/>
      <c r="E53" s="2"/>
      <c r="F53" s="2"/>
      <c r="G53" s="2"/>
      <c r="H53" s="2"/>
      <c r="I53" s="2"/>
      <c r="J53" s="2"/>
      <c r="K53" s="2"/>
      <c r="L53" s="2"/>
      <c r="M53" s="2"/>
      <c r="N53" s="2"/>
      <c r="O53" s="84"/>
      <c r="P53" s="84"/>
      <c r="Q53" s="84"/>
      <c r="R53" s="84"/>
      <c r="S53" s="84"/>
      <c r="T53" s="84"/>
      <c r="U53" s="84"/>
      <c r="V53" s="84"/>
      <c r="W53" s="84"/>
      <c r="X53" s="84"/>
      <c r="Y53" s="84"/>
      <c r="Z53" s="84"/>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row>
    <row r="54" spans="1:266" s="38" customFormat="1" x14ac:dyDescent="0.2">
      <c r="A54" s="2"/>
      <c r="B54" s="2" t="s">
        <v>347</v>
      </c>
      <c r="C54" s="2"/>
      <c r="D54" s="2"/>
      <c r="E54" s="2"/>
      <c r="F54" s="2" t="s">
        <v>89</v>
      </c>
      <c r="G54" s="2"/>
      <c r="H54" s="72">
        <f>SUM(O52:Z52)</f>
        <v>-435247.91877223412</v>
      </c>
      <c r="I54" s="2"/>
      <c r="J54" s="2"/>
      <c r="K54" s="2"/>
      <c r="L54" s="2"/>
      <c r="M54" s="2"/>
      <c r="N54" s="2"/>
      <c r="O54" s="84"/>
      <c r="P54" s="84"/>
      <c r="Q54" s="84"/>
      <c r="R54" s="84"/>
      <c r="S54" s="84"/>
      <c r="T54" s="84"/>
      <c r="U54" s="84"/>
      <c r="V54" s="84"/>
      <c r="W54" s="84"/>
      <c r="X54" s="84"/>
      <c r="Y54" s="84"/>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row>
    <row r="55" spans="1:266" s="38" customForma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row>
    <row r="56" spans="1:266" s="38" customFormat="1" x14ac:dyDescent="0.2">
      <c r="A56" s="2"/>
      <c r="B56" s="2"/>
      <c r="C56" s="2"/>
      <c r="D56" s="2"/>
      <c r="E56" s="2"/>
      <c r="F56" s="2"/>
      <c r="G56" s="2"/>
      <c r="H56" s="2"/>
      <c r="I56" s="2"/>
      <c r="J56" s="2"/>
      <c r="K56" s="2"/>
      <c r="L56" s="2"/>
      <c r="M56" s="2"/>
      <c r="N56" s="2"/>
      <c r="O56" s="98"/>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row>
    <row r="57" spans="1:266" s="38" customForma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row>
    <row r="58" spans="1:266" s="38" customForma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row>
    <row r="59" spans="1:266" s="38" customForma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row>
    <row r="60" spans="1:266" s="38" customFormat="1" x14ac:dyDescent="0.2">
      <c r="A60" s="2"/>
      <c r="B60" s="2" t="s">
        <v>207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c r="IX60" s="2"/>
      <c r="IY60" s="2"/>
      <c r="IZ60" s="2"/>
      <c r="JA60" s="2"/>
      <c r="JB60" s="2"/>
      <c r="JC60" s="2"/>
      <c r="JD60" s="2"/>
      <c r="JE60" s="2"/>
      <c r="JF60" s="2"/>
    </row>
    <row r="61" spans="1:266" s="38" customForma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c r="IY61" s="2"/>
      <c r="IZ61" s="2"/>
      <c r="JA61" s="2"/>
      <c r="JB61" s="2"/>
      <c r="JC61" s="2"/>
      <c r="JD61" s="2"/>
      <c r="JE61" s="2"/>
      <c r="JF61" s="2"/>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B2:J63"/>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2" customWidth="1"/>
    <col min="2" max="2" width="72.5703125" style="2" customWidth="1"/>
    <col min="3" max="3" width="4.7109375" style="2" customWidth="1"/>
    <col min="4" max="5" width="4.5703125" style="2" customWidth="1"/>
    <col min="6" max="6" width="20.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4" width="13.7109375" style="2" customWidth="1"/>
    <col min="25" max="16384" width="9.140625" style="2"/>
  </cols>
  <sheetData>
    <row r="2" spans="2:10" s="17" customFormat="1" ht="18" x14ac:dyDescent="0.2">
      <c r="B2" s="17" t="s">
        <v>130</v>
      </c>
    </row>
    <row r="4" spans="2:10" x14ac:dyDescent="0.2">
      <c r="B4" s="25" t="s">
        <v>56</v>
      </c>
      <c r="C4" s="1"/>
      <c r="D4" s="1"/>
    </row>
    <row r="5" spans="2:10" x14ac:dyDescent="0.2">
      <c r="B5" s="20" t="s">
        <v>388</v>
      </c>
      <c r="C5" s="3"/>
      <c r="D5" s="3"/>
      <c r="H5" s="18"/>
    </row>
    <row r="6" spans="2:10" x14ac:dyDescent="0.2">
      <c r="B6" s="2" t="s">
        <v>359</v>
      </c>
      <c r="C6" s="3"/>
      <c r="D6" s="3"/>
      <c r="H6" s="18"/>
    </row>
    <row r="7" spans="2:10" x14ac:dyDescent="0.2">
      <c r="B7" s="20" t="s">
        <v>360</v>
      </c>
      <c r="C7" s="3"/>
      <c r="D7" s="3"/>
      <c r="H7" s="18"/>
    </row>
    <row r="8" spans="2:10" x14ac:dyDescent="0.2">
      <c r="B8" s="20"/>
      <c r="C8" s="3"/>
      <c r="D8" s="3"/>
      <c r="H8" s="18"/>
    </row>
    <row r="10" spans="2:10" s="9" customFormat="1" x14ac:dyDescent="0.2">
      <c r="B10" s="41" t="s">
        <v>18</v>
      </c>
      <c r="C10" s="41"/>
      <c r="D10" s="41"/>
      <c r="E10" s="41"/>
      <c r="F10" s="41" t="s">
        <v>54</v>
      </c>
      <c r="G10" s="41"/>
      <c r="H10" s="41" t="s">
        <v>52</v>
      </c>
      <c r="J10" s="9" t="s">
        <v>53</v>
      </c>
    </row>
    <row r="13" spans="2:10" s="9" customFormat="1" x14ac:dyDescent="0.2">
      <c r="B13" s="9" t="s">
        <v>131</v>
      </c>
    </row>
    <row r="15" spans="2:10" x14ac:dyDescent="0.2">
      <c r="B15" s="25" t="s">
        <v>158</v>
      </c>
    </row>
    <row r="16" spans="2:10" x14ac:dyDescent="0.2">
      <c r="B16" s="40" t="s">
        <v>77</v>
      </c>
      <c r="C16" s="20"/>
      <c r="D16" s="20"/>
      <c r="E16" s="20"/>
      <c r="F16" s="20" t="s">
        <v>73</v>
      </c>
      <c r="H16" s="34">
        <f>'Est. and realized costs 2018'!H35</f>
        <v>12518377.758347765</v>
      </c>
    </row>
    <row r="17" spans="2:10" x14ac:dyDescent="0.2">
      <c r="B17" s="40" t="s">
        <v>179</v>
      </c>
      <c r="C17" s="20"/>
      <c r="D17" s="20"/>
      <c r="E17" s="20"/>
      <c r="F17" s="20" t="s">
        <v>73</v>
      </c>
      <c r="H17" s="34">
        <f>'Est. and realized costs 2018'!H36</f>
        <v>5648455.5574140809</v>
      </c>
    </row>
    <row r="18" spans="2:10" x14ac:dyDescent="0.2">
      <c r="B18" s="61" t="s">
        <v>397</v>
      </c>
      <c r="F18" s="20" t="s">
        <v>61</v>
      </c>
      <c r="H18" s="117">
        <f>'Income 2020 and prod. price'!H64</f>
        <v>0.11032662860454195</v>
      </c>
      <c r="J18" s="2" t="s">
        <v>420</v>
      </c>
    </row>
    <row r="20" spans="2:10" x14ac:dyDescent="0.2">
      <c r="B20" s="2" t="s">
        <v>81</v>
      </c>
      <c r="F20" s="2" t="s">
        <v>79</v>
      </c>
      <c r="H20" s="34">
        <f>'Est. and realized costs 2018'!H39</f>
        <v>103709394</v>
      </c>
    </row>
    <row r="22" spans="2:10" x14ac:dyDescent="0.2">
      <c r="B22" s="1" t="s">
        <v>160</v>
      </c>
    </row>
    <row r="23" spans="2:10" x14ac:dyDescent="0.2">
      <c r="B23" s="20" t="s">
        <v>132</v>
      </c>
      <c r="F23" s="2" t="s">
        <v>73</v>
      </c>
      <c r="H23" s="34">
        <f>'Est. and realized costs 2018'!H48</f>
        <v>6364623</v>
      </c>
    </row>
    <row r="24" spans="2:10" x14ac:dyDescent="0.2">
      <c r="B24" s="2" t="s">
        <v>449</v>
      </c>
      <c r="F24" s="2" t="s">
        <v>73</v>
      </c>
      <c r="H24" s="34">
        <f>'Est. and realized costs 2018'!H51</f>
        <v>1053152</v>
      </c>
    </row>
    <row r="25" spans="2:10" x14ac:dyDescent="0.2">
      <c r="B25" s="2" t="s">
        <v>159</v>
      </c>
      <c r="F25" s="2" t="s">
        <v>73</v>
      </c>
      <c r="H25" s="34">
        <f>'RAB calculation 2018'!H142</f>
        <v>5339750.1047712946</v>
      </c>
    </row>
    <row r="27" spans="2:10" x14ac:dyDescent="0.2">
      <c r="B27" s="2" t="s">
        <v>254</v>
      </c>
      <c r="F27" s="2" t="s">
        <v>73</v>
      </c>
      <c r="H27" s="34">
        <f>'Production and fuel costs 2018'!H30</f>
        <v>104119000</v>
      </c>
    </row>
    <row r="29" spans="2:10" x14ac:dyDescent="0.2">
      <c r="B29" s="2" t="s">
        <v>68</v>
      </c>
      <c r="F29" s="2" t="s">
        <v>73</v>
      </c>
      <c r="H29" s="78">
        <f>Parameters!H33</f>
        <v>0.5</v>
      </c>
    </row>
    <row r="32" spans="2:10" s="9" customFormat="1" x14ac:dyDescent="0.2">
      <c r="B32" s="9" t="s">
        <v>161</v>
      </c>
    </row>
    <row r="34" spans="2:10" x14ac:dyDescent="0.2">
      <c r="B34" s="1" t="s">
        <v>192</v>
      </c>
    </row>
    <row r="35" spans="2:10" x14ac:dyDescent="0.2">
      <c r="B35" s="61" t="s">
        <v>188</v>
      </c>
      <c r="F35" s="20" t="s">
        <v>73</v>
      </c>
      <c r="H35" s="35">
        <f>H17*H18</f>
        <v>623175.05847208435</v>
      </c>
      <c r="J35" s="2" t="s">
        <v>187</v>
      </c>
    </row>
    <row r="36" spans="2:10" x14ac:dyDescent="0.2">
      <c r="B36" s="2" t="s">
        <v>168</v>
      </c>
      <c r="F36" s="2" t="s">
        <v>73</v>
      </c>
      <c r="H36" s="56">
        <f>H16-H35</f>
        <v>11895202.699875681</v>
      </c>
      <c r="J36" s="68"/>
    </row>
    <row r="37" spans="2:10" x14ac:dyDescent="0.2">
      <c r="B37" s="2" t="s">
        <v>380</v>
      </c>
      <c r="F37" s="2" t="s">
        <v>162</v>
      </c>
      <c r="H37" s="81">
        <f>H35/H20</f>
        <v>6.0088583534880589E-3</v>
      </c>
      <c r="J37" s="68" t="s">
        <v>310</v>
      </c>
    </row>
    <row r="39" spans="2:10" x14ac:dyDescent="0.2">
      <c r="B39" s="2" t="s">
        <v>163</v>
      </c>
      <c r="F39" s="2" t="s">
        <v>73</v>
      </c>
      <c r="H39" s="35">
        <f>H37*H27</f>
        <v>625636.32290682325</v>
      </c>
    </row>
    <row r="40" spans="2:10" x14ac:dyDescent="0.2">
      <c r="B40" s="2" t="s">
        <v>164</v>
      </c>
      <c r="F40" s="2" t="s">
        <v>73</v>
      </c>
      <c r="H40" s="35">
        <f>H36+H39</f>
        <v>12520839.022782505</v>
      </c>
      <c r="J40" s="2" t="s">
        <v>311</v>
      </c>
    </row>
    <row r="42" spans="2:10" x14ac:dyDescent="0.2">
      <c r="B42" s="1" t="s">
        <v>191</v>
      </c>
    </row>
    <row r="43" spans="2:10" x14ac:dyDescent="0.2">
      <c r="B43" s="2" t="s">
        <v>190</v>
      </c>
      <c r="F43" s="2" t="s">
        <v>73</v>
      </c>
      <c r="H43" s="56">
        <f>H23+H24+H25</f>
        <v>12757525.104771294</v>
      </c>
      <c r="J43" s="2" t="s">
        <v>312</v>
      </c>
    </row>
    <row r="46" spans="2:10" s="9" customFormat="1" x14ac:dyDescent="0.2">
      <c r="B46" s="9" t="s">
        <v>165</v>
      </c>
    </row>
    <row r="48" spans="2:10" x14ac:dyDescent="0.2">
      <c r="B48" s="1" t="s">
        <v>166</v>
      </c>
    </row>
    <row r="49" spans="2:10" x14ac:dyDescent="0.2">
      <c r="B49" s="2" t="s">
        <v>167</v>
      </c>
      <c r="F49" s="2" t="s">
        <v>73</v>
      </c>
      <c r="H49" s="56">
        <f>H36*(H27/H20)</f>
        <v>11942183.462265298</v>
      </c>
    </row>
    <row r="50" spans="2:10" x14ac:dyDescent="0.2">
      <c r="B50" s="2" t="s">
        <v>389</v>
      </c>
      <c r="F50" s="2" t="s">
        <v>73</v>
      </c>
      <c r="H50" s="28">
        <f>H36-H49</f>
        <v>-46980.762389617041</v>
      </c>
      <c r="J50" s="2" t="s">
        <v>169</v>
      </c>
    </row>
    <row r="53" spans="2:10" s="9" customFormat="1" x14ac:dyDescent="0.2">
      <c r="B53" s="9" t="s">
        <v>170</v>
      </c>
    </row>
    <row r="55" spans="2:10" x14ac:dyDescent="0.2">
      <c r="B55" s="1" t="s">
        <v>171</v>
      </c>
    </row>
    <row r="56" spans="2:10" x14ac:dyDescent="0.2">
      <c r="B56" s="2" t="s">
        <v>172</v>
      </c>
      <c r="F56" s="2" t="s">
        <v>73</v>
      </c>
      <c r="H56" s="35">
        <f>H40-H43</f>
        <v>-236686.08198878914</v>
      </c>
    </row>
    <row r="57" spans="2:10" x14ac:dyDescent="0.2">
      <c r="B57" s="2" t="s">
        <v>173</v>
      </c>
      <c r="F57" s="2" t="s">
        <v>73</v>
      </c>
      <c r="H57" s="28">
        <f>H56*-1*H29</f>
        <v>118343.04099439457</v>
      </c>
      <c r="J57" s="2" t="s">
        <v>410</v>
      </c>
    </row>
    <row r="63" spans="2:10" x14ac:dyDescent="0.2">
      <c r="B63" s="2" t="s">
        <v>207</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AB86"/>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72.5703125" style="2" customWidth="1"/>
    <col min="3" max="3" width="4.7109375" style="2" customWidth="1"/>
    <col min="4" max="5" width="4.5703125" style="2" customWidth="1"/>
    <col min="6" max="6" width="20.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5" width="13.7109375" style="2" customWidth="1"/>
    <col min="26" max="16384" width="9.140625" style="2"/>
  </cols>
  <sheetData>
    <row r="2" spans="2:10" s="17" customFormat="1" ht="18" x14ac:dyDescent="0.2">
      <c r="B2" s="17" t="s">
        <v>174</v>
      </c>
    </row>
    <row r="4" spans="2:10" x14ac:dyDescent="0.2">
      <c r="B4" s="25" t="s">
        <v>56</v>
      </c>
      <c r="C4" s="1"/>
      <c r="D4" s="1"/>
    </row>
    <row r="5" spans="2:10" x14ac:dyDescent="0.2">
      <c r="B5" s="20" t="s">
        <v>390</v>
      </c>
      <c r="C5" s="3"/>
      <c r="D5" s="3"/>
      <c r="H5" s="18"/>
    </row>
    <row r="6" spans="2:10" x14ac:dyDescent="0.2">
      <c r="B6" s="2" t="s">
        <v>395</v>
      </c>
      <c r="C6" s="3"/>
      <c r="D6" s="3"/>
      <c r="H6" s="18"/>
    </row>
    <row r="7" spans="2:10" x14ac:dyDescent="0.2">
      <c r="B7" s="26"/>
      <c r="C7" s="3"/>
      <c r="D7" s="3"/>
    </row>
    <row r="9" spans="2:10" s="9" customFormat="1" x14ac:dyDescent="0.2">
      <c r="B9" s="41" t="s">
        <v>18</v>
      </c>
      <c r="C9" s="41"/>
      <c r="D9" s="41"/>
      <c r="E9" s="41"/>
      <c r="F9" s="41" t="s">
        <v>54</v>
      </c>
      <c r="G9" s="41"/>
      <c r="H9" s="41" t="s">
        <v>52</v>
      </c>
      <c r="J9" s="9" t="s">
        <v>53</v>
      </c>
    </row>
    <row r="12" spans="2:10" s="9" customFormat="1" x14ac:dyDescent="0.2">
      <c r="B12" s="9" t="s">
        <v>193</v>
      </c>
    </row>
    <row r="14" spans="2:10" x14ac:dyDescent="0.2">
      <c r="B14" s="2" t="s">
        <v>65</v>
      </c>
      <c r="F14" s="2" t="s">
        <v>61</v>
      </c>
      <c r="H14" s="79">
        <f>Parameters!H21</f>
        <v>3.5000000000000003E-2</v>
      </c>
    </row>
    <row r="15" spans="2:10" x14ac:dyDescent="0.2">
      <c r="B15" s="2" t="s">
        <v>69</v>
      </c>
      <c r="F15" s="2" t="s">
        <v>61</v>
      </c>
      <c r="H15" s="79">
        <f>Parameters!H22</f>
        <v>1.2E-2</v>
      </c>
    </row>
    <row r="17" spans="2:10" x14ac:dyDescent="0.2">
      <c r="B17" s="2" t="s">
        <v>392</v>
      </c>
      <c r="F17" s="2" t="s">
        <v>79</v>
      </c>
      <c r="H17" s="34">
        <f>'Production and fuel costs 2018'!H31</f>
        <v>67361000</v>
      </c>
    </row>
    <row r="19" spans="2:10" x14ac:dyDescent="0.2">
      <c r="B19" s="1" t="s">
        <v>201</v>
      </c>
    </row>
    <row r="20" spans="2:10" x14ac:dyDescent="0.2">
      <c r="B20" s="2" t="s">
        <v>194</v>
      </c>
      <c r="F20" s="2" t="s">
        <v>73</v>
      </c>
      <c r="H20" s="34">
        <f>'Est. and realized costs 2018'!H48</f>
        <v>6364623</v>
      </c>
    </row>
    <row r="21" spans="2:10" x14ac:dyDescent="0.2">
      <c r="B21" s="2" t="s">
        <v>451</v>
      </c>
      <c r="F21" s="2" t="s">
        <v>124</v>
      </c>
      <c r="H21" s="34">
        <f>'Est. production and costs 2020'!H51</f>
        <v>0</v>
      </c>
    </row>
    <row r="22" spans="2:10" x14ac:dyDescent="0.2">
      <c r="B22" s="2" t="s">
        <v>202</v>
      </c>
      <c r="F22" s="2" t="s">
        <v>124</v>
      </c>
      <c r="H22" s="34">
        <f>'Est. production and costs 2020'!H52</f>
        <v>301792.25</v>
      </c>
    </row>
    <row r="24" spans="2:10" x14ac:dyDescent="0.2">
      <c r="B24" s="1" t="s">
        <v>205</v>
      </c>
    </row>
    <row r="25" spans="2:10" x14ac:dyDescent="0.2">
      <c r="B25" s="2" t="s">
        <v>203</v>
      </c>
      <c r="F25" s="2" t="s">
        <v>124</v>
      </c>
      <c r="H25" s="34">
        <f>'Est. production and costs 2020'!H55</f>
        <v>150000</v>
      </c>
    </row>
    <row r="26" spans="2:10" x14ac:dyDescent="0.2">
      <c r="B26" s="2" t="s">
        <v>204</v>
      </c>
      <c r="F26" s="2" t="s">
        <v>206</v>
      </c>
      <c r="H26" s="34">
        <f>'Est. production and costs 2020'!H56</f>
        <v>30</v>
      </c>
    </row>
    <row r="28" spans="2:10" x14ac:dyDescent="0.2">
      <c r="B28" s="2" t="s">
        <v>435</v>
      </c>
      <c r="F28" s="2" t="s">
        <v>124</v>
      </c>
      <c r="H28" s="34">
        <f>'Est. production and costs 2020'!H62</f>
        <v>850000</v>
      </c>
      <c r="J28" s="18"/>
    </row>
    <row r="30" spans="2:10" x14ac:dyDescent="0.2">
      <c r="B30" s="1" t="s">
        <v>242</v>
      </c>
    </row>
    <row r="31" spans="2:10" x14ac:dyDescent="0.2">
      <c r="B31" s="2" t="s">
        <v>243</v>
      </c>
      <c r="F31" s="2" t="s">
        <v>124</v>
      </c>
      <c r="H31" s="34">
        <f>'RAB calculation 2018'!H150</f>
        <v>4866025.6261921059</v>
      </c>
    </row>
    <row r="32" spans="2:10" x14ac:dyDescent="0.2">
      <c r="B32" s="2" t="s">
        <v>244</v>
      </c>
      <c r="F32" s="2" t="s">
        <v>124</v>
      </c>
      <c r="H32" s="34">
        <f>'RAB calculation 2018'!H155</f>
        <v>136414.79730546646</v>
      </c>
    </row>
    <row r="33" spans="2:28" x14ac:dyDescent="0.2">
      <c r="B33" s="2" t="s">
        <v>245</v>
      </c>
      <c r="F33" s="2" t="s">
        <v>124</v>
      </c>
      <c r="H33" s="34">
        <f>'RAB calculation 2018'!H160</f>
        <v>2733775.1937029432</v>
      </c>
    </row>
    <row r="35" spans="2:28" x14ac:dyDescent="0.2">
      <c r="B35" s="1"/>
    </row>
    <row r="36" spans="2:28" s="9" customFormat="1" x14ac:dyDescent="0.2">
      <c r="B36" s="9" t="s">
        <v>286</v>
      </c>
    </row>
    <row r="38" spans="2:28" x14ac:dyDescent="0.2">
      <c r="B38" s="1" t="s">
        <v>287</v>
      </c>
    </row>
    <row r="39" spans="2:28" x14ac:dyDescent="0.2">
      <c r="B39" s="2" t="s">
        <v>393</v>
      </c>
      <c r="F39" s="2" t="s">
        <v>79</v>
      </c>
      <c r="H39" s="34">
        <f>'Est. production and costs 2020'!H19</f>
        <v>86900000</v>
      </c>
    </row>
    <row r="40" spans="2:28" s="54" customFormat="1" x14ac:dyDescent="0.2">
      <c r="B40" s="20" t="s">
        <v>416</v>
      </c>
      <c r="F40" s="47" t="s">
        <v>79</v>
      </c>
      <c r="H40" s="97">
        <f>'Est. production and costs 2020'!H20</f>
        <v>36000000</v>
      </c>
    </row>
    <row r="41" spans="2:28" s="54" customFormat="1" x14ac:dyDescent="0.2">
      <c r="B41" s="20" t="s">
        <v>417</v>
      </c>
      <c r="F41" s="47" t="s">
        <v>79</v>
      </c>
      <c r="H41" s="28">
        <f>H39+H40</f>
        <v>122900000</v>
      </c>
    </row>
    <row r="43" spans="2:28" x14ac:dyDescent="0.2">
      <c r="B43" s="2" t="s">
        <v>288</v>
      </c>
      <c r="F43" s="2" t="s">
        <v>61</v>
      </c>
      <c r="H43" s="82">
        <f>H40/H41</f>
        <v>0.29292107404393813</v>
      </c>
    </row>
    <row r="45" spans="2:28" s="54" customFormat="1" x14ac:dyDescent="0.2">
      <c r="B45" s="46" t="s">
        <v>125</v>
      </c>
      <c r="M45" s="66"/>
      <c r="AB45" s="55"/>
    </row>
    <row r="46" spans="2:28" s="54" customFormat="1" x14ac:dyDescent="0.2">
      <c r="B46" s="20" t="s">
        <v>181</v>
      </c>
      <c r="C46" s="20"/>
      <c r="D46" s="20"/>
      <c r="E46" s="20"/>
      <c r="F46" s="20" t="s">
        <v>113</v>
      </c>
      <c r="G46" s="20"/>
      <c r="H46" s="112">
        <f>'Est. production and costs 2020'!H24</f>
        <v>1.575E-3</v>
      </c>
      <c r="M46" s="66"/>
      <c r="AB46" s="55"/>
    </row>
    <row r="47" spans="2:28" s="54" customFormat="1" x14ac:dyDescent="0.2">
      <c r="B47" s="70" t="s">
        <v>182</v>
      </c>
      <c r="F47" s="70" t="s">
        <v>128</v>
      </c>
      <c r="H47" s="97">
        <f>'Est. production and costs 2020'!H28</f>
        <v>20000</v>
      </c>
      <c r="L47" s="66"/>
      <c r="M47" s="66"/>
      <c r="AB47" s="55"/>
    </row>
    <row r="48" spans="2:28" s="54" customFormat="1" x14ac:dyDescent="0.2">
      <c r="B48" s="20" t="s">
        <v>183</v>
      </c>
      <c r="C48" s="20"/>
      <c r="D48" s="20"/>
      <c r="E48" s="20"/>
      <c r="F48" s="20" t="s">
        <v>184</v>
      </c>
      <c r="G48" s="20"/>
      <c r="H48" s="96">
        <f>'Est. production and costs 2020'!H27</f>
        <v>0.27599719626168223</v>
      </c>
      <c r="L48" s="66"/>
      <c r="M48" s="66"/>
      <c r="AB48" s="55"/>
    </row>
    <row r="49" spans="2:10" x14ac:dyDescent="0.2">
      <c r="J49" s="54"/>
    </row>
    <row r="50" spans="2:10" x14ac:dyDescent="0.2">
      <c r="B50" s="1" t="s">
        <v>305</v>
      </c>
    </row>
    <row r="51" spans="2:10" x14ac:dyDescent="0.2">
      <c r="B51" s="20" t="s">
        <v>303</v>
      </c>
      <c r="C51" s="20"/>
      <c r="D51" s="20"/>
      <c r="E51" s="20"/>
      <c r="F51" s="20" t="s">
        <v>215</v>
      </c>
      <c r="H51" s="96">
        <f>'Est. production and costs 2020'!H31</f>
        <v>62.943300000000001</v>
      </c>
      <c r="J51" s="18"/>
    </row>
    <row r="52" spans="2:10" x14ac:dyDescent="0.2">
      <c r="B52" s="20" t="s">
        <v>304</v>
      </c>
      <c r="C52" s="20"/>
      <c r="D52" s="20"/>
      <c r="E52" s="20"/>
      <c r="F52" s="20" t="s">
        <v>220</v>
      </c>
      <c r="H52" s="96">
        <f>'Est. production and costs 2020'!H32</f>
        <v>0.9</v>
      </c>
      <c r="J52" s="18"/>
    </row>
    <row r="55" spans="2:10" s="9" customFormat="1" x14ac:dyDescent="0.2">
      <c r="B55" s="9" t="s">
        <v>290</v>
      </c>
    </row>
    <row r="57" spans="2:10" x14ac:dyDescent="0.2">
      <c r="B57" s="1" t="s">
        <v>209</v>
      </c>
    </row>
    <row r="58" spans="2:10" x14ac:dyDescent="0.2">
      <c r="B58" s="20" t="s">
        <v>246</v>
      </c>
      <c r="F58" s="2" t="s">
        <v>124</v>
      </c>
      <c r="H58" s="35">
        <f>H20*(1+H14)*(1+H15)+H21+H22</f>
        <v>6968225.6726599997</v>
      </c>
    </row>
    <row r="59" spans="2:10" x14ac:dyDescent="0.2">
      <c r="B59" s="20" t="s">
        <v>247</v>
      </c>
      <c r="F59" s="2" t="s">
        <v>124</v>
      </c>
      <c r="H59" s="35">
        <f>H25+H26*(H39-H17)/1000</f>
        <v>736170</v>
      </c>
    </row>
    <row r="60" spans="2:10" x14ac:dyDescent="0.2">
      <c r="B60" s="20" t="s">
        <v>210</v>
      </c>
      <c r="F60" s="2" t="s">
        <v>124</v>
      </c>
      <c r="H60" s="35">
        <f>SUM(H31:H33)</f>
        <v>7736215.6172005162</v>
      </c>
    </row>
    <row r="61" spans="2:10" x14ac:dyDescent="0.2">
      <c r="B61" s="2" t="s">
        <v>211</v>
      </c>
      <c r="F61" s="2" t="s">
        <v>124</v>
      </c>
      <c r="H61" s="28">
        <f>SUM(H58:H60)</f>
        <v>15440611.289860517</v>
      </c>
    </row>
    <row r="63" spans="2:10" x14ac:dyDescent="0.2">
      <c r="B63" s="2" t="s">
        <v>396</v>
      </c>
      <c r="F63" s="2" t="s">
        <v>124</v>
      </c>
      <c r="H63" s="28">
        <f>H28</f>
        <v>850000</v>
      </c>
    </row>
    <row r="64" spans="2:10" x14ac:dyDescent="0.2">
      <c r="B64" s="2" t="s">
        <v>436</v>
      </c>
      <c r="F64" s="2" t="s">
        <v>61</v>
      </c>
      <c r="H64" s="102">
        <f>H63/(H58+H59)</f>
        <v>0.11032662860454195</v>
      </c>
    </row>
    <row r="65" spans="2:10" x14ac:dyDescent="0.2">
      <c r="B65" s="1"/>
      <c r="H65" s="68"/>
    </row>
    <row r="66" spans="2:10" x14ac:dyDescent="0.2">
      <c r="B66" s="1" t="s">
        <v>291</v>
      </c>
    </row>
    <row r="67" spans="2:10" x14ac:dyDescent="0.2">
      <c r="B67" s="20" t="s">
        <v>292</v>
      </c>
      <c r="F67" s="2" t="s">
        <v>124</v>
      </c>
      <c r="H67" s="34">
        <f>H61</f>
        <v>15440611.289860517</v>
      </c>
    </row>
    <row r="68" spans="2:10" x14ac:dyDescent="0.2">
      <c r="B68" s="20"/>
    </row>
    <row r="69" spans="2:10" x14ac:dyDescent="0.2">
      <c r="B69" s="20" t="s">
        <v>293</v>
      </c>
      <c r="F69" s="2" t="s">
        <v>73</v>
      </c>
      <c r="H69" s="34">
        <f>'Volume corr. and P.S. 2018'!H50</f>
        <v>-46980.762389617041</v>
      </c>
    </row>
    <row r="70" spans="2:10" x14ac:dyDescent="0.2">
      <c r="B70" s="20" t="s">
        <v>294</v>
      </c>
      <c r="F70" s="2" t="s">
        <v>73</v>
      </c>
      <c r="H70" s="34">
        <f>'Volume corr. and P.S. 2018'!H57</f>
        <v>118343.04099439457</v>
      </c>
    </row>
    <row r="71" spans="2:10" x14ac:dyDescent="0.2">
      <c r="B71" s="20" t="s">
        <v>295</v>
      </c>
      <c r="F71" s="2" t="s">
        <v>73</v>
      </c>
      <c r="H71" s="34">
        <f>'Fuel  correction 2018'!H54</f>
        <v>-435247.91877223412</v>
      </c>
      <c r="J71" s="24"/>
    </row>
    <row r="72" spans="2:10" x14ac:dyDescent="0.2">
      <c r="B72" s="20" t="s">
        <v>297</v>
      </c>
      <c r="F72" s="2" t="s">
        <v>124</v>
      </c>
      <c r="H72" s="35">
        <f>SUM(H69:H71)*(1+H14)*(1+H15)</f>
        <v>-381141.09722419741</v>
      </c>
      <c r="J72" s="24"/>
    </row>
    <row r="73" spans="2:10" x14ac:dyDescent="0.2">
      <c r="B73" s="20"/>
      <c r="J73" s="24"/>
    </row>
    <row r="74" spans="2:10" x14ac:dyDescent="0.2">
      <c r="B74" s="20" t="s">
        <v>296</v>
      </c>
      <c r="F74" s="2" t="s">
        <v>124</v>
      </c>
      <c r="H74" s="28">
        <f>H67+H72</f>
        <v>15059470.192636319</v>
      </c>
      <c r="J74" s="18"/>
    </row>
    <row r="75" spans="2:10" x14ac:dyDescent="0.2">
      <c r="B75" s="1"/>
    </row>
    <row r="76" spans="2:10" x14ac:dyDescent="0.2">
      <c r="B76" s="1"/>
    </row>
    <row r="77" spans="2:10" s="9" customFormat="1" x14ac:dyDescent="0.2">
      <c r="B77" s="9" t="s">
        <v>307</v>
      </c>
    </row>
    <row r="79" spans="2:10" x14ac:dyDescent="0.2">
      <c r="B79" s="1" t="s">
        <v>289</v>
      </c>
    </row>
    <row r="80" spans="2:10" x14ac:dyDescent="0.2">
      <c r="B80" s="2" t="s">
        <v>298</v>
      </c>
      <c r="F80" s="2" t="s">
        <v>79</v>
      </c>
      <c r="H80" s="35">
        <f>12*H47/H48</f>
        <v>869574.05093509692</v>
      </c>
      <c r="J80" s="2" t="s">
        <v>299</v>
      </c>
    </row>
    <row r="81" spans="2:10" x14ac:dyDescent="0.2">
      <c r="B81" s="20" t="s">
        <v>300</v>
      </c>
      <c r="F81" s="2" t="s">
        <v>79</v>
      </c>
      <c r="H81" s="82">
        <f>H80/H39</f>
        <v>1.0006605879575338E-2</v>
      </c>
    </row>
    <row r="82" spans="2:10" x14ac:dyDescent="0.2">
      <c r="B82" s="20" t="s">
        <v>306</v>
      </c>
      <c r="F82" s="2" t="s">
        <v>314</v>
      </c>
      <c r="H82" s="99">
        <f>(1-H43)*((1-H81)*H51*H46+H81*H52*H48)</f>
        <v>7.1152858280574841E-2</v>
      </c>
      <c r="J82" s="18"/>
    </row>
    <row r="86" spans="2:10" x14ac:dyDescent="0.2">
      <c r="B86" s="2" t="s">
        <v>207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H37"/>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19.140625" style="2" customWidth="1"/>
    <col min="3" max="3" width="20.710937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8" s="8" customFormat="1" ht="18" x14ac:dyDescent="0.2">
      <c r="B2" s="8" t="s">
        <v>39</v>
      </c>
    </row>
    <row r="4" spans="2:8" s="9" customFormat="1" x14ac:dyDescent="0.2">
      <c r="B4" s="9" t="s">
        <v>40</v>
      </c>
    </row>
    <row r="6" spans="2:8" x14ac:dyDescent="0.2">
      <c r="B6" s="20" t="s">
        <v>363</v>
      </c>
    </row>
    <row r="7" spans="2:8" x14ac:dyDescent="0.2">
      <c r="B7" s="2" t="s">
        <v>364</v>
      </c>
      <c r="H7" s="29"/>
    </row>
    <row r="8" spans="2:8" x14ac:dyDescent="0.2">
      <c r="B8" s="2" t="s">
        <v>365</v>
      </c>
    </row>
    <row r="12" spans="2:8" s="9" customFormat="1" x14ac:dyDescent="0.2">
      <c r="B12" s="9" t="s">
        <v>17</v>
      </c>
    </row>
    <row r="13" spans="2:8" x14ac:dyDescent="0.2">
      <c r="C13" s="10"/>
    </row>
    <row r="14" spans="2:8" x14ac:dyDescent="0.2">
      <c r="B14" s="1" t="s">
        <v>366</v>
      </c>
      <c r="C14" s="10"/>
      <c r="D14" s="1" t="s">
        <v>18</v>
      </c>
      <c r="F14" s="13"/>
    </row>
    <row r="15" spans="2:8" x14ac:dyDescent="0.2">
      <c r="C15" s="10"/>
    </row>
    <row r="16" spans="2:8" x14ac:dyDescent="0.2">
      <c r="B16" s="32">
        <v>123</v>
      </c>
      <c r="C16" s="10"/>
      <c r="D16" s="20" t="s">
        <v>19</v>
      </c>
    </row>
    <row r="17" spans="2:7" x14ac:dyDescent="0.2">
      <c r="B17" s="34">
        <f>B16</f>
        <v>123</v>
      </c>
      <c r="C17" s="10"/>
      <c r="D17" s="2" t="s">
        <v>20</v>
      </c>
    </row>
    <row r="18" spans="2:7" x14ac:dyDescent="0.2">
      <c r="B18" s="35">
        <f>B17+B16</f>
        <v>246</v>
      </c>
      <c r="C18" s="10"/>
      <c r="D18" s="2" t="s">
        <v>21</v>
      </c>
    </row>
    <row r="19" spans="2:7" x14ac:dyDescent="0.2">
      <c r="B19" s="28">
        <f>B17+B18</f>
        <v>369</v>
      </c>
      <c r="C19" s="10"/>
      <c r="D19" s="20" t="s">
        <v>22</v>
      </c>
      <c r="E19" s="13"/>
      <c r="F19" s="6"/>
    </row>
    <row r="20" spans="2:7" x14ac:dyDescent="0.2">
      <c r="B20" s="14"/>
      <c r="C20" s="10"/>
      <c r="D20" s="20" t="s">
        <v>23</v>
      </c>
      <c r="E20" s="13"/>
    </row>
    <row r="21" spans="2:7" x14ac:dyDescent="0.2">
      <c r="B21" s="10"/>
      <c r="C21" s="10"/>
    </row>
    <row r="22" spans="2:7" x14ac:dyDescent="0.2">
      <c r="B22" s="36" t="s">
        <v>24</v>
      </c>
      <c r="C22" s="10"/>
    </row>
    <row r="23" spans="2:7" x14ac:dyDescent="0.2">
      <c r="B23" s="30">
        <f>B19+16</f>
        <v>385</v>
      </c>
      <c r="C23" s="10"/>
      <c r="D23" s="2" t="s">
        <v>25</v>
      </c>
    </row>
    <row r="24" spans="2:7" x14ac:dyDescent="0.2">
      <c r="B24" s="31">
        <f>B17*PI()</f>
        <v>386.41589639154455</v>
      </c>
      <c r="C24" s="15"/>
      <c r="D24" s="2" t="s">
        <v>26</v>
      </c>
    </row>
    <row r="25" spans="2:7" x14ac:dyDescent="0.2">
      <c r="B25" s="15"/>
      <c r="C25" s="15"/>
    </row>
    <row r="27" spans="2:7" x14ac:dyDescent="0.2">
      <c r="B27" s="1" t="s">
        <v>27</v>
      </c>
      <c r="G27" s="13"/>
    </row>
    <row r="28" spans="2:7" x14ac:dyDescent="0.2">
      <c r="B28" s="1"/>
    </row>
    <row r="29" spans="2:7" x14ac:dyDescent="0.2">
      <c r="B29" s="5" t="s">
        <v>28</v>
      </c>
    </row>
    <row r="30" spans="2:7" x14ac:dyDescent="0.2">
      <c r="B30" s="28" t="s">
        <v>29</v>
      </c>
      <c r="C30" s="10"/>
      <c r="D30" s="20" t="s">
        <v>30</v>
      </c>
    </row>
    <row r="31" spans="2:7" x14ac:dyDescent="0.2">
      <c r="B31" s="32" t="s">
        <v>0</v>
      </c>
      <c r="C31" s="10"/>
      <c r="D31" s="20" t="s">
        <v>31</v>
      </c>
    </row>
    <row r="32" spans="2:7" x14ac:dyDescent="0.2">
      <c r="B32" s="35" t="s">
        <v>32</v>
      </c>
      <c r="C32" s="10"/>
      <c r="D32" s="20" t="s">
        <v>33</v>
      </c>
    </row>
    <row r="33" spans="2:4" x14ac:dyDescent="0.2">
      <c r="B33" s="31" t="s">
        <v>32</v>
      </c>
      <c r="C33" s="10"/>
      <c r="D33" s="20" t="s">
        <v>34</v>
      </c>
    </row>
    <row r="34" spans="2:4" x14ac:dyDescent="0.2">
      <c r="C34" s="10"/>
      <c r="D34" s="20"/>
    </row>
    <row r="35" spans="2:4" x14ac:dyDescent="0.2">
      <c r="B35" s="5" t="s">
        <v>35</v>
      </c>
      <c r="C35" s="10"/>
      <c r="D35" s="20"/>
    </row>
    <row r="36" spans="2:4" x14ac:dyDescent="0.2">
      <c r="B36" s="19" t="s">
        <v>1</v>
      </c>
      <c r="C36" s="10"/>
      <c r="D36" s="20" t="s">
        <v>36</v>
      </c>
    </row>
    <row r="37" spans="2:4" x14ac:dyDescent="0.2">
      <c r="B37" s="37" t="s">
        <v>37</v>
      </c>
      <c r="D37" s="20" t="s">
        <v>38</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E39"/>
  <sheetViews>
    <sheetView showGridLines="0"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7.5703125" style="2" customWidth="1"/>
    <col min="3" max="3" width="46.28515625" style="2" customWidth="1"/>
    <col min="4" max="4" width="74.5703125" style="2" customWidth="1"/>
    <col min="5" max="5" width="111" style="2" customWidth="1"/>
    <col min="6" max="6" width="4.5703125" style="2" customWidth="1"/>
    <col min="7" max="16384" width="9.140625" style="2"/>
  </cols>
  <sheetData>
    <row r="2" spans="2:5" s="12" customFormat="1" ht="18" x14ac:dyDescent="0.2">
      <c r="B2" s="4" t="s">
        <v>41</v>
      </c>
    </row>
    <row r="4" spans="2:5" s="9" customFormat="1" x14ac:dyDescent="0.2">
      <c r="B4" s="9" t="s">
        <v>422</v>
      </c>
    </row>
    <row r="6" spans="2:5" x14ac:dyDescent="0.2">
      <c r="B6" s="5" t="s">
        <v>42</v>
      </c>
      <c r="C6" s="38"/>
      <c r="D6" s="38"/>
      <c r="E6" s="38"/>
    </row>
    <row r="7" spans="2:5" x14ac:dyDescent="0.2">
      <c r="B7" s="5" t="s">
        <v>43</v>
      </c>
    </row>
    <row r="9" spans="2:5" x14ac:dyDescent="0.2">
      <c r="B9" s="16" t="s">
        <v>9</v>
      </c>
      <c r="C9" s="16" t="s">
        <v>44</v>
      </c>
      <c r="D9" s="16" t="s">
        <v>45</v>
      </c>
      <c r="E9" s="16" t="s">
        <v>46</v>
      </c>
    </row>
    <row r="10" spans="2:5" x14ac:dyDescent="0.2">
      <c r="B10" s="21"/>
      <c r="C10" s="21" t="s">
        <v>47</v>
      </c>
      <c r="D10" s="21" t="s">
        <v>48</v>
      </c>
      <c r="E10" s="21" t="s">
        <v>49</v>
      </c>
    </row>
    <row r="11" spans="2:5" x14ac:dyDescent="0.2">
      <c r="B11" s="22">
        <v>1</v>
      </c>
      <c r="C11" s="7" t="s">
        <v>62</v>
      </c>
      <c r="D11" s="7" t="s">
        <v>320</v>
      </c>
      <c r="E11" s="105" t="s">
        <v>381</v>
      </c>
    </row>
    <row r="12" spans="2:5" x14ac:dyDescent="0.2">
      <c r="B12" s="7">
        <v>2</v>
      </c>
      <c r="C12" s="7" t="s">
        <v>66</v>
      </c>
      <c r="D12" s="7" t="s">
        <v>320</v>
      </c>
      <c r="E12" s="105" t="s">
        <v>382</v>
      </c>
    </row>
    <row r="13" spans="2:5" x14ac:dyDescent="0.2">
      <c r="B13" s="7">
        <v>3</v>
      </c>
      <c r="C13" s="7" t="s">
        <v>70</v>
      </c>
      <c r="D13" s="7" t="s">
        <v>320</v>
      </c>
      <c r="E13" s="103" t="s">
        <v>372</v>
      </c>
    </row>
    <row r="14" spans="2:5" x14ac:dyDescent="0.2">
      <c r="B14" s="7">
        <v>4</v>
      </c>
      <c r="C14" s="7" t="s">
        <v>72</v>
      </c>
      <c r="D14" s="7" t="s">
        <v>320</v>
      </c>
      <c r="E14" s="103" t="s">
        <v>373</v>
      </c>
    </row>
    <row r="15" spans="2:5" x14ac:dyDescent="0.2">
      <c r="B15" s="7">
        <v>5</v>
      </c>
      <c r="C15" s="7" t="s">
        <v>323</v>
      </c>
      <c r="D15" s="7" t="s">
        <v>322</v>
      </c>
      <c r="E15" s="103" t="s">
        <v>371</v>
      </c>
    </row>
    <row r="16" spans="2:5" x14ac:dyDescent="0.2">
      <c r="B16" s="7">
        <v>6</v>
      </c>
      <c r="C16" s="7" t="s">
        <v>327</v>
      </c>
      <c r="D16" s="103" t="s">
        <v>370</v>
      </c>
      <c r="E16" s="103" t="s">
        <v>369</v>
      </c>
    </row>
    <row r="17" spans="2:5" x14ac:dyDescent="0.2">
      <c r="B17" s="7">
        <v>7</v>
      </c>
      <c r="C17" s="7" t="s">
        <v>86</v>
      </c>
      <c r="D17" s="7" t="s">
        <v>329</v>
      </c>
      <c r="E17" s="7"/>
    </row>
    <row r="18" spans="2:5" x14ac:dyDescent="0.2">
      <c r="B18" s="7">
        <v>8</v>
      </c>
      <c r="C18" s="7" t="s">
        <v>328</v>
      </c>
      <c r="D18" s="7" t="s">
        <v>443</v>
      </c>
      <c r="E18" s="7"/>
    </row>
    <row r="19" spans="2:5" x14ac:dyDescent="0.2">
      <c r="B19" s="7">
        <v>9</v>
      </c>
      <c r="C19" s="7" t="s">
        <v>419</v>
      </c>
      <c r="D19" s="7" t="s">
        <v>443</v>
      </c>
      <c r="E19" s="7"/>
    </row>
    <row r="20" spans="2:5" x14ac:dyDescent="0.2">
      <c r="B20" s="7">
        <v>10</v>
      </c>
      <c r="C20" s="7" t="s">
        <v>368</v>
      </c>
      <c r="D20" s="7" t="s">
        <v>443</v>
      </c>
      <c r="E20" s="7"/>
    </row>
    <row r="21" spans="2:5" x14ac:dyDescent="0.2">
      <c r="B21" s="7">
        <v>11</v>
      </c>
      <c r="C21" s="7" t="s">
        <v>452</v>
      </c>
      <c r="D21" s="7" t="s">
        <v>443</v>
      </c>
      <c r="E21" s="7"/>
    </row>
    <row r="22" spans="2:5" x14ac:dyDescent="0.2">
      <c r="B22" s="7">
        <v>12</v>
      </c>
      <c r="C22" s="7" t="s">
        <v>434</v>
      </c>
      <c r="D22" s="7" t="s">
        <v>444</v>
      </c>
      <c r="E22" s="7"/>
    </row>
    <row r="23" spans="2:5" x14ac:dyDescent="0.2">
      <c r="B23" s="7">
        <v>13</v>
      </c>
      <c r="C23" s="7" t="s">
        <v>433</v>
      </c>
      <c r="D23" s="7" t="s">
        <v>444</v>
      </c>
      <c r="E23" s="7"/>
    </row>
    <row r="24" spans="2:5" x14ac:dyDescent="0.2">
      <c r="B24" s="110"/>
      <c r="C24" s="110"/>
      <c r="D24" s="110"/>
      <c r="E24" s="110"/>
    </row>
    <row r="27" spans="2:5" x14ac:dyDescent="0.2">
      <c r="B27" s="5" t="s">
        <v>330</v>
      </c>
    </row>
    <row r="28" spans="2:5" x14ac:dyDescent="0.2">
      <c r="B28" s="7">
        <v>14</v>
      </c>
      <c r="C28" s="7" t="s">
        <v>332</v>
      </c>
      <c r="D28" s="7" t="s">
        <v>90</v>
      </c>
      <c r="E28" s="7" t="s">
        <v>334</v>
      </c>
    </row>
    <row r="29" spans="2:5" x14ac:dyDescent="0.2">
      <c r="B29" s="7">
        <v>15</v>
      </c>
      <c r="C29" s="7" t="s">
        <v>331</v>
      </c>
      <c r="D29" s="7" t="s">
        <v>442</v>
      </c>
      <c r="E29" s="7" t="s">
        <v>334</v>
      </c>
    </row>
    <row r="30" spans="2:5" x14ac:dyDescent="0.2">
      <c r="B30" s="7">
        <v>16</v>
      </c>
      <c r="C30" s="7" t="s">
        <v>333</v>
      </c>
      <c r="D30" s="7" t="s">
        <v>443</v>
      </c>
      <c r="E30" s="7" t="s">
        <v>335</v>
      </c>
    </row>
    <row r="31" spans="2:5" x14ac:dyDescent="0.2">
      <c r="B31" s="7">
        <v>17</v>
      </c>
      <c r="C31" s="7" t="s">
        <v>336</v>
      </c>
      <c r="D31" s="7" t="s">
        <v>443</v>
      </c>
      <c r="E31" s="7" t="s">
        <v>338</v>
      </c>
    </row>
    <row r="32" spans="2:5" x14ac:dyDescent="0.2">
      <c r="B32" s="7">
        <v>18</v>
      </c>
      <c r="C32" s="7" t="s">
        <v>337</v>
      </c>
      <c r="D32" s="7" t="s">
        <v>443</v>
      </c>
      <c r="E32" s="7" t="s">
        <v>338</v>
      </c>
    </row>
    <row r="33" spans="2:5" x14ac:dyDescent="0.2">
      <c r="B33" s="7">
        <v>19</v>
      </c>
      <c r="C33" s="7" t="s">
        <v>337</v>
      </c>
      <c r="D33" s="7" t="s">
        <v>443</v>
      </c>
      <c r="E33" s="7" t="s">
        <v>338</v>
      </c>
    </row>
    <row r="34" spans="2:5" x14ac:dyDescent="0.2">
      <c r="B34" s="7">
        <v>20</v>
      </c>
      <c r="C34" s="7" t="s">
        <v>337</v>
      </c>
      <c r="D34" s="7" t="s">
        <v>443</v>
      </c>
      <c r="E34" s="7" t="s">
        <v>338</v>
      </c>
    </row>
    <row r="39" spans="2:5" x14ac:dyDescent="0.2">
      <c r="B39" s="2" t="s">
        <v>207</v>
      </c>
    </row>
  </sheetData>
  <hyperlinks>
    <hyperlink ref="E11" r:id="rId1" location="/CBS/nl/dataset/81122ned/table?ts=1571909642031"/>
    <hyperlink ref="E12" r:id="rId2" location="/CBS/nl/dataset/84046NED/table?ts=1571909504894"/>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B2:J35"/>
  <sheetViews>
    <sheetView showGridLines="0" zoomScale="85" zoomScaleNormal="85" workbookViewId="0">
      <pane xSplit="6" ySplit="10" topLeftCell="G11" activePane="bottomRight" state="frozen"/>
      <selection activeCell="O39" sqref="O39"/>
      <selection pane="topRight" activeCell="O39" sqref="O39"/>
      <selection pane="bottomLeft" activeCell="O39" sqref="O39"/>
      <selection pane="bottomRight" activeCell="G11" sqref="G11"/>
    </sheetView>
  </sheetViews>
  <sheetFormatPr defaultRowHeight="12.75" x14ac:dyDescent="0.2"/>
  <cols>
    <col min="1" max="1" width="4.7109375" style="2" customWidth="1"/>
    <col min="2" max="2" width="65.140625" style="2" customWidth="1"/>
    <col min="3" max="5" width="4.7109375" style="2" customWidth="1"/>
    <col min="6" max="6" width="23.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4" width="13.7109375" style="2" customWidth="1"/>
    <col min="25" max="16384" width="9.140625" style="2"/>
  </cols>
  <sheetData>
    <row r="2" spans="2:10" s="17" customFormat="1" ht="18" x14ac:dyDescent="0.2">
      <c r="B2" s="17" t="s">
        <v>50</v>
      </c>
    </row>
    <row r="4" spans="2:10" x14ac:dyDescent="0.2">
      <c r="B4" s="1" t="s">
        <v>51</v>
      </c>
      <c r="C4" s="1"/>
      <c r="D4" s="1"/>
    </row>
    <row r="5" spans="2:10" x14ac:dyDescent="0.2">
      <c r="B5" s="20" t="s">
        <v>367</v>
      </c>
      <c r="C5" s="3"/>
      <c r="D5" s="3"/>
      <c r="H5" s="18"/>
    </row>
    <row r="6" spans="2:10" x14ac:dyDescent="0.2">
      <c r="B6" s="20" t="s">
        <v>438</v>
      </c>
      <c r="C6" s="3"/>
      <c r="D6" s="3"/>
      <c r="H6" s="18"/>
    </row>
    <row r="7" spans="2:10" x14ac:dyDescent="0.2">
      <c r="B7" s="5"/>
      <c r="C7" s="3"/>
      <c r="D7" s="3"/>
    </row>
    <row r="9" spans="2:10" s="9" customFormat="1" x14ac:dyDescent="0.2">
      <c r="B9" s="9" t="s">
        <v>18</v>
      </c>
      <c r="F9" s="9" t="s">
        <v>54</v>
      </c>
      <c r="H9" s="9" t="s">
        <v>52</v>
      </c>
      <c r="J9" s="9" t="s">
        <v>53</v>
      </c>
    </row>
    <row r="12" spans="2:10" s="9" customFormat="1" x14ac:dyDescent="0.2">
      <c r="B12" s="9" t="s">
        <v>176</v>
      </c>
    </row>
    <row r="14" spans="2:10" x14ac:dyDescent="0.2">
      <c r="B14" s="1" t="s">
        <v>175</v>
      </c>
    </row>
    <row r="15" spans="2:10" x14ac:dyDescent="0.2">
      <c r="B15" s="20" t="s">
        <v>296</v>
      </c>
      <c r="F15" s="47" t="s">
        <v>177</v>
      </c>
      <c r="H15" s="71">
        <f>'Income 2020 and prod. price'!H74</f>
        <v>15059470.192636319</v>
      </c>
    </row>
    <row r="16" spans="2:10" x14ac:dyDescent="0.2">
      <c r="B16" s="20" t="s">
        <v>414</v>
      </c>
      <c r="F16" s="47" t="s">
        <v>177</v>
      </c>
      <c r="H16" s="71">
        <f>'Est. production and costs 2020'!H59</f>
        <v>301792.25</v>
      </c>
    </row>
    <row r="17" spans="2:10" x14ac:dyDescent="0.2">
      <c r="B17" s="2" t="s">
        <v>313</v>
      </c>
      <c r="F17" s="2" t="s">
        <v>79</v>
      </c>
      <c r="H17" s="71">
        <f>'Est. production and costs 2020'!H21</f>
        <v>122900000</v>
      </c>
    </row>
    <row r="18" spans="2:10" x14ac:dyDescent="0.2">
      <c r="B18" s="2" t="s">
        <v>428</v>
      </c>
      <c r="F18" s="2" t="s">
        <v>314</v>
      </c>
      <c r="H18" s="93">
        <f>(H15+H16)/H17</f>
        <v>0.12498993037132887</v>
      </c>
    </row>
    <row r="19" spans="2:10" x14ac:dyDescent="0.2">
      <c r="B19" s="2" t="s">
        <v>429</v>
      </c>
      <c r="F19" s="2" t="s">
        <v>314</v>
      </c>
      <c r="H19" s="99">
        <f>ROUND(H18,4)</f>
        <v>0.125</v>
      </c>
      <c r="J19" s="2" t="s">
        <v>430</v>
      </c>
    </row>
    <row r="21" spans="2:10" x14ac:dyDescent="0.2">
      <c r="B21" s="2" t="s">
        <v>315</v>
      </c>
      <c r="F21" s="2" t="s">
        <v>314</v>
      </c>
      <c r="H21" s="99">
        <f>'Income 2020 and prod. price'!H82</f>
        <v>7.1152858280574841E-2</v>
      </c>
      <c r="J21" s="2" t="s">
        <v>437</v>
      </c>
    </row>
    <row r="23" spans="2:10" x14ac:dyDescent="0.2">
      <c r="B23" s="2" t="s">
        <v>316</v>
      </c>
      <c r="F23" s="2" t="s">
        <v>314</v>
      </c>
      <c r="H23" s="93">
        <f>H19+H21</f>
        <v>0.19615285828057483</v>
      </c>
      <c r="J23" s="109"/>
    </row>
    <row r="24" spans="2:10" x14ac:dyDescent="0.2">
      <c r="B24" s="2" t="s">
        <v>431</v>
      </c>
      <c r="F24" s="2" t="s">
        <v>314</v>
      </c>
      <c r="H24" s="99">
        <f>ROUND(H23,4)</f>
        <v>0.19620000000000001</v>
      </c>
      <c r="J24" s="109" t="s">
        <v>432</v>
      </c>
    </row>
    <row r="27" spans="2:10" x14ac:dyDescent="0.2">
      <c r="B27" s="1" t="s">
        <v>80</v>
      </c>
    </row>
    <row r="28" spans="2:10" x14ac:dyDescent="0.2">
      <c r="B28" s="20" t="s">
        <v>415</v>
      </c>
      <c r="F28" s="47" t="s">
        <v>177</v>
      </c>
      <c r="H28" s="35">
        <f>'Income 2020 and prod. price'!H61</f>
        <v>15440611.289860517</v>
      </c>
      <c r="J28" s="2" t="s">
        <v>362</v>
      </c>
    </row>
    <row r="29" spans="2:10" x14ac:dyDescent="0.2">
      <c r="B29" s="2" t="s">
        <v>361</v>
      </c>
      <c r="F29" s="47" t="s">
        <v>177</v>
      </c>
      <c r="H29" s="101">
        <f>'Income 2020 and prod. price'!H63</f>
        <v>850000</v>
      </c>
      <c r="J29" s="2" t="s">
        <v>362</v>
      </c>
    </row>
    <row r="30" spans="2:10" x14ac:dyDescent="0.2">
      <c r="B30" s="2" t="s">
        <v>398</v>
      </c>
      <c r="F30" s="2" t="s">
        <v>61</v>
      </c>
      <c r="H30" s="116">
        <f>'Income 2020 and prod. price'!H64</f>
        <v>0.11032662860454195</v>
      </c>
      <c r="J30" s="18"/>
    </row>
    <row r="35" spans="2:2" x14ac:dyDescent="0.2">
      <c r="B35" s="2" t="s">
        <v>207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19"/>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FFE1"/>
  </sheetPr>
  <dimension ref="B2:L38"/>
  <sheetViews>
    <sheetView showGridLines="0" zoomScale="85" zoomScaleNormal="85" workbookViewId="0">
      <pane xSplit="6" ySplit="15" topLeftCell="G16" activePane="bottomRight" state="frozen"/>
      <selection pane="topRight" activeCell="G1" sqref="G1"/>
      <selection pane="bottomLeft" activeCell="A19" sqref="A19"/>
      <selection pane="bottomRight" activeCell="G16" sqref="G16"/>
    </sheetView>
  </sheetViews>
  <sheetFormatPr defaultRowHeight="12.75" x14ac:dyDescent="0.2"/>
  <cols>
    <col min="1" max="1" width="4.7109375" style="2" customWidth="1"/>
    <col min="2" max="2" width="41.42578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28.85546875" style="2" customWidth="1"/>
    <col min="11" max="11" width="6.5703125" style="2" customWidth="1"/>
    <col min="12" max="15" width="12.5703125" style="2" customWidth="1"/>
    <col min="16" max="16" width="2.7109375" style="2" customWidth="1"/>
    <col min="17" max="17" width="17.140625" style="2" customWidth="1"/>
    <col min="18" max="18" width="2.7109375" style="2" customWidth="1"/>
    <col min="19" max="19" width="13.7109375" style="2" customWidth="1"/>
    <col min="20" max="20" width="2.7109375" style="2" customWidth="1"/>
    <col min="21" max="35" width="13.7109375" style="2" customWidth="1"/>
    <col min="36" max="16384" width="9.140625" style="2"/>
  </cols>
  <sheetData>
    <row r="2" spans="2:12" s="17" customFormat="1" ht="18" x14ac:dyDescent="0.2">
      <c r="B2" s="17" t="s">
        <v>55</v>
      </c>
    </row>
    <row r="4" spans="2:12" x14ac:dyDescent="0.2">
      <c r="B4" s="25" t="s">
        <v>56</v>
      </c>
      <c r="C4" s="1"/>
      <c r="D4" s="1"/>
    </row>
    <row r="5" spans="2:12" x14ac:dyDescent="0.2">
      <c r="B5" s="20" t="s">
        <v>383</v>
      </c>
      <c r="C5" s="3"/>
      <c r="D5" s="3"/>
      <c r="H5" s="18"/>
    </row>
    <row r="6" spans="2:12" x14ac:dyDescent="0.2">
      <c r="B6" s="20"/>
      <c r="C6" s="3"/>
      <c r="D6" s="3"/>
      <c r="H6" s="18"/>
    </row>
    <row r="7" spans="2:12" x14ac:dyDescent="0.2">
      <c r="B7" s="26" t="s">
        <v>40</v>
      </c>
      <c r="C7" s="3"/>
      <c r="D7" s="3"/>
      <c r="H7" s="18"/>
    </row>
    <row r="8" spans="2:12" x14ac:dyDescent="0.2">
      <c r="B8" s="5" t="s">
        <v>57</v>
      </c>
      <c r="C8" s="3"/>
      <c r="D8" s="3"/>
    </row>
    <row r="9" spans="2:12" x14ac:dyDescent="0.2">
      <c r="B9" s="5" t="s">
        <v>58</v>
      </c>
      <c r="C9" s="3"/>
      <c r="D9" s="3"/>
    </row>
    <row r="10" spans="2:12" x14ac:dyDescent="0.2">
      <c r="C10" s="3"/>
      <c r="D10" s="3"/>
    </row>
    <row r="11" spans="2:12" x14ac:dyDescent="0.2">
      <c r="B11" s="5" t="s">
        <v>418</v>
      </c>
      <c r="C11" s="3"/>
      <c r="D11" s="3"/>
    </row>
    <row r="14" spans="2:12" s="9" customFormat="1" x14ac:dyDescent="0.2">
      <c r="B14" s="9" t="s">
        <v>18</v>
      </c>
      <c r="F14" s="9" t="s">
        <v>54</v>
      </c>
      <c r="H14" s="9" t="s">
        <v>52</v>
      </c>
      <c r="J14" s="9" t="s">
        <v>59</v>
      </c>
      <c r="L14" s="9" t="s">
        <v>60</v>
      </c>
    </row>
    <row r="17" spans="2:10" s="9" customFormat="1" x14ac:dyDescent="0.2">
      <c r="B17" s="9" t="s">
        <v>309</v>
      </c>
    </row>
    <row r="19" spans="2:10" x14ac:dyDescent="0.2">
      <c r="B19" s="2" t="s">
        <v>63</v>
      </c>
      <c r="F19" s="2" t="s">
        <v>61</v>
      </c>
      <c r="H19" s="45">
        <v>6.0000000000000001E-3</v>
      </c>
      <c r="J19" s="2" t="s">
        <v>62</v>
      </c>
    </row>
    <row r="20" spans="2:10" x14ac:dyDescent="0.2">
      <c r="B20" s="2" t="s">
        <v>64</v>
      </c>
      <c r="F20" s="2" t="s">
        <v>61</v>
      </c>
      <c r="H20" s="45">
        <v>6.0000000000000001E-3</v>
      </c>
      <c r="J20" s="2" t="s">
        <v>62</v>
      </c>
    </row>
    <row r="21" spans="2:10" x14ac:dyDescent="0.2">
      <c r="B21" s="2" t="s">
        <v>65</v>
      </c>
      <c r="F21" s="2" t="s">
        <v>61</v>
      </c>
      <c r="H21" s="45">
        <v>3.5000000000000003E-2</v>
      </c>
      <c r="J21" s="2" t="s">
        <v>66</v>
      </c>
    </row>
    <row r="22" spans="2:10" x14ac:dyDescent="0.2">
      <c r="B22" s="2" t="s">
        <v>69</v>
      </c>
      <c r="F22" s="2" t="s">
        <v>61</v>
      </c>
      <c r="H22" s="45">
        <v>1.2E-2</v>
      </c>
      <c r="J22" s="2" t="s">
        <v>66</v>
      </c>
    </row>
    <row r="25" spans="2:10" s="9" customFormat="1" x14ac:dyDescent="0.2">
      <c r="B25" s="9" t="s">
        <v>317</v>
      </c>
    </row>
    <row r="27" spans="2:10" x14ac:dyDescent="0.2">
      <c r="B27" s="2" t="s">
        <v>67</v>
      </c>
      <c r="F27" s="2" t="s">
        <v>61</v>
      </c>
      <c r="H27" s="44">
        <v>6.4000000000000001E-2</v>
      </c>
      <c r="J27" s="2" t="s">
        <v>70</v>
      </c>
    </row>
    <row r="28" spans="2:10" x14ac:dyDescent="0.2">
      <c r="B28" s="2" t="s">
        <v>71</v>
      </c>
      <c r="F28" s="2" t="s">
        <v>61</v>
      </c>
      <c r="H28" s="100">
        <v>6.2E-2</v>
      </c>
      <c r="J28" s="2" t="s">
        <v>72</v>
      </c>
    </row>
    <row r="31" spans="2:10" s="9" customFormat="1" x14ac:dyDescent="0.2">
      <c r="B31" s="9" t="s">
        <v>68</v>
      </c>
    </row>
    <row r="33" spans="2:12" x14ac:dyDescent="0.2">
      <c r="B33" s="2" t="s">
        <v>68</v>
      </c>
      <c r="F33" s="2" t="s">
        <v>61</v>
      </c>
      <c r="H33" s="44">
        <v>0.5</v>
      </c>
      <c r="L33" s="20" t="s">
        <v>321</v>
      </c>
    </row>
    <row r="38" spans="2:12" x14ac:dyDescent="0.2">
      <c r="B38" s="2" t="s">
        <v>207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B2:M107"/>
  <sheetViews>
    <sheetView showGridLines="0" zoomScale="85" zoomScaleNormal="85" workbookViewId="0">
      <pane xSplit="6" ySplit="15" topLeftCell="G16" activePane="bottomRight" state="frozen"/>
      <selection activeCell="R6" sqref="R6"/>
      <selection pane="topRight" activeCell="R6" sqref="R6"/>
      <selection pane="bottomLeft" activeCell="R6" sqref="R6"/>
      <selection pane="bottomRight" activeCell="G16" sqref="G16"/>
    </sheetView>
  </sheetViews>
  <sheetFormatPr defaultRowHeight="12.75" x14ac:dyDescent="0.2"/>
  <cols>
    <col min="1" max="1" width="4.7109375" style="2" customWidth="1"/>
    <col min="2" max="2" width="60.28515625" style="2" customWidth="1"/>
    <col min="3" max="3" width="4.7109375" style="2" customWidth="1"/>
    <col min="4" max="5" width="4.5703125" style="2" customWidth="1"/>
    <col min="6" max="6" width="24" style="2" customWidth="1"/>
    <col min="7" max="7" width="2.7109375" style="2" customWidth="1"/>
    <col min="8" max="8" width="13.7109375" style="2" customWidth="1"/>
    <col min="9" max="9" width="2.7109375" style="2" customWidth="1"/>
    <col min="10" max="10" width="75.42578125" style="2" customWidth="1"/>
    <col min="11" max="11" width="2.7109375" style="2" customWidth="1"/>
    <col min="12" max="12" width="39.140625" style="2" customWidth="1"/>
    <col min="13" max="26" width="13.7109375" style="2" customWidth="1"/>
    <col min="27" max="16384" width="9.140625" style="2"/>
  </cols>
  <sheetData>
    <row r="2" spans="2:12" s="17" customFormat="1" ht="18" x14ac:dyDescent="0.2">
      <c r="B2" s="17" t="s">
        <v>108</v>
      </c>
    </row>
    <row r="4" spans="2:12" x14ac:dyDescent="0.2">
      <c r="B4" s="25" t="s">
        <v>56</v>
      </c>
      <c r="C4" s="1"/>
      <c r="D4" s="1"/>
      <c r="L4"/>
    </row>
    <row r="5" spans="2:12" x14ac:dyDescent="0.2">
      <c r="B5" s="20" t="s">
        <v>384</v>
      </c>
      <c r="C5" s="3"/>
      <c r="D5" s="3"/>
      <c r="H5" s="18"/>
    </row>
    <row r="6" spans="2:12" x14ac:dyDescent="0.2">
      <c r="B6" s="2" t="s">
        <v>109</v>
      </c>
      <c r="C6" s="3"/>
      <c r="D6" s="3"/>
      <c r="H6" s="18"/>
    </row>
    <row r="7" spans="2:12" x14ac:dyDescent="0.2">
      <c r="B7" s="20"/>
      <c r="C7" s="3"/>
      <c r="D7" s="3"/>
      <c r="H7" s="18"/>
    </row>
    <row r="8" spans="2:12" x14ac:dyDescent="0.2">
      <c r="B8" s="26" t="s">
        <v>40</v>
      </c>
      <c r="C8" s="3"/>
      <c r="D8" s="3"/>
      <c r="H8" s="18"/>
    </row>
    <row r="9" spans="2:12" x14ac:dyDescent="0.2">
      <c r="B9" s="5" t="s">
        <v>403</v>
      </c>
      <c r="C9" s="3"/>
      <c r="D9" s="3"/>
    </row>
    <row r="10" spans="2:12" x14ac:dyDescent="0.2">
      <c r="B10" s="26" t="s">
        <v>318</v>
      </c>
    </row>
    <row r="11" spans="2:12" x14ac:dyDescent="0.2">
      <c r="B11" s="26" t="s">
        <v>110</v>
      </c>
    </row>
    <row r="14" spans="2:12" s="41" customFormat="1" x14ac:dyDescent="0.2">
      <c r="B14" s="41" t="s">
        <v>18</v>
      </c>
      <c r="F14" s="41" t="s">
        <v>54</v>
      </c>
      <c r="H14" s="41" t="s">
        <v>52</v>
      </c>
      <c r="J14" s="41" t="s">
        <v>59</v>
      </c>
      <c r="L14" s="41" t="s">
        <v>53</v>
      </c>
    </row>
    <row r="15" spans="2:12" s="20" customFormat="1" x14ac:dyDescent="0.2"/>
    <row r="16" spans="2:12" s="20" customFormat="1" x14ac:dyDescent="0.2"/>
    <row r="17" spans="2:12" s="41" customFormat="1" x14ac:dyDescent="0.2">
      <c r="B17" s="41" t="s">
        <v>74</v>
      </c>
    </row>
    <row r="18" spans="2:12" s="20" customFormat="1" x14ac:dyDescent="0.2"/>
    <row r="19" spans="2:12" s="20" customFormat="1" x14ac:dyDescent="0.2">
      <c r="B19" s="2" t="s">
        <v>63</v>
      </c>
      <c r="F19" s="20" t="s">
        <v>61</v>
      </c>
      <c r="H19" s="79">
        <f>Parameters!H19</f>
        <v>6.0000000000000001E-3</v>
      </c>
    </row>
    <row r="20" spans="2:12" s="20" customFormat="1" x14ac:dyDescent="0.2">
      <c r="B20" s="2" t="s">
        <v>64</v>
      </c>
      <c r="F20" s="20" t="s">
        <v>61</v>
      </c>
      <c r="H20" s="79">
        <f>Parameters!H20</f>
        <v>6.0000000000000001E-3</v>
      </c>
    </row>
    <row r="21" spans="2:12" s="20" customFormat="1" x14ac:dyDescent="0.2"/>
    <row r="22" spans="2:12" s="20" customFormat="1" x14ac:dyDescent="0.2">
      <c r="B22" s="42" t="s">
        <v>408</v>
      </c>
    </row>
    <row r="23" spans="2:12" s="20" customFormat="1" x14ac:dyDescent="0.2">
      <c r="B23" s="40" t="s">
        <v>77</v>
      </c>
      <c r="F23" s="20" t="s">
        <v>73</v>
      </c>
      <c r="H23" s="43">
        <v>13477686.95091901</v>
      </c>
      <c r="J23" s="20" t="s">
        <v>324</v>
      </c>
      <c r="L23" s="20" t="s">
        <v>78</v>
      </c>
    </row>
    <row r="24" spans="2:12" s="20" customFormat="1" x14ac:dyDescent="0.2">
      <c r="B24" s="40" t="s">
        <v>180</v>
      </c>
      <c r="F24" s="20" t="s">
        <v>178</v>
      </c>
      <c r="H24" s="43">
        <v>6494180.6299999999</v>
      </c>
      <c r="J24" s="20" t="s">
        <v>325</v>
      </c>
    </row>
    <row r="25" spans="2:12" s="20" customFormat="1" x14ac:dyDescent="0.2">
      <c r="B25" s="40"/>
    </row>
    <row r="26" spans="2:12" s="20" customFormat="1" x14ac:dyDescent="0.2">
      <c r="B26" s="46" t="s">
        <v>400</v>
      </c>
    </row>
    <row r="27" spans="2:12" s="20" customFormat="1" x14ac:dyDescent="0.2">
      <c r="B27" s="26" t="s">
        <v>402</v>
      </c>
    </row>
    <row r="28" spans="2:12" s="20" customFormat="1" x14ac:dyDescent="0.2">
      <c r="B28" s="47" t="s">
        <v>405</v>
      </c>
      <c r="F28" s="20" t="s">
        <v>178</v>
      </c>
      <c r="H28" s="32">
        <v>912901.35</v>
      </c>
      <c r="J28" s="20" t="s">
        <v>404</v>
      </c>
      <c r="L28" s="20" t="s">
        <v>407</v>
      </c>
    </row>
    <row r="29" spans="2:12" s="20" customFormat="1" x14ac:dyDescent="0.2">
      <c r="B29" s="46"/>
    </row>
    <row r="30" spans="2:12" s="20" customFormat="1" x14ac:dyDescent="0.2">
      <c r="B30" s="46" t="s">
        <v>401</v>
      </c>
    </row>
    <row r="31" spans="2:12" x14ac:dyDescent="0.2">
      <c r="B31" s="26" t="s">
        <v>75</v>
      </c>
    </row>
    <row r="32" spans="2:12" x14ac:dyDescent="0.2">
      <c r="B32" s="47" t="s">
        <v>76</v>
      </c>
      <c r="F32" s="20" t="s">
        <v>73</v>
      </c>
      <c r="H32" s="43">
        <v>-35420.161922644358</v>
      </c>
      <c r="J32" s="2" t="s">
        <v>379</v>
      </c>
      <c r="L32" s="2" t="s">
        <v>406</v>
      </c>
    </row>
    <row r="34" spans="2:10" x14ac:dyDescent="0.2">
      <c r="B34" s="1" t="s">
        <v>409</v>
      </c>
    </row>
    <row r="35" spans="2:10" x14ac:dyDescent="0.2">
      <c r="B35" s="40" t="s">
        <v>77</v>
      </c>
      <c r="F35" s="20" t="s">
        <v>73</v>
      </c>
      <c r="H35" s="35">
        <f>H23-H28*(1+H19)*(1+H20)+H32</f>
        <v>12518377.758347765</v>
      </c>
    </row>
    <row r="36" spans="2:10" x14ac:dyDescent="0.2">
      <c r="B36" s="40" t="s">
        <v>179</v>
      </c>
      <c r="F36" s="20" t="s">
        <v>73</v>
      </c>
      <c r="H36" s="35">
        <f>(H24-H28)*(1+H19)*(1+H20)</f>
        <v>5648455.5574140809</v>
      </c>
    </row>
    <row r="38" spans="2:10" x14ac:dyDescent="0.2">
      <c r="B38" s="1" t="s">
        <v>80</v>
      </c>
    </row>
    <row r="39" spans="2:10" x14ac:dyDescent="0.2">
      <c r="B39" s="2" t="s">
        <v>81</v>
      </c>
      <c r="F39" s="2" t="s">
        <v>79</v>
      </c>
      <c r="H39" s="32">
        <v>103709394</v>
      </c>
      <c r="J39" s="20" t="s">
        <v>326</v>
      </c>
    </row>
    <row r="42" spans="2:10" s="9" customFormat="1" x14ac:dyDescent="0.2">
      <c r="B42" s="9" t="s">
        <v>111</v>
      </c>
    </row>
    <row r="44" spans="2:10" x14ac:dyDescent="0.2">
      <c r="B44" s="25" t="s">
        <v>82</v>
      </c>
    </row>
    <row r="45" spans="2:10" x14ac:dyDescent="0.2">
      <c r="B45" s="2" t="s">
        <v>83</v>
      </c>
      <c r="F45" s="20" t="s">
        <v>73</v>
      </c>
      <c r="H45" s="30"/>
    </row>
    <row r="46" spans="2:10" x14ac:dyDescent="0.2">
      <c r="B46" s="2" t="s">
        <v>84</v>
      </c>
      <c r="F46" s="20" t="s">
        <v>73</v>
      </c>
      <c r="H46" s="30"/>
    </row>
    <row r="47" spans="2:10" x14ac:dyDescent="0.2">
      <c r="B47" s="20" t="s">
        <v>399</v>
      </c>
      <c r="F47" s="20" t="s">
        <v>73</v>
      </c>
      <c r="H47" s="30"/>
    </row>
    <row r="48" spans="2:10" x14ac:dyDescent="0.2">
      <c r="B48" s="20" t="s">
        <v>132</v>
      </c>
      <c r="F48" s="20" t="s">
        <v>73</v>
      </c>
      <c r="H48" s="30">
        <v>6364623</v>
      </c>
    </row>
    <row r="49" spans="2:13" x14ac:dyDescent="0.2">
      <c r="J49" s="68"/>
    </row>
    <row r="50" spans="2:13" x14ac:dyDescent="0.2">
      <c r="B50" s="1" t="s">
        <v>85</v>
      </c>
    </row>
    <row r="51" spans="2:13" x14ac:dyDescent="0.2">
      <c r="B51" s="2" t="s">
        <v>449</v>
      </c>
      <c r="F51" s="20" t="s">
        <v>73</v>
      </c>
      <c r="H51" s="32">
        <v>1053152</v>
      </c>
      <c r="J51" s="2" t="s">
        <v>328</v>
      </c>
      <c r="L51" s="18"/>
    </row>
    <row r="53" spans="2:13" x14ac:dyDescent="0.2">
      <c r="H53" s="68"/>
    </row>
    <row r="54" spans="2:13" s="9" customFormat="1" x14ac:dyDescent="0.2">
      <c r="B54" s="9" t="s">
        <v>319</v>
      </c>
    </row>
    <row r="56" spans="2:13" s="1" customFormat="1" x14ac:dyDescent="0.2">
      <c r="B56" s="1" t="s">
        <v>87</v>
      </c>
      <c r="J56" s="48"/>
    </row>
    <row r="57" spans="2:13" s="1" customFormat="1" x14ac:dyDescent="0.2">
      <c r="J57" s="48"/>
    </row>
    <row r="58" spans="2:13" x14ac:dyDescent="0.2">
      <c r="B58" s="2" t="s">
        <v>88</v>
      </c>
      <c r="F58" s="2" t="s">
        <v>89</v>
      </c>
      <c r="H58" s="32">
        <v>61734000</v>
      </c>
      <c r="J58" s="2" t="s">
        <v>332</v>
      </c>
    </row>
    <row r="59" spans="2:13" x14ac:dyDescent="0.2">
      <c r="B59" s="2" t="s">
        <v>91</v>
      </c>
      <c r="F59" s="2" t="s">
        <v>89</v>
      </c>
      <c r="H59" s="32">
        <v>860000</v>
      </c>
      <c r="J59" s="2" t="s">
        <v>332</v>
      </c>
      <c r="M59" s="29"/>
    </row>
    <row r="60" spans="2:13" x14ac:dyDescent="0.2">
      <c r="B60" s="2" t="s">
        <v>92</v>
      </c>
      <c r="F60" s="2" t="s">
        <v>89</v>
      </c>
      <c r="H60" s="32">
        <v>18696000</v>
      </c>
      <c r="J60" s="2" t="s">
        <v>331</v>
      </c>
      <c r="L60" s="108"/>
      <c r="M60" s="108"/>
    </row>
    <row r="61" spans="2:13" x14ac:dyDescent="0.2">
      <c r="B61" s="2" t="s">
        <v>93</v>
      </c>
      <c r="F61" s="2" t="s">
        <v>94</v>
      </c>
      <c r="H61" s="32">
        <v>15</v>
      </c>
      <c r="J61" s="2" t="s">
        <v>331</v>
      </c>
      <c r="M61" s="29"/>
    </row>
    <row r="62" spans="2:13" x14ac:dyDescent="0.2">
      <c r="L62" s="29"/>
      <c r="M62" s="29"/>
    </row>
    <row r="64" spans="2:13" x14ac:dyDescent="0.2">
      <c r="B64" s="1" t="s">
        <v>95</v>
      </c>
    </row>
    <row r="66" spans="2:10" x14ac:dyDescent="0.2">
      <c r="B66" s="5" t="s">
        <v>96</v>
      </c>
    </row>
    <row r="67" spans="2:10" x14ac:dyDescent="0.2">
      <c r="B67" s="49" t="s">
        <v>97</v>
      </c>
    </row>
    <row r="68" spans="2:10" x14ac:dyDescent="0.2">
      <c r="B68" s="2" t="s">
        <v>98</v>
      </c>
      <c r="F68" s="2" t="s">
        <v>89</v>
      </c>
      <c r="H68" s="32">
        <v>773908</v>
      </c>
      <c r="J68" s="2" t="s">
        <v>333</v>
      </c>
    </row>
    <row r="69" spans="2:10" x14ac:dyDescent="0.2">
      <c r="B69" s="2" t="s">
        <v>99</v>
      </c>
      <c r="F69" s="2" t="s">
        <v>100</v>
      </c>
      <c r="H69" s="32">
        <v>9.25</v>
      </c>
      <c r="J69" s="2" t="s">
        <v>333</v>
      </c>
    </row>
    <row r="70" spans="2:10" x14ac:dyDescent="0.2">
      <c r="B70" s="2" t="s">
        <v>101</v>
      </c>
      <c r="F70" s="2" t="s">
        <v>102</v>
      </c>
      <c r="H70" s="50">
        <v>42491</v>
      </c>
      <c r="J70" s="2" t="s">
        <v>333</v>
      </c>
    </row>
    <row r="72" spans="2:10" x14ac:dyDescent="0.2">
      <c r="B72" s="49" t="s">
        <v>103</v>
      </c>
    </row>
    <row r="73" spans="2:10" x14ac:dyDescent="0.2">
      <c r="B73" s="2" t="s">
        <v>98</v>
      </c>
      <c r="F73" s="2" t="s">
        <v>89</v>
      </c>
      <c r="H73" s="32">
        <v>59734</v>
      </c>
      <c r="J73" s="2" t="s">
        <v>333</v>
      </c>
    </row>
    <row r="74" spans="2:10" x14ac:dyDescent="0.2">
      <c r="B74" s="2" t="s">
        <v>99</v>
      </c>
      <c r="F74" s="2" t="s">
        <v>100</v>
      </c>
      <c r="H74" s="32">
        <v>5</v>
      </c>
      <c r="J74" s="2" t="s">
        <v>333</v>
      </c>
    </row>
    <row r="75" spans="2:10" x14ac:dyDescent="0.2">
      <c r="B75" s="2" t="s">
        <v>101</v>
      </c>
      <c r="F75" s="2" t="s">
        <v>102</v>
      </c>
      <c r="H75" s="50">
        <v>42538</v>
      </c>
      <c r="J75" s="2" t="s">
        <v>333</v>
      </c>
    </row>
    <row r="77" spans="2:10" x14ac:dyDescent="0.2">
      <c r="B77" s="49" t="s">
        <v>104</v>
      </c>
    </row>
    <row r="78" spans="2:10" x14ac:dyDescent="0.2">
      <c r="B78" s="20" t="s">
        <v>98</v>
      </c>
      <c r="F78" s="2" t="s">
        <v>89</v>
      </c>
      <c r="H78" s="32">
        <v>6900</v>
      </c>
      <c r="J78" s="2" t="s">
        <v>333</v>
      </c>
    </row>
    <row r="79" spans="2:10" x14ac:dyDescent="0.2">
      <c r="B79" s="20" t="s">
        <v>99</v>
      </c>
      <c r="F79" s="2" t="s">
        <v>100</v>
      </c>
      <c r="H79" s="32">
        <v>4</v>
      </c>
      <c r="J79" s="2" t="s">
        <v>333</v>
      </c>
    </row>
    <row r="80" spans="2:10" x14ac:dyDescent="0.2">
      <c r="B80" s="2" t="s">
        <v>101</v>
      </c>
      <c r="F80" s="2" t="s">
        <v>102</v>
      </c>
      <c r="H80" s="50">
        <v>42536</v>
      </c>
      <c r="J80" s="2" t="s">
        <v>333</v>
      </c>
    </row>
    <row r="83" spans="2:10" x14ac:dyDescent="0.2">
      <c r="B83" s="5" t="s">
        <v>105</v>
      </c>
    </row>
    <row r="84" spans="2:10" x14ac:dyDescent="0.2">
      <c r="B84" s="49" t="s">
        <v>103</v>
      </c>
    </row>
    <row r="85" spans="2:10" x14ac:dyDescent="0.2">
      <c r="B85" s="2" t="s">
        <v>98</v>
      </c>
      <c r="F85" s="2" t="s">
        <v>89</v>
      </c>
      <c r="H85" s="32">
        <v>6000</v>
      </c>
      <c r="J85" s="2" t="s">
        <v>336</v>
      </c>
    </row>
    <row r="86" spans="2:10" x14ac:dyDescent="0.2">
      <c r="B86" s="2" t="s">
        <v>99</v>
      </c>
      <c r="F86" s="2" t="s">
        <v>100</v>
      </c>
      <c r="H86" s="32">
        <v>5</v>
      </c>
      <c r="J86" s="2" t="s">
        <v>336</v>
      </c>
    </row>
    <row r="87" spans="2:10" x14ac:dyDescent="0.2">
      <c r="B87" s="2" t="s">
        <v>101</v>
      </c>
      <c r="F87" s="2" t="s">
        <v>102</v>
      </c>
      <c r="H87" s="50">
        <v>42751</v>
      </c>
      <c r="J87" s="2" t="s">
        <v>336</v>
      </c>
    </row>
    <row r="89" spans="2:10" x14ac:dyDescent="0.2">
      <c r="B89" s="49" t="s">
        <v>103</v>
      </c>
    </row>
    <row r="90" spans="2:10" x14ac:dyDescent="0.2">
      <c r="B90" s="2" t="s">
        <v>98</v>
      </c>
      <c r="F90" s="2" t="s">
        <v>89</v>
      </c>
      <c r="H90" s="52">
        <v>4000</v>
      </c>
      <c r="J90" s="2" t="s">
        <v>336</v>
      </c>
    </row>
    <row r="91" spans="2:10" x14ac:dyDescent="0.2">
      <c r="B91" s="2" t="s">
        <v>99</v>
      </c>
      <c r="F91" s="2" t="s">
        <v>100</v>
      </c>
      <c r="H91" s="52">
        <v>5</v>
      </c>
      <c r="J91" s="2" t="s">
        <v>336</v>
      </c>
    </row>
    <row r="92" spans="2:10" x14ac:dyDescent="0.2">
      <c r="B92" s="2" t="s">
        <v>101</v>
      </c>
      <c r="F92" s="2" t="s">
        <v>102</v>
      </c>
      <c r="H92" s="50">
        <v>43050</v>
      </c>
      <c r="J92" s="2" t="s">
        <v>336</v>
      </c>
    </row>
    <row r="95" spans="2:10" x14ac:dyDescent="0.2">
      <c r="B95" s="5" t="s">
        <v>135</v>
      </c>
    </row>
    <row r="96" spans="2:10" x14ac:dyDescent="0.2">
      <c r="B96" s="49" t="s">
        <v>106</v>
      </c>
    </row>
    <row r="97" spans="2:10" x14ac:dyDescent="0.2">
      <c r="B97" s="2" t="s">
        <v>98</v>
      </c>
      <c r="F97" s="2" t="s">
        <v>89</v>
      </c>
      <c r="H97" s="32">
        <v>7636</v>
      </c>
      <c r="J97" s="2" t="s">
        <v>328</v>
      </c>
    </row>
    <row r="98" spans="2:10" x14ac:dyDescent="0.2">
      <c r="B98" s="2" t="s">
        <v>99</v>
      </c>
      <c r="F98" s="2" t="s">
        <v>100</v>
      </c>
      <c r="H98" s="32">
        <v>4</v>
      </c>
      <c r="J98" s="2" t="s">
        <v>328</v>
      </c>
    </row>
    <row r="99" spans="2:10" x14ac:dyDescent="0.2">
      <c r="B99" s="2" t="s">
        <v>101</v>
      </c>
      <c r="F99" s="2" t="s">
        <v>102</v>
      </c>
      <c r="H99" s="50">
        <v>43451</v>
      </c>
      <c r="J99" s="2" t="s">
        <v>328</v>
      </c>
    </row>
    <row r="107" spans="2:10" x14ac:dyDescent="0.2">
      <c r="B107" s="2" t="s">
        <v>207</v>
      </c>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2:KG66"/>
  <sheetViews>
    <sheetView showGridLines="0" zoomScale="85" zoomScaleNormal="85" workbookViewId="0">
      <pane xSplit="6" ySplit="12" topLeftCell="G13" activePane="bottomRight" state="frozen"/>
      <selection activeCell="R6" sqref="R6"/>
      <selection pane="topRight" activeCell="R6" sqref="R6"/>
      <selection pane="bottomLeft" activeCell="R6" sqref="R6"/>
      <selection pane="bottomRight" activeCell="G13" sqref="G13"/>
    </sheetView>
  </sheetViews>
  <sheetFormatPr defaultRowHeight="12.75" x14ac:dyDescent="0.2"/>
  <cols>
    <col min="1" max="1" width="4.7109375" style="2" customWidth="1"/>
    <col min="2" max="2" width="60.28515625" style="2" customWidth="1"/>
    <col min="3" max="3" width="4.7109375" style="2" customWidth="1"/>
    <col min="4" max="5" width="4.5703125" style="2" customWidth="1"/>
    <col min="6" max="6" width="24" style="2" customWidth="1"/>
    <col min="7" max="7" width="2.7109375" style="2" customWidth="1"/>
    <col min="8" max="8" width="13.7109375" style="2" customWidth="1"/>
    <col min="9" max="9" width="2.7109375" style="2" customWidth="1"/>
    <col min="10" max="10" width="9.85546875" style="2" customWidth="1"/>
    <col min="11" max="11" width="2.7109375" style="2" customWidth="1"/>
    <col min="12" max="26" width="11.85546875" style="2" customWidth="1"/>
    <col min="27" max="27" width="4.42578125" style="2" customWidth="1"/>
    <col min="28" max="28" width="55.28515625" style="2" customWidth="1"/>
    <col min="29" max="29" width="3.140625" style="2" customWidth="1"/>
    <col min="30" max="16384" width="9.140625" style="2"/>
  </cols>
  <sheetData>
    <row r="2" spans="1:268" s="17" customFormat="1" ht="18" x14ac:dyDescent="0.2">
      <c r="B2" s="17" t="s">
        <v>107</v>
      </c>
    </row>
    <row r="4" spans="1:268" x14ac:dyDescent="0.2">
      <c r="B4" s="25" t="s">
        <v>56</v>
      </c>
      <c r="C4" s="1"/>
      <c r="D4" s="1"/>
    </row>
    <row r="5" spans="1:268" x14ac:dyDescent="0.2">
      <c r="B5" s="20" t="s">
        <v>351</v>
      </c>
      <c r="C5" s="3"/>
      <c r="D5" s="3"/>
      <c r="H5" s="18"/>
    </row>
    <row r="6" spans="1:268" x14ac:dyDescent="0.2">
      <c r="B6" s="20"/>
      <c r="C6" s="3"/>
      <c r="D6" s="3"/>
      <c r="H6" s="18"/>
    </row>
    <row r="7" spans="1:268" x14ac:dyDescent="0.2">
      <c r="B7" s="26" t="s">
        <v>40</v>
      </c>
      <c r="C7" s="3"/>
      <c r="D7" s="3"/>
      <c r="H7" s="18"/>
    </row>
    <row r="8" spans="1:268" x14ac:dyDescent="0.2">
      <c r="B8" s="5" t="s">
        <v>350</v>
      </c>
      <c r="C8" s="3"/>
      <c r="D8" s="3"/>
    </row>
    <row r="9" spans="1:268" x14ac:dyDescent="0.2">
      <c r="B9" s="18"/>
    </row>
    <row r="11" spans="1:268" s="38" customFormat="1" ht="25.5" x14ac:dyDescent="0.2">
      <c r="A11" s="9"/>
      <c r="B11" s="9" t="s">
        <v>18</v>
      </c>
      <c r="C11" s="9"/>
      <c r="D11" s="9"/>
      <c r="E11" s="9"/>
      <c r="F11" s="9" t="s">
        <v>54</v>
      </c>
      <c r="G11" s="9"/>
      <c r="H11" s="9" t="s">
        <v>52</v>
      </c>
      <c r="I11" s="9"/>
      <c r="J11" s="39" t="s">
        <v>226</v>
      </c>
      <c r="K11" s="9"/>
      <c r="L11" s="88" t="s">
        <v>273</v>
      </c>
      <c r="M11" s="88" t="s">
        <v>227</v>
      </c>
      <c r="N11" s="88" t="s">
        <v>228</v>
      </c>
      <c r="O11" s="88" t="s">
        <v>229</v>
      </c>
      <c r="P11" s="88" t="s">
        <v>230</v>
      </c>
      <c r="Q11" s="88" t="s">
        <v>231</v>
      </c>
      <c r="R11" s="88" t="s">
        <v>232</v>
      </c>
      <c r="S11" s="88" t="s">
        <v>233</v>
      </c>
      <c r="T11" s="88" t="s">
        <v>234</v>
      </c>
      <c r="U11" s="88" t="s">
        <v>235</v>
      </c>
      <c r="V11" s="88" t="s">
        <v>236</v>
      </c>
      <c r="W11" s="88" t="s">
        <v>237</v>
      </c>
      <c r="X11" s="88" t="s">
        <v>238</v>
      </c>
      <c r="Y11" s="88" t="s">
        <v>239</v>
      </c>
      <c r="Z11" s="88" t="s">
        <v>240</v>
      </c>
      <c r="AA11" s="9"/>
      <c r="AB11" s="9" t="s">
        <v>59</v>
      </c>
      <c r="AC11" s="9"/>
      <c r="AD11" s="9" t="s">
        <v>241</v>
      </c>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row>
    <row r="12" spans="1:268" s="20" customFormat="1" x14ac:dyDescent="0.2"/>
    <row r="14" spans="1:268" s="38" customFormat="1" x14ac:dyDescent="0.2">
      <c r="A14" s="9"/>
      <c r="B14" s="9" t="s">
        <v>271</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c r="JC14" s="9"/>
      <c r="JD14" s="9"/>
      <c r="JE14" s="9"/>
      <c r="JF14" s="9"/>
      <c r="JG14" s="9"/>
      <c r="JH14" s="9"/>
    </row>
    <row r="15" spans="1:268" s="38" customForma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row>
    <row r="16" spans="1:268" s="38" customFormat="1" x14ac:dyDescent="0.2">
      <c r="A16" s="2"/>
      <c r="B16" s="1" t="s">
        <v>213</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row>
    <row r="17" spans="1:268" s="38" customFormat="1" x14ac:dyDescent="0.2">
      <c r="A17" s="2"/>
      <c r="B17" s="2" t="s">
        <v>214</v>
      </c>
      <c r="C17" s="2"/>
      <c r="D17" s="2"/>
      <c r="E17" s="2"/>
      <c r="F17" s="2" t="s">
        <v>215</v>
      </c>
      <c r="G17" s="2"/>
      <c r="H17" s="2"/>
      <c r="I17" s="2"/>
      <c r="J17" s="2"/>
      <c r="K17" s="30"/>
      <c r="L17" s="89"/>
      <c r="M17" s="89"/>
      <c r="N17" s="89"/>
      <c r="O17" s="89"/>
      <c r="P17" s="89"/>
      <c r="Q17" s="89"/>
      <c r="R17" s="89"/>
      <c r="S17" s="89"/>
      <c r="T17" s="89"/>
      <c r="U17" s="89"/>
      <c r="V17" s="89"/>
      <c r="W17" s="89"/>
      <c r="X17" s="89"/>
      <c r="Y17" s="83"/>
      <c r="Z17" s="89"/>
      <c r="AA17" s="2"/>
      <c r="AB17" s="2" t="s">
        <v>328</v>
      </c>
      <c r="AC17" s="2"/>
      <c r="AD17" s="24"/>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row>
    <row r="18" spans="1:268" s="38" customFormat="1" x14ac:dyDescent="0.2">
      <c r="A18" s="2"/>
      <c r="B18" s="2" t="s">
        <v>216</v>
      </c>
      <c r="C18" s="2"/>
      <c r="D18" s="2"/>
      <c r="E18" s="2"/>
      <c r="F18" s="2" t="s">
        <v>217</v>
      </c>
      <c r="G18" s="2"/>
      <c r="H18" s="2"/>
      <c r="I18" s="2"/>
      <c r="J18" s="2"/>
      <c r="K18" s="30"/>
      <c r="L18" s="2"/>
      <c r="M18" s="2"/>
      <c r="N18" s="2"/>
      <c r="O18" s="32"/>
      <c r="P18" s="32"/>
      <c r="Q18" s="32"/>
      <c r="R18" s="32"/>
      <c r="S18" s="32"/>
      <c r="T18" s="32"/>
      <c r="U18" s="32"/>
      <c r="V18" s="32"/>
      <c r="W18" s="32"/>
      <c r="X18" s="32"/>
      <c r="Y18" s="32"/>
      <c r="Z18" s="32"/>
      <c r="AA18" s="2"/>
      <c r="AB18" s="2" t="s">
        <v>328</v>
      </c>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row>
    <row r="19" spans="1:268" s="38" customFormat="1" x14ac:dyDescent="0.2">
      <c r="A19" s="2"/>
      <c r="B19" s="2" t="s">
        <v>218</v>
      </c>
      <c r="C19" s="2"/>
      <c r="D19" s="2"/>
      <c r="E19" s="2"/>
      <c r="F19" s="2" t="s">
        <v>79</v>
      </c>
      <c r="G19" s="2"/>
      <c r="H19" s="2"/>
      <c r="I19" s="2"/>
      <c r="J19" s="2"/>
      <c r="K19" s="30"/>
      <c r="L19" s="2"/>
      <c r="M19" s="2"/>
      <c r="N19" s="2"/>
      <c r="O19" s="32"/>
      <c r="P19" s="32"/>
      <c r="Q19" s="32"/>
      <c r="R19" s="32"/>
      <c r="S19" s="32"/>
      <c r="T19" s="32"/>
      <c r="U19" s="32"/>
      <c r="V19" s="32"/>
      <c r="W19" s="32"/>
      <c r="X19" s="32"/>
      <c r="Y19" s="32"/>
      <c r="Z19" s="32"/>
      <c r="AA19" s="2"/>
      <c r="AB19" s="2" t="s">
        <v>328</v>
      </c>
      <c r="AC19" s="2"/>
      <c r="AD19" s="24"/>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row>
    <row r="20" spans="1:268" s="38" customForma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row>
    <row r="21" spans="1:268" s="38" customFormat="1" x14ac:dyDescent="0.2">
      <c r="A21" s="2"/>
      <c r="B21" s="1" t="s">
        <v>219</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row>
    <row r="22" spans="1:268" s="38" customFormat="1" x14ac:dyDescent="0.2">
      <c r="A22" s="2"/>
      <c r="B22" s="2" t="s">
        <v>214</v>
      </c>
      <c r="C22" s="2"/>
      <c r="D22" s="2"/>
      <c r="E22" s="2"/>
      <c r="F22" s="2" t="s">
        <v>220</v>
      </c>
      <c r="G22" s="2"/>
      <c r="H22" s="2"/>
      <c r="I22" s="2"/>
      <c r="J22" s="2"/>
      <c r="K22" s="30"/>
      <c r="L22" s="89"/>
      <c r="M22" s="89"/>
      <c r="N22" s="89"/>
      <c r="O22" s="89"/>
      <c r="P22" s="89"/>
      <c r="Q22" s="89"/>
      <c r="R22" s="89"/>
      <c r="S22" s="83"/>
      <c r="T22" s="89"/>
      <c r="U22" s="83"/>
      <c r="V22" s="89"/>
      <c r="W22" s="89"/>
      <c r="X22" s="89"/>
      <c r="Y22" s="89"/>
      <c r="Z22" s="83"/>
      <c r="AA22" s="2"/>
      <c r="AB22" s="2" t="s">
        <v>328</v>
      </c>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row>
    <row r="23" spans="1:268" s="38" customFormat="1" x14ac:dyDescent="0.2">
      <c r="A23" s="2"/>
      <c r="B23" s="2" t="s">
        <v>216</v>
      </c>
      <c r="C23" s="2"/>
      <c r="D23" s="2"/>
      <c r="E23" s="2"/>
      <c r="F23" s="2" t="s">
        <v>221</v>
      </c>
      <c r="G23" s="2"/>
      <c r="H23" s="2"/>
      <c r="I23" s="2"/>
      <c r="J23" s="2"/>
      <c r="K23" s="30"/>
      <c r="L23" s="2"/>
      <c r="M23" s="2"/>
      <c r="N23" s="2"/>
      <c r="O23" s="32"/>
      <c r="P23" s="32"/>
      <c r="Q23" s="32"/>
      <c r="R23" s="32"/>
      <c r="S23" s="32"/>
      <c r="T23" s="32"/>
      <c r="U23" s="32"/>
      <c r="V23" s="32"/>
      <c r="W23" s="32"/>
      <c r="X23" s="32"/>
      <c r="Y23" s="32"/>
      <c r="Z23" s="32"/>
      <c r="AA23" s="2"/>
      <c r="AB23" s="2" t="s">
        <v>328</v>
      </c>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row>
    <row r="24" spans="1:268" s="38" customFormat="1" x14ac:dyDescent="0.2">
      <c r="A24" s="2"/>
      <c r="B24" s="2" t="s">
        <v>222</v>
      </c>
      <c r="C24" s="2"/>
      <c r="D24" s="2"/>
      <c r="E24" s="2"/>
      <c r="F24" s="2" t="s">
        <v>79</v>
      </c>
      <c r="G24" s="2"/>
      <c r="H24" s="2"/>
      <c r="I24" s="2"/>
      <c r="J24" s="2"/>
      <c r="K24" s="30"/>
      <c r="L24" s="2"/>
      <c r="M24" s="2"/>
      <c r="N24" s="2"/>
      <c r="O24" s="32"/>
      <c r="P24" s="32"/>
      <c r="Q24" s="32"/>
      <c r="R24" s="32"/>
      <c r="S24" s="32"/>
      <c r="T24" s="32"/>
      <c r="U24" s="32"/>
      <c r="V24" s="32"/>
      <c r="W24" s="32"/>
      <c r="X24" s="32"/>
      <c r="Y24" s="32"/>
      <c r="Z24" s="32"/>
      <c r="AA24" s="2"/>
      <c r="AB24" s="2" t="s">
        <v>328</v>
      </c>
      <c r="AC24" s="2"/>
      <c r="AD24" s="24"/>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row>
    <row r="25" spans="1:268" s="38" customForma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row>
    <row r="26" spans="1:268" s="38" customFormat="1" x14ac:dyDescent="0.2">
      <c r="A26" s="2"/>
      <c r="B26" s="1" t="s">
        <v>223</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row>
    <row r="27" spans="1:268" s="38" customFormat="1" x14ac:dyDescent="0.2">
      <c r="A27" s="2"/>
      <c r="B27" s="2" t="s">
        <v>224</v>
      </c>
      <c r="C27" s="2"/>
      <c r="D27" s="2"/>
      <c r="E27" s="2"/>
      <c r="F27" s="2" t="s">
        <v>79</v>
      </c>
      <c r="G27" s="2"/>
      <c r="H27" s="2"/>
      <c r="I27" s="2"/>
      <c r="J27" s="2"/>
      <c r="K27" s="30"/>
      <c r="L27" s="2"/>
      <c r="M27" s="2"/>
      <c r="N27" s="2"/>
      <c r="O27" s="32"/>
      <c r="P27" s="32"/>
      <c r="Q27" s="32"/>
      <c r="R27" s="32"/>
      <c r="S27" s="32"/>
      <c r="T27" s="32"/>
      <c r="U27" s="32"/>
      <c r="V27" s="32"/>
      <c r="W27" s="32"/>
      <c r="X27" s="32"/>
      <c r="Y27" s="32"/>
      <c r="Z27" s="32"/>
      <c r="AA27" s="2"/>
      <c r="AB27" s="2" t="s">
        <v>328</v>
      </c>
      <c r="AC27" s="2"/>
      <c r="AD27" s="24"/>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row>
    <row r="28" spans="1:268" s="38" customForma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row>
    <row r="29" spans="1:268" s="38" customFormat="1" x14ac:dyDescent="0.2">
      <c r="A29" s="2"/>
      <c r="B29" s="2" t="s">
        <v>225</v>
      </c>
      <c r="C29" s="2"/>
      <c r="D29" s="2"/>
      <c r="E29" s="2"/>
      <c r="F29" s="2" t="s">
        <v>79</v>
      </c>
      <c r="G29" s="2"/>
      <c r="H29" s="2"/>
      <c r="I29" s="2"/>
      <c r="J29" s="2"/>
      <c r="K29" s="2"/>
      <c r="L29" s="2"/>
      <c r="M29" s="2"/>
      <c r="N29" s="2"/>
      <c r="O29" s="56">
        <f>O19+O24+O27</f>
        <v>0</v>
      </c>
      <c r="P29" s="56">
        <f t="shared" ref="P29:Z29" si="0">P19+P24+P27</f>
        <v>0</v>
      </c>
      <c r="Q29" s="56">
        <f t="shared" si="0"/>
        <v>0</v>
      </c>
      <c r="R29" s="56">
        <f t="shared" si="0"/>
        <v>0</v>
      </c>
      <c r="S29" s="56">
        <f t="shared" si="0"/>
        <v>0</v>
      </c>
      <c r="T29" s="56">
        <f t="shared" si="0"/>
        <v>0</v>
      </c>
      <c r="U29" s="56">
        <f t="shared" si="0"/>
        <v>0</v>
      </c>
      <c r="V29" s="56">
        <f t="shared" si="0"/>
        <v>0</v>
      </c>
      <c r="W29" s="56">
        <f t="shared" si="0"/>
        <v>0</v>
      </c>
      <c r="X29" s="56">
        <f t="shared" si="0"/>
        <v>0</v>
      </c>
      <c r="Y29" s="56">
        <f t="shared" si="0"/>
        <v>0</v>
      </c>
      <c r="Z29" s="56">
        <f t="shared" si="0"/>
        <v>0</v>
      </c>
      <c r="AA29" s="2"/>
      <c r="AB29" s="2"/>
      <c r="AC29" s="2"/>
      <c r="AD29" s="24"/>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row>
    <row r="30" spans="1:268" s="38" customFormat="1" x14ac:dyDescent="0.2">
      <c r="A30" s="2"/>
      <c r="B30" s="2" t="s">
        <v>253</v>
      </c>
      <c r="C30" s="2"/>
      <c r="D30" s="2"/>
      <c r="E30" s="2"/>
      <c r="F30" s="2" t="s">
        <v>79</v>
      </c>
      <c r="G30" s="2"/>
      <c r="H30" s="30">
        <v>104119000</v>
      </c>
      <c r="I30" s="2"/>
      <c r="J30" s="2"/>
      <c r="K30" s="2"/>
      <c r="L30" s="2"/>
      <c r="M30" s="2"/>
      <c r="N30" s="2"/>
      <c r="O30" s="2"/>
      <c r="P30" s="2"/>
      <c r="Q30" s="2"/>
      <c r="R30" s="2"/>
      <c r="S30" s="2"/>
      <c r="T30" s="2"/>
      <c r="U30" s="2"/>
      <c r="V30" s="2"/>
      <c r="W30" s="2"/>
      <c r="X30" s="2"/>
      <c r="Y30" s="2"/>
      <c r="Z30" s="2"/>
      <c r="AA30" s="2"/>
      <c r="AB30" s="2"/>
      <c r="AC30" s="2"/>
      <c r="AD30" s="24"/>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row>
    <row r="31" spans="1:268" s="38" customFormat="1" x14ac:dyDescent="0.2">
      <c r="A31" s="2"/>
      <c r="B31" s="2" t="s">
        <v>391</v>
      </c>
      <c r="C31" s="2"/>
      <c r="D31" s="2"/>
      <c r="E31" s="2"/>
      <c r="F31" s="2" t="s">
        <v>79</v>
      </c>
      <c r="G31" s="2"/>
      <c r="H31" s="30">
        <v>67361000</v>
      </c>
      <c r="I31" s="2"/>
      <c r="J31" s="2"/>
      <c r="K31" s="2"/>
      <c r="L31" s="2"/>
      <c r="M31" s="2"/>
      <c r="N31" s="2"/>
      <c r="O31" s="2"/>
      <c r="P31" s="2"/>
      <c r="Q31" s="2"/>
      <c r="R31" s="2"/>
      <c r="S31" s="2"/>
      <c r="T31" s="2"/>
      <c r="U31" s="2"/>
      <c r="V31" s="2"/>
      <c r="W31" s="2"/>
      <c r="X31" s="2"/>
      <c r="Y31" s="2"/>
      <c r="Z31" s="2"/>
      <c r="AA31" s="2"/>
      <c r="AB31" s="2"/>
      <c r="AC31" s="2"/>
      <c r="AD31" s="24"/>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row>
    <row r="32" spans="1:268" s="38" customForma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row>
    <row r="34" spans="1:293" s="38" customFormat="1" x14ac:dyDescent="0.2">
      <c r="A34" s="9"/>
      <c r="B34" s="9" t="s">
        <v>352</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c r="IV34" s="9"/>
      <c r="IW34" s="9"/>
      <c r="IX34" s="9"/>
      <c r="IY34" s="9"/>
      <c r="IZ34" s="9"/>
      <c r="JA34" s="9"/>
      <c r="JB34" s="9"/>
      <c r="JC34" s="9"/>
      <c r="JD34" s="9"/>
      <c r="JE34" s="9"/>
      <c r="JF34" s="9"/>
      <c r="JG34" s="9"/>
      <c r="JH34" s="9"/>
      <c r="JI34" s="9"/>
      <c r="JJ34" s="9"/>
      <c r="JK34" s="9"/>
      <c r="JL34" s="9"/>
      <c r="JM34" s="9"/>
      <c r="JN34" s="9"/>
      <c r="JO34" s="9"/>
      <c r="JP34" s="9"/>
      <c r="JQ34" s="9"/>
      <c r="JR34" s="9"/>
      <c r="JS34" s="9"/>
      <c r="JT34" s="9"/>
      <c r="JU34" s="9"/>
      <c r="JV34" s="9"/>
      <c r="JW34" s="9"/>
      <c r="JX34" s="9"/>
      <c r="JY34" s="9"/>
      <c r="JZ34" s="9"/>
      <c r="KA34" s="9"/>
      <c r="KB34" s="9"/>
      <c r="KC34" s="9"/>
      <c r="KD34" s="9"/>
      <c r="KE34" s="9"/>
      <c r="KF34" s="9"/>
      <c r="KG34" s="9"/>
    </row>
    <row r="35" spans="1:293" s="38" customForma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row>
    <row r="36" spans="1:293" s="38" customFormat="1" x14ac:dyDescent="0.2">
      <c r="A36" s="2"/>
      <c r="B36" s="1" t="s">
        <v>249</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row>
    <row r="37" spans="1:293" s="38" customFormat="1" x14ac:dyDescent="0.2">
      <c r="A37" s="2"/>
      <c r="B37" s="2" t="s">
        <v>250</v>
      </c>
      <c r="C37" s="2"/>
      <c r="D37" s="2"/>
      <c r="E37" s="2"/>
      <c r="F37" s="2" t="s">
        <v>251</v>
      </c>
      <c r="G37" s="2"/>
      <c r="H37" s="2"/>
      <c r="I37" s="2"/>
      <c r="J37" s="2"/>
      <c r="K37" s="30"/>
      <c r="L37" s="2"/>
      <c r="M37" s="2"/>
      <c r="N37" s="2"/>
      <c r="O37" s="89"/>
      <c r="P37" s="89"/>
      <c r="Q37" s="89"/>
      <c r="R37" s="89"/>
      <c r="S37" s="89"/>
      <c r="T37" s="89"/>
      <c r="U37" s="89"/>
      <c r="V37" s="89"/>
      <c r="W37" s="89"/>
      <c r="X37" s="89"/>
      <c r="Y37" s="89"/>
      <c r="Z37" s="89"/>
      <c r="AA37" s="2"/>
      <c r="AB37" s="2" t="s">
        <v>328</v>
      </c>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row>
    <row r="38" spans="1:293" s="38" customFormat="1" x14ac:dyDescent="0.2">
      <c r="A38" s="2"/>
      <c r="B38" s="2" t="s">
        <v>252</v>
      </c>
      <c r="C38" s="2"/>
      <c r="D38" s="2"/>
      <c r="E38" s="2"/>
      <c r="F38" s="2" t="s">
        <v>79</v>
      </c>
      <c r="G38" s="2"/>
      <c r="H38" s="2"/>
      <c r="I38" s="2"/>
      <c r="J38" s="2"/>
      <c r="K38" s="30"/>
      <c r="L38" s="2"/>
      <c r="M38" s="2"/>
      <c r="N38" s="2"/>
      <c r="O38" s="32"/>
      <c r="P38" s="32"/>
      <c r="Q38" s="32"/>
      <c r="R38" s="32"/>
      <c r="S38" s="32"/>
      <c r="T38" s="32"/>
      <c r="U38" s="32"/>
      <c r="V38" s="32"/>
      <c r="W38" s="32"/>
      <c r="X38" s="32"/>
      <c r="Y38" s="32"/>
      <c r="Z38" s="32"/>
      <c r="AA38" s="2"/>
      <c r="AB38" s="2" t="s">
        <v>328</v>
      </c>
      <c r="AC38" s="2"/>
      <c r="AD38" s="24"/>
      <c r="AE38" s="2"/>
      <c r="AF38" s="2"/>
      <c r="AG38" s="2"/>
      <c r="AH38" s="2"/>
      <c r="AI38" s="2"/>
      <c r="AJ38" s="2"/>
      <c r="AK38" s="2"/>
      <c r="AL38" s="2"/>
      <c r="AM38" s="2"/>
      <c r="AN38" s="2"/>
      <c r="AO38" s="2"/>
      <c r="AP38" s="2"/>
      <c r="AQ38" s="2"/>
      <c r="AR38" s="2"/>
      <c r="AS38" s="2"/>
      <c r="AT38" s="2"/>
      <c r="AU38" s="2"/>
      <c r="AV38" s="2"/>
      <c r="AW38" s="2"/>
      <c r="AX38" s="2"/>
      <c r="AY38" s="2"/>
      <c r="AZ38" s="2"/>
      <c r="BA38" s="2"/>
      <c r="BB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row>
    <row r="39" spans="1:293" s="38" customForma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4"/>
      <c r="AE39" s="2"/>
      <c r="AF39" s="2"/>
      <c r="AG39" s="2"/>
      <c r="AH39" s="2"/>
      <c r="AI39" s="2"/>
      <c r="AJ39" s="2"/>
      <c r="AK39" s="2"/>
      <c r="AL39" s="2"/>
      <c r="AM39" s="2"/>
      <c r="AN39" s="2"/>
      <c r="AO39" s="2"/>
      <c r="AP39" s="2"/>
      <c r="AQ39" s="2"/>
      <c r="AR39" s="2"/>
      <c r="AS39" s="2"/>
      <c r="AT39" s="2"/>
      <c r="AU39" s="2"/>
      <c r="AV39" s="2"/>
      <c r="AW39" s="2"/>
      <c r="AX39" s="2"/>
      <c r="AY39" s="2"/>
      <c r="AZ39" s="2"/>
      <c r="BA39" s="2"/>
      <c r="BB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row>
    <row r="40" spans="1:293" s="38" customFormat="1" x14ac:dyDescent="0.2">
      <c r="A40" s="2"/>
      <c r="B40" s="1" t="s">
        <v>272</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4"/>
      <c r="AE40" s="2"/>
      <c r="AF40" s="2"/>
      <c r="AG40" s="2"/>
      <c r="AH40" s="2"/>
      <c r="AI40" s="2"/>
      <c r="AJ40" s="2"/>
      <c r="AK40" s="2"/>
      <c r="AL40" s="2"/>
      <c r="AM40" s="2"/>
      <c r="AN40" s="2"/>
      <c r="AO40" s="2"/>
      <c r="AP40" s="2"/>
      <c r="AQ40" s="2"/>
      <c r="AR40" s="2"/>
      <c r="AS40" s="2"/>
      <c r="AT40" s="2"/>
      <c r="AU40" s="2"/>
      <c r="AV40" s="2"/>
      <c r="AW40" s="2"/>
      <c r="AX40" s="2"/>
      <c r="AY40" s="2"/>
      <c r="AZ40" s="2"/>
      <c r="BA40" s="2"/>
      <c r="BB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row>
    <row r="41" spans="1:293" s="38" customFormat="1" x14ac:dyDescent="0.2">
      <c r="A41" s="2"/>
      <c r="B41" s="2" t="s">
        <v>266</v>
      </c>
      <c r="C41" s="2"/>
      <c r="D41" s="2"/>
      <c r="E41" s="2"/>
      <c r="F41" s="2" t="s">
        <v>251</v>
      </c>
      <c r="G41" s="2"/>
      <c r="H41" s="92">
        <v>0.12995627909000229</v>
      </c>
      <c r="I41" s="2"/>
      <c r="K41" s="2"/>
      <c r="L41" s="2"/>
      <c r="M41" s="2"/>
      <c r="N41" s="2"/>
      <c r="O41" s="2"/>
      <c r="P41" s="2"/>
      <c r="Q41" s="2"/>
      <c r="R41" s="2"/>
      <c r="S41" s="2"/>
      <c r="T41" s="2"/>
      <c r="U41" s="2"/>
      <c r="V41" s="2"/>
      <c r="W41" s="2"/>
      <c r="X41" s="2"/>
      <c r="Y41" s="2"/>
      <c r="Z41" s="2"/>
      <c r="AA41" s="2"/>
      <c r="AB41" s="20" t="s">
        <v>341</v>
      </c>
      <c r="AC41" s="2"/>
      <c r="AD41" s="24"/>
      <c r="AE41" s="2"/>
      <c r="AF41" s="2"/>
      <c r="AG41" s="2"/>
      <c r="AH41" s="2"/>
      <c r="AI41" s="2"/>
      <c r="AJ41" s="2"/>
      <c r="AK41" s="2"/>
      <c r="AL41" s="2"/>
      <c r="AM41" s="2"/>
      <c r="AN41" s="2"/>
      <c r="AO41" s="2"/>
      <c r="AP41" s="2"/>
      <c r="AQ41" s="2"/>
      <c r="AR41" s="2"/>
      <c r="AS41" s="2"/>
      <c r="AT41" s="2"/>
      <c r="AU41" s="2"/>
      <c r="AV41" s="2"/>
      <c r="AW41" s="2"/>
      <c r="AX41" s="2"/>
      <c r="AY41" s="2"/>
      <c r="AZ41" s="2"/>
      <c r="BA41" s="2"/>
      <c r="BB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row>
    <row r="42" spans="1:293" s="38" customForma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4"/>
      <c r="AE42" s="2"/>
      <c r="AF42" s="2"/>
      <c r="AG42" s="2"/>
      <c r="AH42" s="2"/>
      <c r="AI42" s="2"/>
      <c r="AJ42" s="2"/>
      <c r="AK42" s="2"/>
      <c r="AL42" s="2"/>
      <c r="AM42" s="2"/>
      <c r="AN42" s="2"/>
      <c r="AO42" s="2"/>
      <c r="AP42" s="2"/>
      <c r="AQ42" s="2"/>
      <c r="AR42" s="2"/>
      <c r="AS42" s="2"/>
      <c r="AT42" s="2"/>
      <c r="AU42" s="2"/>
      <c r="AV42" s="2"/>
      <c r="AW42" s="2"/>
      <c r="AX42" s="2"/>
      <c r="AY42" s="2"/>
      <c r="AZ42" s="2"/>
      <c r="BA42" s="2"/>
      <c r="BB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row>
    <row r="44" spans="1:293" s="38" customFormat="1" x14ac:dyDescent="0.2">
      <c r="A44" s="9"/>
      <c r="B44" s="9" t="s">
        <v>267</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row>
    <row r="45" spans="1:293" s="38" customForma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row>
    <row r="46" spans="1:293" s="38" customFormat="1" x14ac:dyDescent="0.2">
      <c r="A46" s="2"/>
      <c r="B46" s="1" t="s">
        <v>255</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row>
    <row r="47" spans="1:293" s="38" customFormat="1" x14ac:dyDescent="0.2">
      <c r="A47" s="2"/>
      <c r="B47" s="2" t="s">
        <v>256</v>
      </c>
      <c r="C47" s="2"/>
      <c r="D47" s="2"/>
      <c r="E47" s="2"/>
      <c r="F47" s="2" t="s">
        <v>257</v>
      </c>
      <c r="G47" s="2"/>
      <c r="H47" s="32">
        <v>159</v>
      </c>
      <c r="I47" s="2"/>
      <c r="K47" s="2"/>
      <c r="L47" s="2"/>
      <c r="M47" s="2"/>
      <c r="N47" s="2"/>
      <c r="O47" s="2"/>
      <c r="P47" s="2"/>
      <c r="Q47" s="2"/>
      <c r="R47" s="2"/>
      <c r="S47" s="2"/>
      <c r="T47" s="2"/>
      <c r="U47" s="2"/>
      <c r="V47" s="2"/>
      <c r="W47" s="2"/>
      <c r="X47" s="2"/>
      <c r="Y47" s="2"/>
      <c r="Z47" s="2"/>
      <c r="AA47" s="2"/>
      <c r="AB47" s="40" t="s">
        <v>340</v>
      </c>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row>
    <row r="48" spans="1:293" s="38" customFormat="1" x14ac:dyDescent="0.2">
      <c r="A48" s="2"/>
      <c r="B48" s="2" t="s">
        <v>268</v>
      </c>
      <c r="C48" s="2"/>
      <c r="D48" s="2"/>
      <c r="E48" s="2"/>
      <c r="F48" s="2" t="s">
        <v>61</v>
      </c>
      <c r="G48" s="2"/>
      <c r="H48" s="44">
        <v>0.71105334006676391</v>
      </c>
      <c r="I48" s="2"/>
      <c r="K48" s="2"/>
      <c r="L48" s="94"/>
      <c r="M48" s="2"/>
      <c r="N48" s="2"/>
      <c r="O48" s="2"/>
      <c r="P48" s="2"/>
      <c r="Q48" s="2"/>
      <c r="R48" s="2"/>
      <c r="S48" s="2"/>
      <c r="T48" s="2"/>
      <c r="U48" s="2"/>
      <c r="V48" s="2"/>
      <c r="W48" s="2"/>
      <c r="X48" s="2"/>
      <c r="Y48" s="2"/>
      <c r="Z48" s="2"/>
      <c r="AA48" s="2"/>
      <c r="AB48" s="20" t="s">
        <v>339</v>
      </c>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row>
    <row r="49" spans="1:199" s="38" customFormat="1" x14ac:dyDescent="0.2">
      <c r="A49" s="2"/>
      <c r="B49" s="2"/>
      <c r="C49" s="2"/>
      <c r="D49" s="2"/>
      <c r="E49" s="2"/>
      <c r="F49" s="2"/>
      <c r="G49" s="2"/>
      <c r="H49" s="2"/>
      <c r="I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row>
    <row r="50" spans="1:199" s="38" customFormat="1" x14ac:dyDescent="0.2">
      <c r="A50" s="2"/>
      <c r="B50" s="1" t="s">
        <v>270</v>
      </c>
      <c r="C50" s="2"/>
      <c r="D50" s="2"/>
      <c r="E50" s="2"/>
      <c r="F50" s="2"/>
      <c r="G50" s="2"/>
      <c r="H50" s="2"/>
      <c r="I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row>
    <row r="51" spans="1:199" s="38" customFormat="1" x14ac:dyDescent="0.2">
      <c r="A51" s="2"/>
      <c r="B51" s="2" t="s">
        <v>259</v>
      </c>
      <c r="C51" s="2"/>
      <c r="D51" s="2"/>
      <c r="E51" s="2"/>
      <c r="F51" s="2" t="s">
        <v>61</v>
      </c>
      <c r="G51" s="2"/>
      <c r="H51" s="44">
        <v>0.94341206222837726</v>
      </c>
      <c r="I51" s="2"/>
      <c r="K51" s="2"/>
      <c r="L51" s="2"/>
      <c r="M51" s="2"/>
      <c r="N51" s="2"/>
      <c r="O51" s="2"/>
      <c r="P51" s="2"/>
      <c r="Q51" s="2"/>
      <c r="R51" s="2"/>
      <c r="S51" s="2"/>
      <c r="T51" s="2"/>
      <c r="U51" s="2"/>
      <c r="V51" s="2"/>
      <c r="W51" s="2"/>
      <c r="X51" s="2"/>
      <c r="Y51" s="2"/>
      <c r="Z51" s="2"/>
      <c r="AA51" s="2"/>
      <c r="AB51" s="20" t="s">
        <v>339</v>
      </c>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row>
    <row r="52" spans="1:199" s="38" customFormat="1" x14ac:dyDescent="0.2">
      <c r="A52" s="2"/>
      <c r="B52" s="2" t="s">
        <v>385</v>
      </c>
      <c r="C52" s="2"/>
      <c r="D52" s="2"/>
      <c r="E52" s="2"/>
      <c r="F52" s="2" t="s">
        <v>61</v>
      </c>
      <c r="G52" s="2"/>
      <c r="H52" s="90">
        <f>1-H51</f>
        <v>5.6587937771622743E-2</v>
      </c>
      <c r="I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row>
    <row r="53" spans="1:199" s="38" customFormat="1" x14ac:dyDescent="0.2">
      <c r="A53" s="2"/>
      <c r="B53" s="2" t="s">
        <v>269</v>
      </c>
      <c r="C53" s="2"/>
      <c r="D53" s="2"/>
      <c r="E53" s="2"/>
      <c r="F53" s="2" t="s">
        <v>258</v>
      </c>
      <c r="G53" s="2"/>
      <c r="H53" s="91">
        <v>1.6140000000000002E-3</v>
      </c>
      <c r="I53" s="2"/>
      <c r="K53" s="2"/>
      <c r="L53" s="2"/>
      <c r="M53" s="2"/>
      <c r="N53" s="2"/>
      <c r="O53" s="2"/>
      <c r="P53" s="2"/>
      <c r="Q53" s="2"/>
      <c r="R53" s="2"/>
      <c r="S53" s="24"/>
      <c r="T53" s="2"/>
      <c r="U53" s="2"/>
      <c r="V53" s="2"/>
      <c r="W53" s="2"/>
      <c r="X53" s="2"/>
      <c r="Y53" s="2"/>
      <c r="Z53" s="2"/>
      <c r="AA53" s="2"/>
      <c r="AB53" s="20" t="s">
        <v>339</v>
      </c>
      <c r="AC53" s="2"/>
      <c r="AD53" s="2" t="s">
        <v>342</v>
      </c>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row>
    <row r="54" spans="1:199" s="38" customForma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row>
    <row r="55" spans="1:199" s="38" customFormat="1" x14ac:dyDescent="0.2">
      <c r="A55" s="2"/>
      <c r="B55" s="1" t="s">
        <v>260</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row>
    <row r="56" spans="1:199" s="38" customFormat="1" x14ac:dyDescent="0.2">
      <c r="A56" s="2"/>
      <c r="B56" s="2" t="s">
        <v>261</v>
      </c>
      <c r="C56" s="2"/>
      <c r="D56" s="2"/>
      <c r="E56" s="2"/>
      <c r="F56" s="2" t="s">
        <v>79</v>
      </c>
      <c r="G56" s="2"/>
      <c r="H56" s="34">
        <f>'Est. and realized costs 2018'!H39</f>
        <v>103709394</v>
      </c>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row>
    <row r="57" spans="1:199" s="38" customForma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row>
    <row r="58" spans="1:199" s="38" customFormat="1" x14ac:dyDescent="0.2">
      <c r="A58" s="2"/>
      <c r="B58" s="1" t="s">
        <v>262</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row>
    <row r="59" spans="1:199" s="38" customFormat="1" x14ac:dyDescent="0.2">
      <c r="A59" s="2"/>
      <c r="B59" s="2" t="s">
        <v>263</v>
      </c>
      <c r="C59" s="2"/>
      <c r="D59" s="2"/>
      <c r="E59" s="2"/>
      <c r="F59" s="2" t="s">
        <v>79</v>
      </c>
      <c r="G59" s="2"/>
      <c r="H59" s="56">
        <f>H56*H48*H51</f>
        <v>69569951.741233692</v>
      </c>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row>
    <row r="60" spans="1:199" s="38" customFormat="1" x14ac:dyDescent="0.2">
      <c r="A60" s="2"/>
      <c r="B60" s="2" t="s">
        <v>264</v>
      </c>
      <c r="C60" s="2"/>
      <c r="D60" s="2"/>
      <c r="E60" s="2"/>
      <c r="F60" s="2" t="s">
        <v>79</v>
      </c>
      <c r="G60" s="2"/>
      <c r="H60" s="56">
        <f>H56*H48*H52</f>
        <v>4172959.258766314</v>
      </c>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row>
    <row r="61" spans="1:199" s="38" customFormat="1" x14ac:dyDescent="0.2">
      <c r="A61" s="2"/>
      <c r="B61" s="2" t="s">
        <v>265</v>
      </c>
      <c r="C61" s="2"/>
      <c r="D61" s="2"/>
      <c r="E61" s="2"/>
      <c r="F61" s="2" t="s">
        <v>79</v>
      </c>
      <c r="G61" s="2"/>
      <c r="H61" s="56">
        <f>H56*(1-H48)</f>
        <v>29966482.999999996</v>
      </c>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row>
    <row r="62" spans="1:199" s="38" customForma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row>
    <row r="66" spans="2:2" x14ac:dyDescent="0.2">
      <c r="B66" s="2" t="s">
        <v>207</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1FFE1"/>
  </sheetPr>
  <dimension ref="A2:AB66"/>
  <sheetViews>
    <sheetView showGridLines="0" zoomScale="85" zoomScaleNormal="85"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RowHeight="12.75" x14ac:dyDescent="0.2"/>
  <cols>
    <col min="1" max="1" width="4.7109375" style="2" customWidth="1"/>
    <col min="2" max="2" width="64.7109375" style="2" customWidth="1"/>
    <col min="3" max="3" width="4.7109375" style="2" customWidth="1"/>
    <col min="4" max="5" width="4.5703125" style="2" customWidth="1"/>
    <col min="6" max="6" width="24" style="2" customWidth="1"/>
    <col min="7" max="7" width="2.7109375" style="2" customWidth="1"/>
    <col min="8" max="8" width="13.7109375" style="2" customWidth="1"/>
    <col min="9" max="9" width="2.7109375" style="2" customWidth="1"/>
    <col min="10" max="10" width="89.85546875" style="2" customWidth="1"/>
    <col min="11" max="11" width="3.28515625" style="2" customWidth="1"/>
    <col min="12" max="12" width="39.140625" style="2" customWidth="1"/>
    <col min="13" max="14" width="13.7109375" style="2" customWidth="1"/>
    <col min="15" max="16384" width="9.140625" style="2"/>
  </cols>
  <sheetData>
    <row r="2" spans="2:28" s="17" customFormat="1" ht="18" x14ac:dyDescent="0.2">
      <c r="B2" s="17" t="s">
        <v>355</v>
      </c>
    </row>
    <row r="4" spans="2:28" x14ac:dyDescent="0.2">
      <c r="B4" s="25" t="s">
        <v>56</v>
      </c>
      <c r="C4" s="1"/>
      <c r="D4" s="1"/>
      <c r="L4" s="38"/>
    </row>
    <row r="5" spans="2:28" x14ac:dyDescent="0.2">
      <c r="B5" s="20" t="s">
        <v>386</v>
      </c>
      <c r="C5" s="3"/>
      <c r="D5" s="3"/>
      <c r="H5" s="18"/>
    </row>
    <row r="6" spans="2:28" x14ac:dyDescent="0.2">
      <c r="B6" s="2" t="s">
        <v>387</v>
      </c>
      <c r="C6" s="3"/>
      <c r="D6" s="3"/>
      <c r="H6" s="18"/>
    </row>
    <row r="9" spans="2:28" s="41" customFormat="1" x14ac:dyDescent="0.2">
      <c r="B9" s="41" t="s">
        <v>18</v>
      </c>
      <c r="F9" s="41" t="s">
        <v>54</v>
      </c>
      <c r="H9" s="41" t="s">
        <v>52</v>
      </c>
      <c r="J9" s="41" t="s">
        <v>59</v>
      </c>
      <c r="L9" s="41" t="s">
        <v>53</v>
      </c>
    </row>
    <row r="10" spans="2:28" s="20" customFormat="1" x14ac:dyDescent="0.2"/>
    <row r="12" spans="2:28" s="41" customFormat="1" x14ac:dyDescent="0.2">
      <c r="B12" s="41" t="s">
        <v>301</v>
      </c>
      <c r="AB12" s="53"/>
    </row>
    <row r="13" spans="2:28" s="54" customFormat="1" x14ac:dyDescent="0.2">
      <c r="AB13" s="55"/>
    </row>
    <row r="14" spans="2:28" s="54" customFormat="1" x14ac:dyDescent="0.2">
      <c r="B14" s="46" t="s">
        <v>118</v>
      </c>
      <c r="L14" s="107"/>
    </row>
    <row r="15" spans="2:28" s="54" customFormat="1" x14ac:dyDescent="0.2">
      <c r="B15" s="47" t="s">
        <v>394</v>
      </c>
      <c r="F15" s="20" t="s">
        <v>79</v>
      </c>
      <c r="H15" s="32">
        <f>86900000</f>
        <v>86900000</v>
      </c>
      <c r="J15" s="69" t="s">
        <v>445</v>
      </c>
    </row>
    <row r="16" spans="2:28" s="54" customFormat="1" x14ac:dyDescent="0.2">
      <c r="B16" s="47" t="s">
        <v>112</v>
      </c>
      <c r="F16" s="20" t="s">
        <v>79</v>
      </c>
      <c r="H16" s="32">
        <v>36000000</v>
      </c>
      <c r="J16" s="69" t="s">
        <v>328</v>
      </c>
    </row>
    <row r="17" spans="2:28" s="54" customFormat="1" x14ac:dyDescent="0.2">
      <c r="M17" s="58"/>
      <c r="O17" s="57"/>
      <c r="P17" s="59"/>
      <c r="Q17" s="59"/>
      <c r="R17" s="59"/>
      <c r="S17" s="59"/>
      <c r="T17" s="59"/>
      <c r="U17" s="59"/>
      <c r="V17" s="59"/>
      <c r="W17" s="59"/>
      <c r="X17" s="59"/>
      <c r="Y17" s="59"/>
      <c r="Z17" s="59"/>
      <c r="AA17" s="59"/>
      <c r="AB17" s="60"/>
    </row>
    <row r="18" spans="2:28" s="54" customFormat="1" x14ac:dyDescent="0.2">
      <c r="B18" s="46" t="s">
        <v>120</v>
      </c>
      <c r="O18" s="57"/>
      <c r="P18" s="59"/>
      <c r="Q18" s="59"/>
      <c r="R18" s="59"/>
      <c r="S18" s="59"/>
      <c r="T18" s="59"/>
      <c r="U18" s="59"/>
      <c r="V18" s="59"/>
      <c r="W18" s="59"/>
      <c r="X18" s="59"/>
      <c r="Y18" s="59"/>
      <c r="Z18" s="59"/>
      <c r="AA18" s="59"/>
      <c r="AB18" s="60"/>
    </row>
    <row r="19" spans="2:28" s="54" customFormat="1" x14ac:dyDescent="0.2">
      <c r="B19" s="61" t="s">
        <v>119</v>
      </c>
      <c r="F19" s="20" t="s">
        <v>79</v>
      </c>
      <c r="H19" s="28">
        <f>H15</f>
        <v>86900000</v>
      </c>
      <c r="M19" s="66"/>
      <c r="O19" s="57"/>
      <c r="AB19" s="55"/>
    </row>
    <row r="20" spans="2:28" s="54" customFormat="1" x14ac:dyDescent="0.2">
      <c r="B20" s="20" t="s">
        <v>129</v>
      </c>
      <c r="F20" s="20" t="s">
        <v>79</v>
      </c>
      <c r="H20" s="28">
        <f>H16</f>
        <v>36000000</v>
      </c>
      <c r="M20" s="66"/>
      <c r="O20" s="57"/>
      <c r="AB20" s="55"/>
    </row>
    <row r="21" spans="2:28" s="54" customFormat="1" x14ac:dyDescent="0.2">
      <c r="B21" s="20" t="s">
        <v>121</v>
      </c>
      <c r="F21" s="20" t="s">
        <v>79</v>
      </c>
      <c r="H21" s="62">
        <f>H19+H20</f>
        <v>122900000</v>
      </c>
      <c r="L21" s="47"/>
      <c r="M21" s="66"/>
      <c r="AB21" s="55"/>
    </row>
    <row r="22" spans="2:28" s="54" customFormat="1" x14ac:dyDescent="0.2">
      <c r="M22" s="66"/>
      <c r="AB22" s="55"/>
    </row>
    <row r="23" spans="2:28" s="54" customFormat="1" x14ac:dyDescent="0.2">
      <c r="B23" s="46" t="s">
        <v>377</v>
      </c>
      <c r="M23" s="66"/>
      <c r="AB23" s="55"/>
    </row>
    <row r="24" spans="2:28" s="54" customFormat="1" x14ac:dyDescent="0.2">
      <c r="B24" s="20" t="s">
        <v>181</v>
      </c>
      <c r="C24" s="20"/>
      <c r="D24" s="20"/>
      <c r="E24" s="20"/>
      <c r="F24" s="20" t="s">
        <v>113</v>
      </c>
      <c r="G24" s="20"/>
      <c r="H24" s="111">
        <f>1.575/1000</f>
        <v>1.575E-3</v>
      </c>
      <c r="J24" s="69" t="s">
        <v>446</v>
      </c>
      <c r="L24" s="66"/>
      <c r="M24" s="66"/>
      <c r="AB24" s="55"/>
    </row>
    <row r="25" spans="2:28" s="54" customFormat="1" x14ac:dyDescent="0.2">
      <c r="B25" s="47" t="s">
        <v>374</v>
      </c>
      <c r="C25" s="20"/>
      <c r="D25" s="20"/>
      <c r="E25" s="20"/>
      <c r="F25" s="20" t="s">
        <v>376</v>
      </c>
      <c r="G25" s="20"/>
      <c r="H25" s="32">
        <v>295317</v>
      </c>
      <c r="J25" s="69" t="s">
        <v>328</v>
      </c>
      <c r="L25" s="66"/>
      <c r="M25" s="66"/>
      <c r="AB25" s="55"/>
    </row>
    <row r="26" spans="2:28" s="54" customFormat="1" x14ac:dyDescent="0.2">
      <c r="B26" s="47" t="s">
        <v>375</v>
      </c>
      <c r="C26" s="20"/>
      <c r="D26" s="20"/>
      <c r="E26" s="20"/>
      <c r="F26" s="20" t="s">
        <v>79</v>
      </c>
      <c r="G26" s="20"/>
      <c r="H26" s="32">
        <v>1070000</v>
      </c>
      <c r="J26" s="69" t="s">
        <v>328</v>
      </c>
      <c r="L26" s="66"/>
      <c r="M26" s="66"/>
      <c r="AB26" s="55"/>
    </row>
    <row r="27" spans="2:28" s="54" customFormat="1" x14ac:dyDescent="0.2">
      <c r="B27" s="20" t="s">
        <v>183</v>
      </c>
      <c r="C27" s="20"/>
      <c r="D27" s="20"/>
      <c r="E27" s="20"/>
      <c r="F27" s="20" t="s">
        <v>184</v>
      </c>
      <c r="G27" s="20"/>
      <c r="H27" s="93">
        <f>H25/H26</f>
        <v>0.27599719626168223</v>
      </c>
      <c r="L27" s="66"/>
      <c r="M27" s="66"/>
      <c r="AB27" s="55"/>
    </row>
    <row r="28" spans="2:28" s="54" customFormat="1" x14ac:dyDescent="0.2">
      <c r="B28" s="70" t="s">
        <v>182</v>
      </c>
      <c r="F28" s="70" t="s">
        <v>128</v>
      </c>
      <c r="H28" s="32">
        <v>20000</v>
      </c>
      <c r="J28" s="69" t="s">
        <v>328</v>
      </c>
      <c r="L28" s="66"/>
      <c r="M28" s="66"/>
      <c r="AB28" s="55"/>
    </row>
    <row r="29" spans="2:28" s="20" customFormat="1" x14ac:dyDescent="0.2">
      <c r="B29" s="1"/>
      <c r="J29" s="113"/>
      <c r="M29" s="18"/>
      <c r="O29" s="64"/>
      <c r="AB29" s="65"/>
    </row>
    <row r="30" spans="2:28" s="20" customFormat="1" x14ac:dyDescent="0.2">
      <c r="B30" s="1" t="s">
        <v>302</v>
      </c>
      <c r="J30" s="113"/>
      <c r="M30" s="18"/>
      <c r="O30" s="64"/>
      <c r="AB30" s="65"/>
    </row>
    <row r="31" spans="2:28" s="20" customFormat="1" x14ac:dyDescent="0.2">
      <c r="B31" s="20" t="s">
        <v>353</v>
      </c>
      <c r="F31" s="20" t="s">
        <v>215</v>
      </c>
      <c r="H31" s="89">
        <v>62.943300000000001</v>
      </c>
      <c r="J31" s="110" t="s">
        <v>419</v>
      </c>
      <c r="M31" s="18"/>
      <c r="O31" s="64"/>
      <c r="AB31" s="65"/>
    </row>
    <row r="32" spans="2:28" s="20" customFormat="1" x14ac:dyDescent="0.2">
      <c r="B32" s="20" t="s">
        <v>354</v>
      </c>
      <c r="F32" s="20" t="s">
        <v>220</v>
      </c>
      <c r="H32" s="89">
        <v>0.9</v>
      </c>
      <c r="J32" s="110" t="s">
        <v>419</v>
      </c>
      <c r="M32" s="18"/>
      <c r="O32" s="64"/>
      <c r="AB32" s="65"/>
    </row>
    <row r="33" spans="1:28" s="20" customFormat="1" x14ac:dyDescent="0.2">
      <c r="B33" s="1"/>
      <c r="M33" s="18"/>
      <c r="O33" s="64"/>
      <c r="AB33" s="65"/>
    </row>
    <row r="34" spans="1:28" s="20" customFormat="1" x14ac:dyDescent="0.2">
      <c r="B34" s="1"/>
      <c r="M34" s="18"/>
      <c r="O34" s="64"/>
      <c r="AB34" s="65"/>
    </row>
    <row r="35" spans="1:28" s="41" customFormat="1" x14ac:dyDescent="0.2">
      <c r="B35" s="41" t="s">
        <v>127</v>
      </c>
      <c r="M35" s="67"/>
      <c r="AB35" s="53"/>
    </row>
    <row r="36" spans="1:28" s="54" customFormat="1" x14ac:dyDescent="0.2">
      <c r="M36" s="66"/>
      <c r="AB36" s="55"/>
    </row>
    <row r="37" spans="1:28" s="20" customFormat="1" x14ac:dyDescent="0.2">
      <c r="B37" s="1" t="s">
        <v>126</v>
      </c>
      <c r="M37" s="18"/>
      <c r="AB37" s="65"/>
    </row>
    <row r="38" spans="1:28" s="20" customFormat="1" x14ac:dyDescent="0.2">
      <c r="M38" s="18"/>
      <c r="AB38" s="65"/>
    </row>
    <row r="39" spans="1:28" s="54" customFormat="1" x14ac:dyDescent="0.2">
      <c r="A39" s="20"/>
      <c r="B39" s="54" t="s">
        <v>114</v>
      </c>
      <c r="F39" s="54" t="s">
        <v>89</v>
      </c>
      <c r="H39" s="30"/>
      <c r="J39" s="69" t="s">
        <v>447</v>
      </c>
      <c r="M39" s="18"/>
      <c r="Q39" s="63"/>
      <c r="AB39" s="55"/>
    </row>
    <row r="40" spans="1:28" s="54" customFormat="1" x14ac:dyDescent="0.2">
      <c r="A40" s="20"/>
      <c r="B40" s="54" t="s">
        <v>99</v>
      </c>
      <c r="F40" s="54" t="s">
        <v>100</v>
      </c>
      <c r="H40" s="30"/>
      <c r="J40" s="69" t="s">
        <v>447</v>
      </c>
      <c r="M40" s="18"/>
      <c r="Q40" s="20"/>
      <c r="AB40" s="55"/>
    </row>
    <row r="41" spans="1:28" s="54" customFormat="1" x14ac:dyDescent="0.2">
      <c r="A41" s="20"/>
      <c r="B41" s="54" t="s">
        <v>101</v>
      </c>
      <c r="F41" s="54" t="s">
        <v>102</v>
      </c>
      <c r="H41" s="30"/>
      <c r="J41" s="69" t="s">
        <v>447</v>
      </c>
      <c r="M41" s="18"/>
      <c r="Q41" s="20"/>
      <c r="AB41" s="55"/>
    </row>
    <row r="42" spans="1:28" s="54" customFormat="1" x14ac:dyDescent="0.2">
      <c r="A42" s="20"/>
      <c r="J42" s="69"/>
      <c r="M42" s="18"/>
      <c r="AB42" s="55"/>
    </row>
    <row r="43" spans="1:28" s="54" customFormat="1" x14ac:dyDescent="0.2">
      <c r="A43" s="20"/>
      <c r="B43" s="54" t="s">
        <v>115</v>
      </c>
      <c r="F43" s="54" t="s">
        <v>89</v>
      </c>
      <c r="H43" s="30"/>
      <c r="J43" s="69" t="s">
        <v>447</v>
      </c>
      <c r="M43" s="18"/>
      <c r="Q43" s="20"/>
      <c r="AB43" s="55"/>
    </row>
    <row r="44" spans="1:28" s="54" customFormat="1" x14ac:dyDescent="0.2">
      <c r="A44" s="20"/>
      <c r="B44" s="54" t="s">
        <v>99</v>
      </c>
      <c r="F44" s="54" t="s">
        <v>100</v>
      </c>
      <c r="H44" s="30"/>
      <c r="J44" s="69" t="s">
        <v>447</v>
      </c>
      <c r="L44" s="106"/>
      <c r="M44" s="18"/>
      <c r="AB44" s="55"/>
    </row>
    <row r="45" spans="1:28" s="54" customFormat="1" x14ac:dyDescent="0.2">
      <c r="A45" s="20"/>
      <c r="B45" s="54" t="s">
        <v>101</v>
      </c>
      <c r="F45" s="54" t="s">
        <v>102</v>
      </c>
      <c r="H45" s="30"/>
      <c r="J45" s="69" t="s">
        <v>447</v>
      </c>
      <c r="M45" s="18"/>
      <c r="Q45" s="20"/>
      <c r="AB45" s="55"/>
    </row>
    <row r="46" spans="1:28" s="54" customFormat="1" x14ac:dyDescent="0.2">
      <c r="M46" s="66"/>
      <c r="AB46" s="55"/>
    </row>
    <row r="47" spans="1:28" s="54" customFormat="1" x14ac:dyDescent="0.2">
      <c r="M47" s="66"/>
      <c r="AB47" s="55"/>
    </row>
    <row r="48" spans="1:28" s="41" customFormat="1" x14ac:dyDescent="0.2">
      <c r="B48" s="41" t="s">
        <v>123</v>
      </c>
      <c r="M48" s="67"/>
      <c r="AB48" s="53"/>
    </row>
    <row r="49" spans="2:28" s="54" customFormat="1" x14ac:dyDescent="0.2">
      <c r="M49" s="66"/>
      <c r="AB49" s="55"/>
    </row>
    <row r="50" spans="2:28" s="54" customFormat="1" x14ac:dyDescent="0.2">
      <c r="B50" s="46" t="s">
        <v>122</v>
      </c>
      <c r="M50" s="66"/>
      <c r="AB50" s="55"/>
    </row>
    <row r="51" spans="2:28" s="54" customFormat="1" x14ac:dyDescent="0.2">
      <c r="B51" s="47" t="s">
        <v>450</v>
      </c>
      <c r="F51" s="47" t="s">
        <v>124</v>
      </c>
      <c r="H51" s="32">
        <v>0</v>
      </c>
      <c r="J51" s="69" t="s">
        <v>445</v>
      </c>
      <c r="L51" s="47"/>
      <c r="M51" s="66"/>
      <c r="AB51" s="55"/>
    </row>
    <row r="52" spans="2:28" s="54" customFormat="1" x14ac:dyDescent="0.2">
      <c r="B52" s="47" t="s">
        <v>185</v>
      </c>
      <c r="F52" s="47" t="s">
        <v>124</v>
      </c>
      <c r="H52" s="32">
        <v>301792.25</v>
      </c>
      <c r="J52" s="69" t="s">
        <v>445</v>
      </c>
      <c r="L52" s="106"/>
      <c r="M52" s="66"/>
      <c r="AB52" s="55"/>
    </row>
    <row r="53" spans="2:28" s="54" customFormat="1" x14ac:dyDescent="0.2">
      <c r="M53" s="66"/>
      <c r="AB53" s="55"/>
    </row>
    <row r="54" spans="2:28" s="54" customFormat="1" x14ac:dyDescent="0.2">
      <c r="B54" s="46" t="s">
        <v>116</v>
      </c>
      <c r="M54" s="66"/>
      <c r="AB54" s="55"/>
    </row>
    <row r="55" spans="2:28" s="54" customFormat="1" x14ac:dyDescent="0.2">
      <c r="B55" s="54" t="s">
        <v>117</v>
      </c>
      <c r="F55" s="47" t="s">
        <v>124</v>
      </c>
      <c r="H55" s="52">
        <v>150000</v>
      </c>
      <c r="J55" s="69" t="s">
        <v>447</v>
      </c>
      <c r="L55" s="106"/>
      <c r="Q55" s="63"/>
      <c r="V55" s="64"/>
      <c r="AB55" s="55"/>
    </row>
    <row r="56" spans="2:28" s="54" customFormat="1" x14ac:dyDescent="0.2">
      <c r="B56" s="54" t="s">
        <v>208</v>
      </c>
      <c r="F56" s="47" t="s">
        <v>206</v>
      </c>
      <c r="H56" s="114">
        <v>30</v>
      </c>
      <c r="J56" s="69" t="s">
        <v>447</v>
      </c>
      <c r="K56" s="24"/>
      <c r="L56" s="2" t="s">
        <v>421</v>
      </c>
      <c r="M56" s="47"/>
      <c r="Q56" s="63"/>
      <c r="V56" s="64"/>
      <c r="AB56" s="55"/>
    </row>
    <row r="57" spans="2:28" s="54" customFormat="1" x14ac:dyDescent="0.2">
      <c r="AB57" s="55"/>
    </row>
    <row r="58" spans="2:28" x14ac:dyDescent="0.2">
      <c r="B58" s="46" t="s">
        <v>411</v>
      </c>
    </row>
    <row r="59" spans="2:28" x14ac:dyDescent="0.2">
      <c r="B59" s="2" t="s">
        <v>412</v>
      </c>
      <c r="F59" s="47" t="s">
        <v>124</v>
      </c>
      <c r="H59" s="34">
        <f>H52</f>
        <v>301792.25</v>
      </c>
      <c r="J59" s="2" t="s">
        <v>413</v>
      </c>
    </row>
    <row r="61" spans="2:28" x14ac:dyDescent="0.2">
      <c r="B61" s="1" t="s">
        <v>423</v>
      </c>
    </row>
    <row r="62" spans="2:28" x14ac:dyDescent="0.2">
      <c r="B62" s="20" t="s">
        <v>435</v>
      </c>
      <c r="F62" s="47" t="s">
        <v>124</v>
      </c>
      <c r="H62" s="52">
        <v>850000</v>
      </c>
      <c r="J62" s="69" t="s">
        <v>445</v>
      </c>
      <c r="L62" s="2" t="s">
        <v>424</v>
      </c>
    </row>
    <row r="63" spans="2:28" x14ac:dyDescent="0.2">
      <c r="H63" s="68"/>
    </row>
    <row r="64" spans="2:28" x14ac:dyDescent="0.2">
      <c r="H64" s="115"/>
    </row>
    <row r="66" spans="2:2" x14ac:dyDescent="0.2">
      <c r="B66" s="2" t="s">
        <v>207</v>
      </c>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0B76403CB6F24694D915B3C168C0E6" ma:contentTypeVersion="0" ma:contentTypeDescription="Een nieuw document maken." ma:contentTypeScope="" ma:versionID="bf02a18621bcb6325d2ad5de47f96fac">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BDC70D-3516-47CA-A74A-26D77D0F6E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schemas.microsoft.com/office/infopath/2007/PartnerControls"/>
    <ds:schemaRef ds:uri="http://purl.org/dc/elements/1.1/"/>
    <ds:schemaRef ds:uri="http://purl.org/dc/dcmityp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Title page</vt:lpstr>
      <vt:lpstr>Explanation</vt:lpstr>
      <vt:lpstr>Source overview</vt:lpstr>
      <vt:lpstr>Production price 2020</vt:lpstr>
      <vt:lpstr>Input --&gt;</vt:lpstr>
      <vt:lpstr>Parameters</vt:lpstr>
      <vt:lpstr>Est. and realized costs 2018</vt:lpstr>
      <vt:lpstr>Production and fuel costs 2018</vt:lpstr>
      <vt:lpstr>Est. production and costs 2020</vt:lpstr>
      <vt:lpstr>Calculations --&gt;</vt:lpstr>
      <vt:lpstr>RAB calculation 2018</vt:lpstr>
      <vt:lpstr>Fuel  correction 2018</vt:lpstr>
      <vt:lpstr>Volume corr. and P.S. 2018</vt:lpstr>
      <vt:lpstr>Income 2020 and prod. price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2020-01-13T15:28:59Z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0x010100E20B76403CB6F24694D915B3C168C0E6</vt:lpwstr>
  </property>
</Properties>
</file>