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bookViews>
  <sheets>
    <sheet name="Titelblad" sheetId="9" r:id="rId1"/>
    <sheet name="Toelichting" sheetId="10" r:id="rId2"/>
    <sheet name="Bronnen en toepassingen" sheetId="11" r:id="rId3"/>
    <sheet name="Resultaat" sheetId="21" r:id="rId4"/>
    <sheet name="Input --&gt;" sheetId="13" r:id="rId5"/>
    <sheet name="Schatting kosten 2018" sheetId="18" r:id="rId6"/>
    <sheet name="Realisatie kosten 2018" sheetId="24" r:id="rId7"/>
    <sheet name="Overige gegevens" sheetId="25" r:id="rId8"/>
    <sheet name="Berekeningen --&gt;" sheetId="15" r:id="rId9"/>
    <sheet name="Berekeningen kosten 2018" sheetId="29" r:id="rId10"/>
    <sheet name="Berekening volumecorrecties" sheetId="28" r:id="rId11"/>
    <sheet name="Berekening profit sharing" sheetId="22" r:id="rId12"/>
  </sheets>
  <calcPr calcId="145621"/>
</workbook>
</file>

<file path=xl/calcChain.xml><?xml version="1.0" encoding="utf-8"?>
<calcChain xmlns="http://schemas.openxmlformats.org/spreadsheetml/2006/main">
  <c r="N55" i="18" l="1"/>
  <c r="M25" i="28" l="1"/>
  <c r="N25" i="28"/>
  <c r="O25" i="28"/>
  <c r="P25" i="28"/>
  <c r="L25" i="28"/>
  <c r="L35" i="28" l="1"/>
  <c r="L34" i="28"/>
  <c r="M58" i="28" l="1"/>
  <c r="P33" i="24"/>
  <c r="P45" i="28" l="1"/>
  <c r="M45" i="28"/>
  <c r="O45" i="28"/>
  <c r="M65" i="18" l="1"/>
  <c r="N65" i="18"/>
  <c r="O65" i="18"/>
  <c r="P65" i="18"/>
  <c r="M66" i="18"/>
  <c r="N66" i="18"/>
  <c r="O66" i="18"/>
  <c r="P66" i="18"/>
  <c r="L66" i="18"/>
  <c r="L65" i="18"/>
  <c r="N59" i="29" l="1"/>
  <c r="J59" i="29" s="1"/>
  <c r="M39" i="29"/>
  <c r="N39" i="29"/>
  <c r="O39" i="29"/>
  <c r="P39" i="29"/>
  <c r="M40" i="29"/>
  <c r="N40" i="29"/>
  <c r="O40" i="29"/>
  <c r="P40" i="29"/>
  <c r="L40" i="29"/>
  <c r="L39" i="29"/>
  <c r="M34" i="29"/>
  <c r="N34" i="29"/>
  <c r="O34" i="29"/>
  <c r="P34" i="29"/>
  <c r="M35" i="29"/>
  <c r="N35" i="29"/>
  <c r="O35" i="29"/>
  <c r="P35" i="29"/>
  <c r="L35" i="29"/>
  <c r="L34" i="29"/>
  <c r="J21" i="24" l="1"/>
  <c r="M50" i="18" l="1"/>
  <c r="M24" i="29" s="1"/>
  <c r="O50" i="18"/>
  <c r="O24" i="29" s="1"/>
  <c r="L50" i="18"/>
  <c r="L24" i="29" s="1"/>
  <c r="P43" i="18"/>
  <c r="P50" i="18" s="1"/>
  <c r="P24" i="29" s="1"/>
  <c r="N29" i="29" l="1"/>
  <c r="N24" i="29"/>
  <c r="M55" i="18"/>
  <c r="M29" i="29" s="1"/>
  <c r="O55" i="18"/>
  <c r="O29" i="29" s="1"/>
  <c r="P55" i="18"/>
  <c r="P29" i="29" s="1"/>
  <c r="L55" i="18"/>
  <c r="L29" i="29" s="1"/>
  <c r="M48" i="18"/>
  <c r="N48" i="18"/>
  <c r="O48" i="18"/>
  <c r="P48" i="18"/>
  <c r="M49" i="18"/>
  <c r="N49" i="18"/>
  <c r="O49" i="18"/>
  <c r="P49" i="18"/>
  <c r="L49" i="18"/>
  <c r="L48" i="18"/>
  <c r="L53" i="18" l="1"/>
  <c r="L27" i="29" s="1"/>
  <c r="L22" i="29"/>
  <c r="N53" i="18"/>
  <c r="N27" i="29" s="1"/>
  <c r="N22" i="29"/>
  <c r="M54" i="18"/>
  <c r="M28" i="29" s="1"/>
  <c r="M23" i="29"/>
  <c r="N54" i="18"/>
  <c r="N28" i="29" s="1"/>
  <c r="N23" i="29"/>
  <c r="L54" i="18"/>
  <c r="L28" i="29" s="1"/>
  <c r="L23" i="29"/>
  <c r="M53" i="18"/>
  <c r="M27" i="29" s="1"/>
  <c r="M22" i="29"/>
  <c r="P54" i="18"/>
  <c r="P28" i="29" s="1"/>
  <c r="P23" i="29"/>
  <c r="P53" i="18"/>
  <c r="P27" i="29" s="1"/>
  <c r="P22" i="29"/>
  <c r="O54" i="18"/>
  <c r="O28" i="29" s="1"/>
  <c r="O23" i="29"/>
  <c r="O53" i="18"/>
  <c r="O27" i="29" s="1"/>
  <c r="O22" i="29"/>
  <c r="P35" i="22"/>
  <c r="O35" i="22"/>
  <c r="N35" i="22"/>
  <c r="M35" i="22"/>
  <c r="L35" i="22"/>
  <c r="P43" i="28"/>
  <c r="O43" i="28"/>
  <c r="M43" i="28"/>
  <c r="N43" i="28"/>
  <c r="L43" i="28"/>
  <c r="J45" i="28" l="1"/>
  <c r="J47" i="24" l="1"/>
  <c r="M56" i="29" l="1"/>
  <c r="N56" i="29"/>
  <c r="O56" i="29"/>
  <c r="P56" i="29"/>
  <c r="M57" i="29"/>
  <c r="N57" i="29"/>
  <c r="O57" i="29"/>
  <c r="P57" i="29"/>
  <c r="M58" i="29"/>
  <c r="M88" i="29" s="1"/>
  <c r="N58" i="29"/>
  <c r="N88" i="29" s="1"/>
  <c r="O58" i="29"/>
  <c r="O88" i="29" s="1"/>
  <c r="P58" i="29"/>
  <c r="P88" i="29" s="1"/>
  <c r="L57" i="29"/>
  <c r="L58" i="29"/>
  <c r="L88" i="29" s="1"/>
  <c r="L56" i="29"/>
  <c r="J56" i="29" l="1"/>
  <c r="J58" i="29"/>
  <c r="J57" i="29"/>
  <c r="L33" i="24"/>
  <c r="N33" i="24"/>
  <c r="N46" i="29" s="1"/>
  <c r="P46" i="29"/>
  <c r="O33" i="24"/>
  <c r="O46" i="29" s="1"/>
  <c r="M33" i="24"/>
  <c r="M46" i="29" s="1"/>
  <c r="J32" i="24"/>
  <c r="J33" i="24" l="1"/>
  <c r="L46" i="29"/>
  <c r="J46" i="29" s="1"/>
  <c r="L62" i="18" l="1"/>
  <c r="L36" i="29" s="1"/>
  <c r="L67" i="18"/>
  <c r="L41" i="29" s="1"/>
  <c r="J62" i="18"/>
  <c r="J61" i="18"/>
  <c r="J60" i="18"/>
  <c r="O74" i="18"/>
  <c r="J67" i="18" l="1"/>
  <c r="J66" i="18"/>
  <c r="J65" i="18"/>
  <c r="J20" i="24" l="1"/>
  <c r="J19" i="24"/>
  <c r="J18" i="24"/>
  <c r="J29" i="18" l="1"/>
  <c r="J28" i="18"/>
  <c r="J28" i="29" l="1"/>
  <c r="J55" i="18"/>
  <c r="J24" i="29"/>
  <c r="J53" i="18" l="1"/>
  <c r="J27" i="29"/>
  <c r="J23" i="29"/>
  <c r="J22" i="29"/>
  <c r="J54" i="18"/>
  <c r="J29" i="29"/>
  <c r="H15" i="22" l="1"/>
  <c r="L26" i="22" l="1"/>
  <c r="N21" i="22" l="1"/>
  <c r="L19" i="22"/>
  <c r="L18" i="22"/>
  <c r="L20" i="22" s="1"/>
  <c r="H16" i="29" l="1"/>
  <c r="H15" i="29"/>
  <c r="L72" i="29" s="1"/>
  <c r="M28" i="28"/>
  <c r="N28" i="28"/>
  <c r="O28" i="28"/>
  <c r="P28" i="28"/>
  <c r="L28" i="28"/>
  <c r="N71" i="29" l="1"/>
  <c r="L71" i="29"/>
  <c r="P71" i="29"/>
  <c r="O71" i="29"/>
  <c r="M71" i="29"/>
  <c r="P72" i="29"/>
  <c r="O72" i="29"/>
  <c r="N72" i="29"/>
  <c r="M72" i="29"/>
  <c r="M63" i="29"/>
  <c r="N63" i="29"/>
  <c r="O63" i="29"/>
  <c r="P63" i="29"/>
  <c r="L63" i="29"/>
  <c r="P50" i="29"/>
  <c r="O50" i="29"/>
  <c r="N50" i="29"/>
  <c r="M50" i="29"/>
  <c r="L50" i="29"/>
  <c r="H14" i="29"/>
  <c r="M69" i="29" l="1"/>
  <c r="O69" i="29"/>
  <c r="N69" i="29"/>
  <c r="L69" i="29"/>
  <c r="P69" i="29"/>
  <c r="O70" i="29"/>
  <c r="O75" i="29" s="1"/>
  <c r="O83" i="29" s="1"/>
  <c r="M70" i="29"/>
  <c r="M75" i="29" s="1"/>
  <c r="M83" i="29" s="1"/>
  <c r="J72" i="29"/>
  <c r="J71" i="29"/>
  <c r="L70" i="29"/>
  <c r="L75" i="29" s="1"/>
  <c r="P70" i="29"/>
  <c r="P75" i="29" s="1"/>
  <c r="P83" i="29" s="1"/>
  <c r="N70" i="29"/>
  <c r="N75" i="29" s="1"/>
  <c r="N83" i="29" s="1"/>
  <c r="P87" i="29"/>
  <c r="P89" i="29" s="1"/>
  <c r="P39" i="22" s="1"/>
  <c r="M87" i="29"/>
  <c r="M89" i="29" s="1"/>
  <c r="M39" i="22" s="1"/>
  <c r="L87" i="29"/>
  <c r="N87" i="29"/>
  <c r="N89" i="29" s="1"/>
  <c r="N39" i="22" s="1"/>
  <c r="O87" i="29"/>
  <c r="O89" i="29" s="1"/>
  <c r="O39" i="22" s="1"/>
  <c r="J88" i="29"/>
  <c r="J39" i="29"/>
  <c r="J34" i="29"/>
  <c r="J36" i="29"/>
  <c r="J41" i="29"/>
  <c r="J35" i="29"/>
  <c r="J40" i="29"/>
  <c r="L83" i="29" l="1"/>
  <c r="O21" i="28"/>
  <c r="O41" i="28" s="1"/>
  <c r="N21" i="28"/>
  <c r="N41" i="28" s="1"/>
  <c r="L21" i="28"/>
  <c r="L41" i="28" s="1"/>
  <c r="P21" i="28"/>
  <c r="P41" i="28" s="1"/>
  <c r="M21" i="28"/>
  <c r="M41" i="28" s="1"/>
  <c r="J75" i="29"/>
  <c r="P74" i="29"/>
  <c r="L74" i="29"/>
  <c r="L76" i="29" s="1"/>
  <c r="N74" i="29"/>
  <c r="N76" i="29" s="1"/>
  <c r="M74" i="29"/>
  <c r="O74" i="29"/>
  <c r="O76" i="29" s="1"/>
  <c r="J70" i="29"/>
  <c r="J69" i="29"/>
  <c r="L89" i="29"/>
  <c r="J87" i="29"/>
  <c r="P79" i="29" l="1"/>
  <c r="P82" i="29" s="1"/>
  <c r="P76" i="29"/>
  <c r="M79" i="29"/>
  <c r="M82" i="29" s="1"/>
  <c r="M84" i="29" s="1"/>
  <c r="M38" i="22" s="1"/>
  <c r="M76" i="29"/>
  <c r="J89" i="29"/>
  <c r="L39" i="22"/>
  <c r="P84" i="29"/>
  <c r="P38" i="22" s="1"/>
  <c r="O79" i="29"/>
  <c r="O82" i="29" s="1"/>
  <c r="O84" i="29" s="1"/>
  <c r="O38" i="22" s="1"/>
  <c r="N79" i="29"/>
  <c r="N82" i="29" s="1"/>
  <c r="N84" i="29" s="1"/>
  <c r="N38" i="22" s="1"/>
  <c r="J74" i="29"/>
  <c r="L79" i="29"/>
  <c r="L82" i="29" s="1"/>
  <c r="L84" i="29" s="1"/>
  <c r="L38" i="22" s="1"/>
  <c r="J83" i="29"/>
  <c r="O30" i="22"/>
  <c r="M30" i="22"/>
  <c r="O29" i="22"/>
  <c r="M29" i="22"/>
  <c r="J76" i="29" l="1"/>
  <c r="J82" i="29"/>
  <c r="J84" i="29"/>
  <c r="N25" i="22"/>
  <c r="O44" i="22" s="1"/>
  <c r="O45" i="22" s="1"/>
  <c r="O22" i="21" s="1"/>
  <c r="L25" i="22"/>
  <c r="M44" i="22" s="1"/>
  <c r="M45" i="22" s="1"/>
  <c r="M22" i="21" s="1"/>
  <c r="L32" i="28"/>
  <c r="J45" i="22" l="1"/>
  <c r="J44" i="22"/>
  <c r="L33" i="28"/>
  <c r="M57" i="28" s="1"/>
  <c r="L31" i="28"/>
  <c r="M54" i="28" s="1"/>
  <c r="M53" i="28" l="1"/>
  <c r="J39" i="22"/>
  <c r="M55" i="28" l="1"/>
  <c r="M59" i="28"/>
  <c r="M61" i="28" l="1"/>
  <c r="M18" i="21" s="1"/>
  <c r="J50" i="18" l="1"/>
  <c r="J49" i="18"/>
  <c r="J48" i="18"/>
  <c r="J22" i="18"/>
  <c r="J21" i="18"/>
  <c r="J20" i="18"/>
  <c r="P40" i="22" l="1"/>
  <c r="M40" i="22"/>
  <c r="O40" i="22"/>
  <c r="L40" i="22"/>
  <c r="N40" i="22"/>
  <c r="L41" i="22" l="1"/>
  <c r="L21" i="21" s="1"/>
  <c r="O41" i="22"/>
  <c r="O21" i="21" s="1"/>
  <c r="M41" i="22"/>
  <c r="M21" i="21" s="1"/>
  <c r="N41" i="22"/>
  <c r="N21" i="21" s="1"/>
  <c r="P41" i="22"/>
  <c r="P21" i="21" s="1"/>
  <c r="J38" i="22"/>
  <c r="B29" i="10"/>
  <c r="J41" i="22" l="1"/>
  <c r="P42" i="28"/>
  <c r="J21" i="28"/>
  <c r="O42" i="28"/>
  <c r="M42" i="28"/>
  <c r="L42" i="28"/>
  <c r="J41" i="28"/>
  <c r="N42" i="28"/>
  <c r="J40" i="22"/>
  <c r="B17" i="10"/>
  <c r="B24" i="10" s="1"/>
  <c r="J22" i="21" l="1"/>
  <c r="J21" i="21"/>
  <c r="M47" i="28"/>
  <c r="M17" i="21" s="1"/>
  <c r="N47" i="28"/>
  <c r="N17" i="21" s="1"/>
  <c r="O47" i="28"/>
  <c r="O17" i="21" s="1"/>
  <c r="L47" i="28"/>
  <c r="L17" i="21" s="1"/>
  <c r="P47" i="28"/>
  <c r="P17" i="21" s="1"/>
  <c r="J42" i="28"/>
  <c r="B18" i="10"/>
  <c r="J47" i="28" l="1"/>
  <c r="B19" i="10"/>
  <c r="B23" i="10" s="1"/>
  <c r="J17" i="21" l="1"/>
  <c r="J18" i="21" l="1"/>
</calcChain>
</file>

<file path=xl/comments1.xml><?xml version="1.0" encoding="utf-8"?>
<comments xmlns="http://schemas.openxmlformats.org/spreadsheetml/2006/main">
  <authors>
    <author>Auteur</author>
  </authors>
  <commentList>
    <comment ref="B23"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authors>
    <author>Auteur</author>
  </authors>
  <commentList>
    <comment ref="N22" authorId="0">
      <text>
        <r>
          <rPr>
            <sz val="8"/>
            <color indexed="81"/>
            <rFont val="Tahoma"/>
            <family val="2"/>
          </rPr>
          <t>Gegevens en of berekening aangepast i.v.m. bedrijfsvertrouwelijkheid</t>
        </r>
      </text>
    </comment>
    <comment ref="P43" authorId="0">
      <text>
        <r>
          <rPr>
            <sz val="8"/>
            <color indexed="81"/>
            <rFont val="Tahoma"/>
            <family val="2"/>
          </rPr>
          <t>Percentaqe niet afzonderlijk bepaald voor drinkwater per truck. Aanname: gelijkgesteld aan drinkwater via het netwerk</t>
        </r>
      </text>
    </comment>
    <comment ref="N50" authorId="0">
      <text>
        <r>
          <rPr>
            <sz val="8"/>
            <color indexed="81"/>
            <rFont val="Tahoma"/>
            <family val="2"/>
          </rPr>
          <t>Gegevens en of berekening aangepast i.v.m. bedrijfsvertrouwelijkheid</t>
        </r>
      </text>
    </comment>
    <comment ref="N55" authorId="0">
      <text>
        <r>
          <rPr>
            <sz val="8"/>
            <color indexed="81"/>
            <rFont val="Tahoma"/>
            <family val="2"/>
          </rPr>
          <t>Gegevens en of berekening aangepast i.v.m. bedrijfsvertrouwelijkheid</t>
        </r>
      </text>
    </comment>
    <comment ref="L62" authorId="0">
      <text>
        <r>
          <rPr>
            <sz val="8"/>
            <color indexed="81"/>
            <rFont val="Tahoma"/>
            <family val="2"/>
          </rPr>
          <t>Als totaalbedrag berekend, kosten per kWh vermenigvuldigd met geraamde extra productie.
NB: let op, vooruitverwijzing!</t>
        </r>
      </text>
    </comment>
    <comment ref="O73" authorId="0">
      <text>
        <r>
          <rPr>
            <sz val="8"/>
            <color indexed="81"/>
            <rFont val="Tahoma"/>
            <family val="2"/>
          </rPr>
          <t>Deze eenheid is opnieuw gedefinieerd t.o.v. wat eerder gebruikt werd. In het model voor 2018 werd 1/2 inch gewogen met gewicht 1, het voorstel is om vanaf de tweede periode de gekwadrateerde inches te gebruiken. 
Oorspronkelijke waarde van  9917,60 gedeeld door 4 dus.</t>
        </r>
      </text>
    </comment>
    <comment ref="L74" authorId="0">
      <text>
        <r>
          <rPr>
            <sz val="8"/>
            <color indexed="81"/>
            <rFont val="Tahoma"/>
            <family val="2"/>
          </rPr>
          <t>Dit volume is dus inclusief de additionele productie met extra inzet van Aggreko's</t>
        </r>
      </text>
    </comment>
  </commentList>
</comments>
</file>

<file path=xl/comments3.xml><?xml version="1.0" encoding="utf-8"?>
<comments xmlns="http://schemas.openxmlformats.org/spreadsheetml/2006/main">
  <authors>
    <author>Auteur</author>
  </authors>
  <commentList>
    <comment ref="L20" authorId="0">
      <text>
        <r>
          <rPr>
            <sz val="8"/>
            <color indexed="81"/>
            <rFont val="Tahoma"/>
            <family val="2"/>
          </rPr>
          <t>Dit bedrag is inclusief de kosten van productie met de Aggreko's, zie OPEX-berekening voor meer informatie</t>
        </r>
      </text>
    </comment>
    <comment ref="N20" authorId="0">
      <text>
        <r>
          <rPr>
            <sz val="8"/>
            <color indexed="81"/>
            <rFont val="Tahoma"/>
            <family val="2"/>
          </rPr>
          <t>Gegevens en of berekening aangepast i.v.m. bedrijfsvertrouwelijkheid</t>
        </r>
      </text>
    </comment>
    <comment ref="M32" authorId="0">
      <text>
        <r>
          <rPr>
            <sz val="8"/>
            <color indexed="81"/>
            <rFont val="Tahoma"/>
            <family val="2"/>
          </rPr>
          <t xml:space="preserve">betrof correctiebedrag teruggerekend naar 9 maanden
</t>
        </r>
      </text>
    </comment>
    <comment ref="O32" authorId="0">
      <text>
        <r>
          <rPr>
            <sz val="8"/>
            <color indexed="81"/>
            <rFont val="Tahoma"/>
            <family val="2"/>
          </rPr>
          <t xml:space="preserve">betrof correctiebedrag teruggerekend naar 9 maanden
</t>
        </r>
      </text>
    </comment>
    <comment ref="P32" authorId="0">
      <text>
        <r>
          <rPr>
            <sz val="8"/>
            <color indexed="81"/>
            <rFont val="Tahoma"/>
            <family val="2"/>
          </rPr>
          <t xml:space="preserve">betrof correctiebedrag teruggerekend naar 9 maanden
</t>
        </r>
      </text>
    </comment>
    <comment ref="M33" authorId="0">
      <text>
        <r>
          <rPr>
            <sz val="8"/>
            <color indexed="81"/>
            <rFont val="Tahoma"/>
            <family val="2"/>
          </rPr>
          <t>Bedrag op jaarbasis</t>
        </r>
      </text>
    </comment>
    <comment ref="O33" authorId="0">
      <text>
        <r>
          <rPr>
            <sz val="8"/>
            <color indexed="81"/>
            <rFont val="Tahoma"/>
            <family val="2"/>
          </rPr>
          <t>Bedrag op jaarbasis</t>
        </r>
      </text>
    </comment>
    <comment ref="P33" authorId="0">
      <text>
        <r>
          <rPr>
            <sz val="8"/>
            <color indexed="81"/>
            <rFont val="Tahoma"/>
            <family val="2"/>
          </rPr>
          <t>Bedrag op jaarbasis</t>
        </r>
      </text>
    </comment>
    <comment ref="O54" authorId="0">
      <text>
        <r>
          <rPr>
            <sz val="8"/>
            <color indexed="81"/>
            <rFont val="Tahoma"/>
            <family val="2"/>
          </rPr>
          <t xml:space="preserve">Lichte afwijking van tariefvoorstel WEB, in verband met afronding van rekencapaciteit bij 3/4" </t>
        </r>
      </text>
    </comment>
  </commentList>
</comments>
</file>

<file path=xl/comments4.xml><?xml version="1.0" encoding="utf-8"?>
<comments xmlns="http://schemas.openxmlformats.org/spreadsheetml/2006/main">
  <authors>
    <author>Auteur</author>
  </authors>
  <commentList>
    <comment ref="N88" authorId="0">
      <text>
        <r>
          <rPr>
            <sz val="8"/>
            <color indexed="81"/>
            <rFont val="Tahoma"/>
            <family val="2"/>
          </rPr>
          <t>Incl. productie via GE</t>
        </r>
      </text>
    </comment>
  </commentList>
</comments>
</file>

<file path=xl/sharedStrings.xml><?xml version="1.0" encoding="utf-8"?>
<sst xmlns="http://schemas.openxmlformats.org/spreadsheetml/2006/main" count="684" uniqueCount="357">
  <si>
    <t>Titelblad</t>
  </si>
  <si>
    <t>Over dit bestand</t>
  </si>
  <si>
    <t>Zaaknummer</t>
  </si>
  <si>
    <t>Titel</t>
  </si>
  <si>
    <t>Hoort bij besluit(en):</t>
  </si>
  <si>
    <t>Kenmerk besluit(en)</t>
  </si>
  <si>
    <t>Samenhang met andere rekenbestanden</t>
  </si>
  <si>
    <t>Overig opmerkingen</t>
  </si>
  <si>
    <t>Over de status van dit bestand</t>
  </si>
  <si>
    <t>Definitief? (j/n)</t>
  </si>
  <si>
    <t>Juridisch integraal onderdeel van bovenstaande besluit(en) (j/n)?</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</si>
  <si>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</si>
  <si>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</si>
  <si>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</si>
  <si>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</si>
  <si>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</si>
  <si>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</si>
  <si>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</si>
  <si>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</si>
  <si>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</si>
  <si>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</si>
  <si>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</si>
  <si>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</si>
  <si>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</si>
  <si>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</si>
  <si>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</si>
  <si>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</si>
  <si>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</si>
  <si>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</si>
  <si>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</si>
  <si>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</si>
  <si>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</si>
  <si>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</si>
  <si>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</si>
  <si>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</si>
  <si>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</si>
  <si>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</si>
  <si>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</si>
  <si>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</si>
  <si>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</si>
  <si>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</si>
  <si>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</si>
  <si>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</si>
  <si>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</si>
  <si>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</si>
  <si>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</si>
  <si>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</si>
  <si>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</si>
  <si>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</si>
  <si>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</si>
  <si>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</si>
  <si>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</si>
  <si>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</si>
  <si>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Datum ontvangst, versie nr., opmerkingen</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</si>
  <si>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</si>
  <si>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</si>
  <si>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</si>
  <si>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</si>
  <si>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</si>
  <si>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</si>
  <si>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</si>
  <si>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</si>
  <si>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</si>
  <si>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</si>
  <si>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</si>
  <si>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</si>
  <si>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Water per truck</t>
  </si>
  <si>
    <t>Schatting kosten 2018</t>
  </si>
  <si>
    <t>Gegevens over kosten in tariefmodellen 2018</t>
  </si>
  <si>
    <t xml:space="preserve">CPI </t>
  </si>
  <si>
    <t>%</t>
  </si>
  <si>
    <t>CPI gegevens CBS (2010=100)</t>
  </si>
  <si>
    <t>Geschatte inflatie 2017</t>
  </si>
  <si>
    <t>Geschatte inflatie 2018</t>
  </si>
  <si>
    <t>WACC 2018</t>
  </si>
  <si>
    <t>WACC-besluit Caribisch Nederland 2017-2019</t>
  </si>
  <si>
    <t>Realisatie kosten 2018</t>
  </si>
  <si>
    <t>Berekening profit sharing over 2018</t>
  </si>
  <si>
    <t>RAB ultimo 2018</t>
  </si>
  <si>
    <t>Gegevens over gerealiseerde kosten in 2018</t>
  </si>
  <si>
    <t>Afschrijvingen</t>
  </si>
  <si>
    <t>Gegevens over gerealiseerde volumes in 2018</t>
  </si>
  <si>
    <t>Volumedrijver per activiteit</t>
  </si>
  <si>
    <t>Eenheid waarin volume is uitgedrukt</t>
  </si>
  <si>
    <t>(zie kolom)</t>
  </si>
  <si>
    <t>kWh</t>
  </si>
  <si>
    <t>kVA</t>
  </si>
  <si>
    <t>m3</t>
  </si>
  <si>
    <t>Volume gerealiseerd</t>
  </si>
  <si>
    <t>Gegevens over volumes en productie in tariefmodellen 2018</t>
  </si>
  <si>
    <t>RAB ultimo 2016</t>
  </si>
  <si>
    <t>Netto additionele OPEX</t>
  </si>
  <si>
    <t>Rekenmodel WEB 2018</t>
  </si>
  <si>
    <t>https://www.acm.nl/nl/publicaties/rekenmodel-bij-beschikking-productieprijs-en-distributietarieven-elektriciteit-2018-bonaire-web-caribisch-nederland</t>
  </si>
  <si>
    <t>Indien beschikbaar</t>
  </si>
  <si>
    <t>Link openbaar bestand</t>
  </si>
  <si>
    <t>Rekenmodel_WEB_2018_-_openbare_versie</t>
  </si>
  <si>
    <t>USD, pp 2016</t>
  </si>
  <si>
    <t>USD, pp 2018</t>
  </si>
  <si>
    <t>Productie elektriciteit met PV</t>
  </si>
  <si>
    <t>Productie elektriciteit met brandstof</t>
  </si>
  <si>
    <t>gemiddelde over geraamde productie met PV en brandstof</t>
  </si>
  <si>
    <t>USD, pp 2018 / kWh</t>
  </si>
  <si>
    <t>Gegevens over productie elektriciteit</t>
  </si>
  <si>
    <t>Geschatte inkoop hoeveelheid bij CGB</t>
  </si>
  <si>
    <t>Rekenmodel CGB 2018</t>
  </si>
  <si>
    <t>Gegevens over productie drinkwater</t>
  </si>
  <si>
    <t>USD, pp 2018 / m3</t>
  </si>
  <si>
    <t>Productiekosten WEB (per m3), excl. elektriciteitskosten</t>
  </si>
  <si>
    <t>Berekening volumecorrecties over 2018</t>
  </si>
  <si>
    <t>WACC en CPI</t>
  </si>
  <si>
    <t>Berekening volumecorrectie</t>
  </si>
  <si>
    <t>USD, pp 2018 / #</t>
  </si>
  <si>
    <t>Berekening dekking van vaste kosten 2018</t>
  </si>
  <si>
    <t>Totaal gerealiseerde inkomsten ter dekking van vaste kosten, o.b.v. gerealiseerd volume</t>
  </si>
  <si>
    <t>Te hoge (of te lage) dekking van vaste kosten in 2018</t>
  </si>
  <si>
    <t>Volumecorrectie op te nemen in tarieven 2020</t>
  </si>
  <si>
    <t>(negatief bedrag = onderdekking van kosten)</t>
  </si>
  <si>
    <t>Totaal geschat volume</t>
  </si>
  <si>
    <t>Effectief geschatte inkoopprijs</t>
  </si>
  <si>
    <t>Effectief gerealiseerde inkoopprijs</t>
  </si>
  <si>
    <t>Berekening effect van veranderde inkoop-mix elektriciteit</t>
  </si>
  <si>
    <t>gemiddelde over geraamde productie met wind en brandstof</t>
  </si>
  <si>
    <t>Gegevens over productie elektriciteit en inkoop bij ContourGlobal</t>
  </si>
  <si>
    <t>Parameters</t>
  </si>
  <si>
    <t>Profit sharing percentage</t>
  </si>
  <si>
    <t>Gegevens over geschatte kosten en volumes voor 2018</t>
  </si>
  <si>
    <t>Gegevens over gerealiseerde kosten en volumes over 2018</t>
  </si>
  <si>
    <t>Geschat percentage netverlies / lekverlies</t>
  </si>
  <si>
    <t>Gerealiseerd percentage netverlies / lekverlies</t>
  </si>
  <si>
    <t>Volumegegevens per activiteit</t>
  </si>
  <si>
    <t>Berekening profitsharing 2018 over netverliezen / lekverliezen</t>
  </si>
  <si>
    <t>Additioneel betrokken vaste kosten voor 2018</t>
  </si>
  <si>
    <t>Additioneel betrokken variabele kosten voor 2018</t>
  </si>
  <si>
    <t>inch^2</t>
  </si>
  <si>
    <t>Gerealiseerd volume 2018</t>
  </si>
  <si>
    <t>Geschat volume 2018</t>
  </si>
  <si>
    <t>Geschatte inkoopkosten 'WEB distributeur' (excl. brandstofdeel)</t>
  </si>
  <si>
    <t>Berekeningen kosten 2018</t>
  </si>
  <si>
    <t>Ophalen parameters voor berekening</t>
  </si>
  <si>
    <t xml:space="preserve">Gegevens over geschatte volumes </t>
  </si>
  <si>
    <t>Gegevens gerealiseerde kosten</t>
  </si>
  <si>
    <t xml:space="preserve">Gegevens over gerealiseerde volumes </t>
  </si>
  <si>
    <t>Berekening geschatte en gerealiseerde kosten 2018</t>
  </si>
  <si>
    <t>Totale geschatte vaste kosten 2018</t>
  </si>
  <si>
    <t>FIN</t>
  </si>
  <si>
    <t>Berekening correctie inkoopmix elektriciteit</t>
  </si>
  <si>
    <t>#</t>
  </si>
  <si>
    <t>Geschatte vaste kosten</t>
  </si>
  <si>
    <t>Geschat volume inkoop elektriciteit bij CGB 2018</t>
  </si>
  <si>
    <t>Correctie voor hogere inkoopkosten door veranderde inkoop-mix</t>
  </si>
  <si>
    <t>Overige gegevens en parameters</t>
  </si>
  <si>
    <t>WACC for WEB</t>
  </si>
  <si>
    <t>Gewogen gemiddelde productieprijs jan - juni 2018</t>
  </si>
  <si>
    <t>Gewogen gemiddelde productieprijs juli - dec 2018</t>
  </si>
  <si>
    <t>USD / kWh</t>
  </si>
  <si>
    <t>Gewogen gemiddelde productieprijs elektriciteit zoals vastgesteld in tariefbeschikkingen</t>
  </si>
  <si>
    <t>Rekenmodel WEB voor tarieven 2018</t>
  </si>
  <si>
    <t>USD / m3</t>
  </si>
  <si>
    <t>Berekening bij tariefbeschikking WEB elektriciteit juli - dec 2018</t>
  </si>
  <si>
    <t>Profit sharing</t>
  </si>
  <si>
    <t>Percentage profit sharing</t>
  </si>
  <si>
    <t>Vastgestelde / berekende productieprijzen 2018</t>
  </si>
  <si>
    <t>Gemiddelde productieprijs voor 2018</t>
  </si>
  <si>
    <t>Gerealiseerde volumes</t>
  </si>
  <si>
    <t>Gegevens netverliezen</t>
  </si>
  <si>
    <t>Berekening profit sharing</t>
  </si>
  <si>
    <t>Gerealiseerde inkoop elektriciteit door WEB bij CGB</t>
  </si>
  <si>
    <t>Op dit blad worden kosten totalen bepaald (geschat/gerealiseerd, vast/variabel, als totaalbedrag/per eenheid), voor verder gebruik in de berekening van de volumecorrectie en profit sharing.</t>
  </si>
  <si>
    <t>Keuze methodebesluit 2017-2019</t>
  </si>
  <si>
    <t>Reguliere OPEX (netto bedrag; OPEX na aftrek overige inkomsten)</t>
  </si>
  <si>
    <t>Gegevens netverlies / lekverlies</t>
  </si>
  <si>
    <t>Gegevens over productieprijs</t>
  </si>
  <si>
    <t>Deze productieprijs is niet gewogen naar productie in de eerste en tweede helft van 2018, voor 2018 is in de tarievenbeschikkingen gekozen voor een 50/50 verdeling</t>
  </si>
  <si>
    <t>Gerealiseerde winstbedrag voor berekening PS-bedrag</t>
  </si>
  <si>
    <t>Model profit sharing WEB over 2018</t>
  </si>
  <si>
    <t>Input bepaling variabele kosten o.b.v. tarievenvoorstel WEB 2020</t>
  </si>
  <si>
    <t>Kosten uit 2016 die op basis van huidige analyse kwalificeren als variabel</t>
  </si>
  <si>
    <t>Totale reguliere kosten zoals meegenomen in tariefmodel 2018</t>
  </si>
  <si>
    <t>Totale additionele kosten zoals meegenomen in tariefmodel 2018</t>
  </si>
  <si>
    <t>Splitsing kostenbasis voor 2018 (o.b.v. kosten 2016) in vast en variabel deel</t>
  </si>
  <si>
    <t>Afschrijvingen 2018</t>
  </si>
  <si>
    <t>Totale reguliere kosten zoals berekend over 2018</t>
  </si>
  <si>
    <t>RAB ultimo 2018 (van additionele investeringen)</t>
  </si>
  <si>
    <t>Afschrijvingen (op additionele investeringen)</t>
  </si>
  <si>
    <t>RAB en afschrijvingen van additionele investeringen (algemene toevoeging)</t>
  </si>
  <si>
    <t>OPEX (vast en variabel) van extra inzet aggreko's (specifieke toevoeging)</t>
  </si>
  <si>
    <t>OPEX voor agrekko's: vast deel (capaciteit)</t>
  </si>
  <si>
    <t>OPEX voor agrekko's: variabel deel (kosten per kWh)</t>
  </si>
  <si>
    <t>Betreft kWh component van Aggreko contract + kosten smeerolie</t>
  </si>
  <si>
    <t>Inclusief additioneel geschatte volumes (in dit geval alleen van toepassing bij productie elektriciteit)</t>
  </si>
  <si>
    <t>Eerdere correcties over 2018 (nu rekening mee houden in profit sharing)</t>
  </si>
  <si>
    <t>Correctie voor te laag vastgestelde RAB ultimo 2016</t>
  </si>
  <si>
    <t>Nacalculatie RAB verschillen over 2018 (nieuwe vs oude model)</t>
  </si>
  <si>
    <t>Rekenmodel tarieven WEB 2019, tabblad correcties, regel 41</t>
  </si>
  <si>
    <t>Extra toegekende inkomsten in tarieven 2019 voor wijziging RAB-berekening over 2016:</t>
  </si>
  <si>
    <t>Correctie voor verkeerd gehanteerde WACC voor 2018</t>
  </si>
  <si>
    <t xml:space="preserve">In de tarieven voor 2018 is voor sommige nutsbedrijven een foutieve WACC gebruikt. Dit effect is al hersteld in de tarieven voor 2019. </t>
  </si>
  <si>
    <t>Gerealiseerde kapitaalkosten</t>
  </si>
  <si>
    <t>Gerealiseerde OPEX</t>
  </si>
  <si>
    <t>Berekening geschatte totale kosten 2018 (o.b.v. volume 2016 + additioneel volume)</t>
  </si>
  <si>
    <t>Berekening gerealiseerde totale kosten 2018</t>
  </si>
  <si>
    <t>Bedragen aan gederfde subsidie inkomsten:</t>
  </si>
  <si>
    <t>Deze correctie wordt meegenomen in de bepaling van de vaste kosten</t>
  </si>
  <si>
    <t>Geschatte vaste kapitaalkosten (incl. correctie voor te laag vastgestelde RAB ult.2016)</t>
  </si>
  <si>
    <t>Geschatte variabele kapitaalkosten</t>
  </si>
  <si>
    <t>Geschatte vaste OPEX</t>
  </si>
  <si>
    <t>Geschatte variabele OPEX</t>
  </si>
  <si>
    <t>Totale geschatte kosten 2018 (o.b.v. volume 2016 + additioneel volume)</t>
  </si>
  <si>
    <t>Bedragen gelijk aan geschatte kosten, want niet afhankelijk van volume</t>
  </si>
  <si>
    <t>Geschatte variabele kosten per eenheid output</t>
  </si>
  <si>
    <t>Geschatte vaste kosten (kapitaalkosten + OPEX)</t>
  </si>
  <si>
    <t>Bijgestelde geschatte vaste kosten 2018 (o.b.v. gerealiseerd volume 2018)</t>
  </si>
  <si>
    <t>Bijgestelde geschatte variabele kosten 2018 (o.b.v. gerealiseerd volume 2018)</t>
  </si>
  <si>
    <t>Bijgestelde geschatte totale kosten 2018 (o.b.v. gerealiseerd volume 2018)</t>
  </si>
  <si>
    <t>Totale gerealiseerde kosten 2018</t>
  </si>
  <si>
    <t>ACM houdt rekening met deze gederfde inkomsten uit subsidie bij het bepalen van de volumecorrectie. ACM zou anders uitgaan van gestegen inkomsten, die in werkelijkheid slechts deels zijn behaald.</t>
  </si>
  <si>
    <t>Te verrekenen bedragen in volumecorrectie</t>
  </si>
  <si>
    <t>Gederfde subsidieinkomsten als gevolg van volumegroei</t>
  </si>
  <si>
    <t>Gederfde subsidie-inkomsten over 2018 a.g.v. volumegroei</t>
  </si>
  <si>
    <t>Bedragen die WEB is misgelopen aan subsidie waar ACM rekening mee houdt</t>
  </si>
  <si>
    <t>Voordat ACM profit sharing toepast, corrigeert ACM de inkomsten van WEB voor twee effecten: de volumecorrectie (alle activiteiten) en het inkoopmix-effect (bij distributie elektriciteit)</t>
  </si>
  <si>
    <t>Aantal maanden waarover volumecorrectie wordt toegepast</t>
  </si>
  <si>
    <t># maanden</t>
  </si>
  <si>
    <t>Distributietarieven zijn per per 1 april vastgesteld, dus volumecorrectie wordt alleen over gereguleerde periode toegepast</t>
  </si>
  <si>
    <t xml:space="preserve">Bij de volumecorrectie houdt ACM rekening met het aantal maanden dat de distributietarieven gereguleerd waren én met de eventueel gederfde subsidie-inkomsten in deze periode als gevolg van volumegroei. </t>
  </si>
  <si>
    <t>Bij de volumecorrectie corrigeert de ACM voor een over-of onderdekking van de geschatte vaste kosten, doordat de gerealiseerde volumes afwijken van de geschatte volumes.</t>
  </si>
  <si>
    <t>Rekenmodel WEB 2018, blad 'berekening tarieven E', regel 18</t>
  </si>
  <si>
    <t xml:space="preserve">Het inkoopmix-effect ontstaat doordat de productieprijs van WEB afwijkt van die van CGB. Doordat vervolgens ook de volumes afwijken, klopt de dekking van de inkoop van elektriciteit niet meer met de schatting die ACM in eerste instantie gemaakt heeft. Dit effect staat los van gerealiseerde kosten en brandstofkosten, etc. </t>
  </si>
  <si>
    <t>Rekenmodel CGB 2018, blad 'berekening productieprijs, regel 17</t>
  </si>
  <si>
    <t>Rekenmodel WEB 2018, blad 'berekening tarieven W', regel 12</t>
  </si>
  <si>
    <t>Daarnaast zijn ook de volumegegevens opgenomen die de ACM heeft gebruikt bij het vast stellen van de tarieven, plus de gegevens over inkoop van elektriciteit bij CGB en over netverliezen/lekverliezen.</t>
  </si>
  <si>
    <t>Betreft geschatte kosten over gehele jaar 2018</t>
  </si>
  <si>
    <t>Betreft gerealiseerde inkomsten over gehele jaar 2018</t>
  </si>
  <si>
    <t>Berekening profitsharing 2018 over alle gerealiseerde kosten (excl. netverliezen)</t>
  </si>
  <si>
    <t>Gereguleerde periodes per activiteit</t>
  </si>
  <si>
    <t>Gereguleerde periode productie elektriciteit en productie drinkwater</t>
  </si>
  <si>
    <t>1 januari 2018 - 31 december 2018</t>
  </si>
  <si>
    <t>Aantal maanden</t>
  </si>
  <si>
    <t>Gereguleerde periode distributie elektriciteit en distributie drinkwater (netwerk en truck delivery)</t>
  </si>
  <si>
    <t>1 april 2018 - 31 december 2018</t>
  </si>
  <si>
    <t>Aantal maanden waarover profit sharing wordt toegepast</t>
  </si>
  <si>
    <t>Volume gerealiseerd door WEB</t>
  </si>
  <si>
    <t>Met ingang van 2018 stelt ACM het bedrag voor de profit sharing vast over de kosten van alle activiteiten. De profit sharing voor netverliezen en lekverliezen wordt daarbij afzondelijk berekend.</t>
  </si>
  <si>
    <t>Bedragen over geheel jaar</t>
  </si>
  <si>
    <t>In deze bedragen is al rekening gehouden met de vaststelling van distributietarieven in 2018 over 9 maanden, er moet nog wel gecorrigeerd worden voor prijspeil.</t>
  </si>
  <si>
    <t>Geschat volume 2018 (destijds gelijk gesteld aan gerealiseerd volume over 2016)</t>
  </si>
  <si>
    <t>Bedrag nu op te tellen bij oorspronkelijke schatting voor kapitaalkosten 2018</t>
  </si>
  <si>
    <t>Analyses gederfde subsidie-inkomsten E en DW</t>
  </si>
  <si>
    <t>Enkele parameters en gegevens die de ACM nodig heeft in de berekeningen in dit bestand.</t>
  </si>
  <si>
    <t>Geschatte kosten per eenheid output</t>
  </si>
  <si>
    <t>Berekening bijgestelde geschatte kosten 2018 (o.b.v. gerealiseerd volume 2018)</t>
  </si>
  <si>
    <t xml:space="preserve">Bij het inkoopmix-effect wordt uitsluitend gecorrigeerd voor gewijzigde volumes t.a.v. eigen productie en ingekochte elektriciteit. Feitelijk wordt gecorrigeerd voor de afwijking in de schatting door ACM t.o.v. de werkelijk gerealiseerde eilandvraag en productieniveau's. </t>
  </si>
  <si>
    <t>Over 2018 moet nog wel rekening gehouden worden met de periode van regulering van de distributietarieven, namelijk 1 april - 31 dec 2018 (9 maanden). De aanname hierbij is dat kosten, winsten en volumes (ook van net-/lekverliezen) gelijkmatig over het jaar verdeeld zijn.</t>
  </si>
  <si>
    <t>OPEX bestand over 2018</t>
  </si>
  <si>
    <t>RAB bestand over 2018</t>
  </si>
  <si>
    <t>In deze berekening wordt de profit sharing, inclusief volumecorrecties, uitgevoerd over de verschillen tussen geschatte en gerealiseerde kosten voor het jaar 2018.</t>
  </si>
  <si>
    <t>De modelkeuzes zijn gebaseerd op het methodebesluit voor Caribisch Nederland voor de periode 2020-2025.</t>
  </si>
  <si>
    <t>Kosten productie drinkwater via GE</t>
  </si>
  <si>
    <t>Percentage variabele kapitaalkosten: RAB ultimo 2016</t>
  </si>
  <si>
    <t>Percentages variabele kosten in reguliere kosten 2016</t>
  </si>
  <si>
    <t>Percentage variabele operationele kosten van totale netto OPEX</t>
  </si>
  <si>
    <t>Tarievenvoorstel WEB 2020</t>
  </si>
  <si>
    <t xml:space="preserve">In de tariefberekening voor 2019 is een herberekening van de RAB ultimo 2017 gedaan. Hieruit bleek dat dat de vergoedingen voor de RAB in tarieven 2016 en tarieven 2017 iets te laag zijn geweest. </t>
  </si>
  <si>
    <t>Additionele kosten zoals meegenomen in tariefmodel 2018</t>
  </si>
  <si>
    <t>(negatief bedrag = WEB heeft gunstigere inkoop gerealiseerd dan wat vooraf geschat was. Dit bedrag wordt opgeteld bij tariefruimte voor 2020, nog corrigeren voor prijspeil)</t>
  </si>
  <si>
    <t>Productieprijs drinkwater 2018</t>
  </si>
  <si>
    <t>Het gerealiseerde volume voor drinkwater, betreft de totale hoeveelheid gedistribueerd drinkwater (incl. deel dat bij GE-plant ingekocht / geproduceerd wordt).</t>
  </si>
  <si>
    <t>Interpretatie: dit is wat de werkelijke kosten waren voor het gerealiseerde volume</t>
  </si>
  <si>
    <t>Interpretatie: dit is wat WEB vergoed heeft gekregen voor het gerealiseerde volume</t>
  </si>
  <si>
    <t>NB: geschatte volumes bevatten géén stijging/groei i.v.m. additionele investeringen zoals geraamd voor tarieven 2018 (die kosten worden beschouwd als geheel vast)</t>
  </si>
  <si>
    <t>Productieprijs drinkwater omvat ook inkoop bij / productie via GE</t>
  </si>
  <si>
    <t>Bedrag profit sharing</t>
  </si>
  <si>
    <t>Hieronder zijn de kostengegevens opgenomen uit het tarievenmodel 2018 die de ACM heeft gehanteerd voor het vaststellen van de tarieven voor 2018. Deze kosten gegevens betreffen de 'reguliere' kosten (gebaseerd op gerealiseerde kosten over 2016), en verwachte kosten voor additionele ontwikkelingen.</t>
  </si>
  <si>
    <t>Nieuw op dit tabblad zijn de toegevoegde gegevens die de ACM gebruikt voor het splitsen van de kostenschatting voor 2018 in een vast en een variabel deel. Dit bestaat uit percentages t.b.v. toerekening; die toerekening is voor de overzichtelijkheid ook opgenomen op dit tabblad.</t>
  </si>
  <si>
    <t>De percentages die ACM hier heeft opgenomen zijn gebaseerd op een analyse op de kosten van 2018, en maken tevens onderdeel uit van het tariefvoorstel door WEB. De onderliggende aanname hierbij is dat de percentages variabele kosten in 2016 niet veel zullen afwijken van die in 2018.</t>
  </si>
  <si>
    <t>De analyse van gederfde subsidie-inkomsten is verricht op basis van opgegeven volumes en tariefverschillen in een afzonderlijk bestand. Deze bestanden maken onderdeel uit van het door WEB ingediende tarievenvoorstel voor 2020. ACM heeft deze bestanden beoordeeld en goedgekeurd.</t>
  </si>
  <si>
    <t>Drinkwater productie</t>
  </si>
  <si>
    <t>Drinkwater distributie</t>
  </si>
  <si>
    <t>Elektriciteit productie</t>
  </si>
  <si>
    <t>Elektriciteit distributie</t>
  </si>
  <si>
    <t>Positief bedrag betekent: WEB heeft subsidie-inkomsten misgelopen, bedragen worden opgeteld bij volumecorrectie (NB: deze bedragen betreffen al periode van 1 april - 31 dec)</t>
  </si>
  <si>
    <t>Ook hier wordt gerekend vanaf vastgestelde variabele gebruikstarief per 1 april 2018.</t>
  </si>
  <si>
    <t>Resultaten volumecorrectie en profit sharing</t>
  </si>
  <si>
    <t>Bestanden zoals opgenomen in tarievenvoorstel WEB</t>
  </si>
  <si>
    <t>Voor distributie wordt gerekend vanaf vastgestelde variabele gebruikstarief per 1 april 2018.</t>
  </si>
  <si>
    <t>toegezonden aan ACM op 30 sept 2019</t>
  </si>
  <si>
    <t>Percentage variabele kapitaalkosten: Afschrijvingen 2016</t>
  </si>
  <si>
    <t>Variabele deel kosten 2018 (inschatting) - o.b.v. kostenbasis 2016</t>
  </si>
  <si>
    <t>Vast deel kosten 2018 (inschatting) - o.b.v. kostenbasis 2016</t>
  </si>
  <si>
    <t>Hieronder zijn de kosten- en volumerealisatie opgenomen over 2018, zoals WEB die heeft opgegeven in de zomer van 2019. Deze gegevens zijn gebaseerd op een afzonderlijke berekening van de OPEX, RAB en de volumes.</t>
  </si>
  <si>
    <t>ACM heeft tevens de gegevens opgenomen over een correctie die is opgenomen in de tarieven van 2019. Deze correctie betreft een gewijzigde vaststelling van de RAB, en is ook relevant voor de berekening van de kosten over 2018.</t>
  </si>
  <si>
    <t>Daarnaast betrekt de ACM gegevens over de gederfde subsidie-inkomsten van WEB over 2018.</t>
  </si>
  <si>
    <t>Dit is gecorrigeerd in de tarieven voor 2019, de correctie die we destijds over RAB ultimo 2016 hebben berekend nemen we nu dus ook mee in de profit sharing (want vormt een deel van het verschil tussen schatting en realisatie, dat al vergoed is).</t>
  </si>
  <si>
    <t>Echter, door in dit bestand voor zowel de schatting als de realisatie de juiste WACC te gebruiken, heeft dit geen invloed meer op de profit sharing over 2018.</t>
  </si>
  <si>
    <t>Geschatte variabele kosten (kapitaalkosten + OPEX)</t>
  </si>
  <si>
    <t>NB: volume productie elektriciteit is excl. inkoop bij CGB, productie drinkwater is incl. productie via GE.</t>
  </si>
  <si>
    <t>Bedragen volumecorrectie per activiteit</t>
  </si>
  <si>
    <t>Bedragen profit sharing per activiteit</t>
  </si>
  <si>
    <t>Bedrag profit sharing 2018 over alle gerealiseerde kosten (excl. netverliezen)</t>
  </si>
  <si>
    <t>Bedrag profit sharing 2018 over netverliezen / lekverliezen</t>
  </si>
  <si>
    <t>Gerealiseerde inkoop elektriciteit door WEB bij CGB (heel 2018)</t>
  </si>
  <si>
    <t>Gerealiseerd volume inkoop elektriciteit bij CGB (april - dec 2018)</t>
  </si>
  <si>
    <t>Gerealiseerd volume productie elektriciteit WEB (april - dec 2018)</t>
  </si>
  <si>
    <t>Gerealiseerde inkoop elektriciteit door WEB bij CGB (april - dec 2018)</t>
  </si>
  <si>
    <t>Op basis van brandstofmodel WEB voor tarieven 2020</t>
  </si>
  <si>
    <t>Totaal gerealiseerd volume (april - dec 2018)</t>
  </si>
  <si>
    <t>Gerealiseerde inkoopkosten 'WEB distributeur' (excl. brandstofdeel) (april - dec 2018)</t>
  </si>
  <si>
    <t>Berekend over 9 maanden, i.v.m. vaststellen distributietarief per 1 april 2018</t>
  </si>
  <si>
    <t xml:space="preserve">Hieronder zijn de correctiebedragen opgenomen die de ACM betrekt bij het vastellen van de tarieven voor 2020. </t>
  </si>
  <si>
    <t>Brandstofmodel WEB voor tarieven 2020</t>
  </si>
  <si>
    <t>Tarievenvoorstel WEB voor 2020</t>
  </si>
  <si>
    <t>Rekenmodel tarieven WEB 2019, tabblad correcties</t>
  </si>
  <si>
    <t>Onderstaande split van de additionele kapitaalkosten in een vast en variabel deel, gaat uit van 100% 'vaste' kapitaalkosten, aangezien er in het tarievenbesluit voor 2018 geen volumegroei is gekoppeld aan deze extra kosten.</t>
  </si>
  <si>
    <t>Bij de correctie voor het inkoopmix-effect houdt ACM eenmalig rekening met ingang van dit effect per 1 april 2018. NB: deze keuze staat los van de berekening van het inkoopmix-effect over 2017 in de tarieven voor 2019.</t>
  </si>
  <si>
    <t>Deel productieprijs exclusief brandstofcomponent voor WEB 2018</t>
  </si>
  <si>
    <t>Deel productieprijs exclusief brandstofcomponent voor CGB 2018</t>
  </si>
  <si>
    <t>De CPI ontwikkeling tussen Q3 jaar T en Q3 jaar T-1 wordt gebruikt als de geschatte inflatie voor jaar T+1. De geschatte inflatie wordt afgerond op één decimaal.</t>
  </si>
  <si>
    <t>Vanaf de ontwikkeling tussen Q3 2017 en Q3 2018 maken we gebruik van de 2017 = 100 reeks. Hiervoor werd gebruik gemaakt van de reeks 2010 = 100.</t>
  </si>
  <si>
    <t>Rekenmodel bij beschikking productieprijs elektriciteit 2018 ContourGlobal</t>
  </si>
  <si>
    <t>Rekenmodel bij aanpassing variabel tarief elektriciteit 1 juli 2018 Bonaire WEB</t>
  </si>
  <si>
    <t>Calculating the WACC for energy and water companies in the Caribbean Netherlands</t>
  </si>
  <si>
    <t>Rekenmodel WEB 2019</t>
  </si>
  <si>
    <t>https://www.acm.nl/nl/publicaties/rekenmodel-bij-beschikking-productieprijs-elektriciteit-2018-contourglobal-caribisch-nederland</t>
  </si>
  <si>
    <t>https://www.acm.nl/nl/publicaties/rekenmodel-bij-aanpassing-variabel-tarief-elektriciteit-1-juli-2018-bonaire-web-caribisch-nederland</t>
  </si>
  <si>
    <t>https://opendata.cbs.nl/statline/#/CBS/nl/dataset/81122NED/table?fromstatweb</t>
  </si>
  <si>
    <t>https://www.acm.nl/sites/default/files/old_publication/publicaties/16601_wacc-determination-caribbean-netherlands.pdf</t>
  </si>
  <si>
    <t>https://www.acm.nl/sites/default/files/documents/2018-12/rekenmodel-web-2019.xlsx</t>
  </si>
  <si>
    <t>ACM/17/023188</t>
  </si>
  <si>
    <t>ACM/18/033306</t>
  </si>
  <si>
    <t>ACM/DE/2016/206939</t>
  </si>
  <si>
    <t>OPEX-berekening WEB over 2018</t>
  </si>
  <si>
    <t>RAB-berekening WEB ultimo 2018</t>
  </si>
  <si>
    <t>Gebaseerd op finale versie</t>
  </si>
  <si>
    <t>Gegevens bestand extern / zaaknummer of kenmerk</t>
  </si>
  <si>
    <t>OPEX en RAB modellen, tarievenmodellen</t>
  </si>
  <si>
    <t>tarievenbesluiten WEB voor 2020</t>
  </si>
  <si>
    <t>Overzicht besluiten en kenmerken tarievenbesluiten WEB 2020</t>
  </si>
  <si>
    <t>Besluit</t>
  </si>
  <si>
    <t>Kenmerk besluit</t>
  </si>
  <si>
    <t>Productieprijs elektriciteit WEB 2020</t>
  </si>
  <si>
    <t>ACM/19/035835</t>
  </si>
  <si>
    <t>ACM/UIT/523266</t>
  </si>
  <si>
    <t>Productieprijs drinkwater WEB 2020</t>
  </si>
  <si>
    <t>ACM/UIT/523270</t>
  </si>
  <si>
    <t>Gebruikstarieven elektriciteit WEB 2020</t>
  </si>
  <si>
    <t>ACM/UIT/523271</t>
  </si>
  <si>
    <t>Gebruikstarieven drinkwater WEB 2020</t>
  </si>
  <si>
    <t>ACM/UIT/523273</t>
  </si>
  <si>
    <t>zie onder</t>
  </si>
  <si>
    <t>Beantwoording informatieverzoek door WEB</t>
  </si>
  <si>
    <t>Opgave door ContourGlobal (eerste dataverzoek)</t>
  </si>
  <si>
    <t>We tellen de correctie zoals gedaan voor tarieven 2019 op bij de schatting die we gemaakt hebben voor 2018 (dus op basis van RAB ultimo 2016). Dat leidt tot de RAB bepaling zoals we die zouden hebben gedaan als we voor tarieven 2018 het nieuwe verbeterde model hadden gebruikt.</t>
  </si>
  <si>
    <t>Ja</t>
  </si>
  <si>
    <t>Ja, in bovenstaande besluiten wordt in de bijlagen gerefereerd aan dit rekenbestand als integrale bijlage bij het besluit.</t>
  </si>
  <si>
    <t>Nee, in dit gepubliceerde bestand zijn bedrijfsvetrouwelijke gegevens verwijderd.</t>
  </si>
  <si>
    <t>Dit bestand is openbaar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</si>
</sst>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_ ;_ * \-#,##0_ ;_ * &quot;-&quot;??_ ;_ @_ "/>
    <numFmt numFmtId="166" formatCode="_ * #,##0.0000_ ;_ * \-#,##0.0000_ ;_ * &quot;-&quot;??_ ;_ @_ "/>
    <numFmt numFmtId="167" formatCode="_ * #,##0.00000_ ;_ * \-#,##0.00000_ ;_ * &quot;-&quot;??_ ;_ @_ "/>
    <numFmt numFmtId="168" formatCode="_ * #,##0.0000_ ;_ * \-#,##0.000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i/>
      <sz val="10"/>
      <color rgb="FFFF33CC"/>
      <name val="Arial"/>
      <family val="2"/>
    </font>
    <font>
      <i/>
      <sz val="10"/>
      <color rgb="FFFF000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3" fontId="5" fillId="13" borderId="0">
      <alignment vertical="top"/>
    </xf>
    <xf numFmtId="43" fontId="5" fillId="12" borderId="0">
      <alignment vertical="top"/>
    </xf>
    <xf numFmtId="43" fontId="5" fillId="10" borderId="0">
      <alignment vertical="top"/>
    </xf>
    <xf numFmtId="43" fontId="5" fillId="47" borderId="0">
      <alignment vertical="top"/>
    </xf>
    <xf numFmtId="43" fontId="5" fillId="8" borderId="0">
      <alignment vertical="top"/>
    </xf>
    <xf numFmtId="43"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3" fontId="5" fillId="46" borderId="0">
      <alignment vertical="top"/>
    </xf>
  </cellStyleXfs>
  <cellXfs count="93">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3" fontId="5" fillId="13" borderId="0" xfId="8">
      <alignment vertical="top"/>
    </xf>
    <xf numFmtId="0" fontId="7" fillId="12" borderId="0" xfId="4" applyFont="1" applyFill="1">
      <alignment vertical="top"/>
    </xf>
    <xf numFmtId="9" fontId="5" fillId="0" borderId="0" xfId="4" applyNumberFormat="1">
      <alignment vertical="top"/>
    </xf>
    <xf numFmtId="43" fontId="5" fillId="12" borderId="0" xfId="63" applyFill="1">
      <alignment vertical="top"/>
    </xf>
    <xf numFmtId="43" fontId="5" fillId="14" borderId="0" xfId="63" applyFill="1">
      <alignment vertical="top"/>
    </xf>
    <xf numFmtId="43" fontId="5" fillId="10" borderId="0" xfId="10">
      <alignment vertical="top"/>
    </xf>
    <xf numFmtId="43" fontId="5" fillId="8" borderId="0" xfId="12">
      <alignment vertical="top"/>
    </xf>
    <xf numFmtId="43" fontId="5" fillId="47" borderId="0" xfId="11">
      <alignment vertical="top"/>
    </xf>
    <xf numFmtId="43"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3" fontId="5" fillId="46" borderId="0" xfId="65">
      <alignment vertical="top"/>
    </xf>
    <xf numFmtId="49" fontId="22" fillId="0" borderId="0" xfId="61" applyAlignment="1">
      <alignment vertical="top"/>
    </xf>
    <xf numFmtId="49" fontId="6" fillId="20" borderId="1" xfId="6" applyAlignment="1">
      <alignment vertical="top" wrapText="1"/>
    </xf>
    <xf numFmtId="43" fontId="5" fillId="12" borderId="0" xfId="9">
      <alignment vertical="top"/>
    </xf>
    <xf numFmtId="0" fontId="5" fillId="0" borderId="0" xfId="4" applyBorder="1" applyAlignment="1">
      <alignment vertical="top"/>
    </xf>
    <xf numFmtId="165" fontId="5" fillId="47" borderId="0" xfId="11" applyNumberFormat="1">
      <alignment vertical="top"/>
    </xf>
    <xf numFmtId="165" fontId="5" fillId="12" borderId="0" xfId="9" applyNumberFormat="1">
      <alignment vertical="top"/>
    </xf>
    <xf numFmtId="165" fontId="5" fillId="0" borderId="0" xfId="4" applyNumberFormat="1">
      <alignment vertical="top"/>
    </xf>
    <xf numFmtId="0" fontId="5" fillId="0" borderId="0" xfId="4" applyAlignment="1">
      <alignment horizontal="center" vertical="top"/>
    </xf>
    <xf numFmtId="166" fontId="5" fillId="47" borderId="0" xfId="11" applyNumberFormat="1">
      <alignment vertical="top"/>
    </xf>
    <xf numFmtId="10" fontId="5" fillId="14" borderId="0" xfId="13" applyNumberFormat="1">
      <alignment vertical="top"/>
    </xf>
    <xf numFmtId="10" fontId="5" fillId="14" borderId="0" xfId="64" applyFill="1">
      <alignment vertical="top"/>
    </xf>
    <xf numFmtId="164" fontId="5" fillId="14" borderId="0" xfId="64" applyNumberFormat="1" applyFill="1">
      <alignment vertical="top"/>
    </xf>
    <xf numFmtId="165" fontId="5" fillId="14" borderId="0" xfId="13" applyNumberFormat="1">
      <alignment vertical="top"/>
    </xf>
    <xf numFmtId="166" fontId="5" fillId="12" borderId="0" xfId="9" applyNumberFormat="1">
      <alignment vertical="top"/>
    </xf>
    <xf numFmtId="165" fontId="5" fillId="13" borderId="0" xfId="8" applyNumberFormat="1">
      <alignment vertical="top"/>
    </xf>
    <xf numFmtId="166" fontId="5" fillId="14" borderId="0" xfId="13" applyNumberFormat="1">
      <alignment vertical="top"/>
    </xf>
    <xf numFmtId="10" fontId="5" fillId="47" borderId="0" xfId="64" applyFill="1">
      <alignment vertical="top"/>
    </xf>
    <xf numFmtId="49" fontId="6" fillId="0" borderId="0" xfId="7" applyFont="1">
      <alignment vertical="top"/>
    </xf>
    <xf numFmtId="0" fontId="5" fillId="45" borderId="0" xfId="62" applyNumberFormat="1">
      <alignment vertical="top"/>
    </xf>
    <xf numFmtId="165" fontId="5" fillId="10" borderId="0" xfId="10" applyNumberFormat="1">
      <alignment vertical="top"/>
    </xf>
    <xf numFmtId="49" fontId="5" fillId="0" borderId="0" xfId="14" applyFont="1">
      <alignment vertical="top"/>
    </xf>
    <xf numFmtId="165" fontId="5" fillId="45" borderId="0" xfId="62" applyNumberFormat="1">
      <alignment vertical="top"/>
    </xf>
    <xf numFmtId="0" fontId="31" fillId="0" borderId="0" xfId="4" applyFont="1">
      <alignment vertical="top"/>
    </xf>
    <xf numFmtId="10" fontId="5" fillId="47" borderId="0" xfId="11" applyNumberFormat="1">
      <alignment vertical="top"/>
    </xf>
    <xf numFmtId="166" fontId="5" fillId="47" borderId="0" xfId="63" applyNumberFormat="1" applyFill="1">
      <alignment vertical="top"/>
    </xf>
    <xf numFmtId="0" fontId="5" fillId="0" borderId="0" xfId="4" applyFill="1" applyBorder="1">
      <alignment vertical="top"/>
    </xf>
    <xf numFmtId="43" fontId="5" fillId="0" borderId="0" xfId="11" applyFill="1" applyBorder="1">
      <alignment vertical="top"/>
    </xf>
    <xf numFmtId="165" fontId="5" fillId="12" borderId="0" xfId="11" applyNumberFormat="1" applyFill="1">
      <alignment vertical="top"/>
    </xf>
    <xf numFmtId="165" fontId="5" fillId="14" borderId="0" xfId="63" applyNumberFormat="1" applyFill="1">
      <alignment vertical="top"/>
    </xf>
    <xf numFmtId="165" fontId="5" fillId="10" borderId="0" xfId="63" applyNumberFormat="1" applyFill="1">
      <alignment vertical="top"/>
    </xf>
    <xf numFmtId="165" fontId="5" fillId="47" borderId="0" xfId="63" applyNumberFormat="1" applyFill="1">
      <alignment vertical="top"/>
    </xf>
    <xf numFmtId="49" fontId="15" fillId="0" borderId="0" xfId="14" applyFont="1">
      <alignment vertical="top"/>
    </xf>
    <xf numFmtId="49" fontId="32" fillId="0" borderId="0" xfId="15" applyFont="1">
      <alignment vertical="top"/>
    </xf>
    <xf numFmtId="165" fontId="5" fillId="0" borderId="0" xfId="63" applyNumberFormat="1" applyFill="1">
      <alignment vertical="top"/>
    </xf>
    <xf numFmtId="9" fontId="5" fillId="47" borderId="0" xfId="64" applyNumberFormat="1" applyFill="1">
      <alignment vertical="top"/>
    </xf>
    <xf numFmtId="43" fontId="5" fillId="0" borderId="0" xfId="4" applyNumberFormat="1">
      <alignment vertical="top"/>
    </xf>
    <xf numFmtId="9" fontId="5" fillId="10" borderId="0" xfId="64" applyNumberFormat="1" applyFill="1">
      <alignment vertical="top"/>
    </xf>
    <xf numFmtId="167" fontId="5" fillId="0" borderId="0" xfId="4" applyNumberFormat="1">
      <alignment vertical="top"/>
    </xf>
    <xf numFmtId="165" fontId="5" fillId="45" borderId="0" xfId="63" applyNumberFormat="1" applyFill="1">
      <alignment vertical="top"/>
    </xf>
    <xf numFmtId="43" fontId="5" fillId="0" borderId="0" xfId="63" applyFill="1">
      <alignment vertical="top"/>
    </xf>
    <xf numFmtId="168" fontId="5" fillId="0" borderId="0" xfId="4" applyNumberFormat="1">
      <alignment vertical="top"/>
    </xf>
    <xf numFmtId="0" fontId="5" fillId="0" borderId="0" xfId="4" applyBorder="1">
      <alignment vertical="top"/>
    </xf>
    <xf numFmtId="49" fontId="22" fillId="0" borderId="2" xfId="61" applyBorder="1" applyAlignment="1">
      <alignment vertical="top"/>
    </xf>
    <xf numFmtId="0" fontId="6" fillId="0" borderId="2" xfId="4" applyFont="1" applyBorder="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6">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65"/>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Standaard" xfId="0" builtinId="0" customBuiltin="1"/>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33CC"/>
      <color rgb="FFE1FFE1"/>
      <color rgb="FFFF66FF"/>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rekenmodel-bij-beschikking-productieprijs-elektriciteit-2018-contourglobal-caribisch-nederland" TargetMode="External"/><Relationship Id="rId7" Type="http://schemas.openxmlformats.org/officeDocument/2006/relationships/printerSettings" Target="../printerSettings/printerSettings3.bin"/><Relationship Id="rId2" Type="http://schemas.openxmlformats.org/officeDocument/2006/relationships/hyperlink" Target="https://www.acm.nl/nl/publicaties/rekenmodel-bij-aanpassing-variabel-tarief-elektriciteit-1-juli-2018-bonaire-web-caribisch-nederland" TargetMode="External"/><Relationship Id="rId1" Type="http://schemas.openxmlformats.org/officeDocument/2006/relationships/hyperlink" Target="https://www.acm.nl/nl/publicaties/rekenmodel-bij-beschikking-productieprijs-en-distributietarieven-elektriciteit-2018-bonaire-web-caribisch-nederland" TargetMode="External"/><Relationship Id="rId6" Type="http://schemas.openxmlformats.org/officeDocument/2006/relationships/hyperlink" Target="https://www.acm.nl/sites/default/files/documents/2018-12/rekenmodel-web-2019.xlsx" TargetMode="External"/><Relationship Id="rId5" Type="http://schemas.openxmlformats.org/officeDocument/2006/relationships/hyperlink" Target="https://www.acm.nl/sites/default/files/old_publication/publicaties/16601_wacc-determination-caribbean-netherlands.pdf" TargetMode="External"/><Relationship Id="rId4" Type="http://schemas.openxmlformats.org/officeDocument/2006/relationships/hyperlink" Target="https://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49"/>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4" width="25.5703125" style="2" customWidth="1"/>
    <col min="5" max="16384" width="9.140625" style="2"/>
  </cols>
  <sheetData>
    <row r="2" spans="2:3" s="8" customFormat="1" ht="18" x14ac:dyDescent="0.2">
      <c r="B2" s="8" t="s">
        <v>0</v>
      </c>
    </row>
    <row r="6" spans="2:3" x14ac:dyDescent="0.2">
      <c r="B6" s="3"/>
    </row>
    <row r="13" spans="2:3" s="9" customFormat="1" x14ac:dyDescent="0.2">
      <c r="B13" s="9" t="s">
        <v>1</v>
      </c>
    </row>
    <row r="14" spans="2:3" s="10" customFormat="1" x14ac:dyDescent="0.2"/>
    <row r="15" spans="2:3" x14ac:dyDescent="0.2">
      <c r="B15" s="11" t="s">
        <v>2</v>
      </c>
      <c r="C15" s="7" t="s">
        <v>341</v>
      </c>
    </row>
    <row r="16" spans="2:3" x14ac:dyDescent="0.2">
      <c r="B16" s="11" t="s">
        <v>3</v>
      </c>
      <c r="C16" s="12" t="s">
        <v>175</v>
      </c>
    </row>
    <row r="17" spans="2:4" x14ac:dyDescent="0.2">
      <c r="B17" s="11" t="s">
        <v>4</v>
      </c>
      <c r="C17" s="12" t="s">
        <v>336</v>
      </c>
    </row>
    <row r="18" spans="2:4" x14ac:dyDescent="0.2">
      <c r="B18" s="11" t="s">
        <v>5</v>
      </c>
      <c r="C18" s="12" t="s">
        <v>349</v>
      </c>
    </row>
    <row r="19" spans="2:4" x14ac:dyDescent="0.2">
      <c r="B19" s="11" t="s">
        <v>6</v>
      </c>
      <c r="C19" s="12" t="s">
        <v>335</v>
      </c>
    </row>
    <row r="20" spans="2:4" x14ac:dyDescent="0.2">
      <c r="B20" s="11" t="s">
        <v>7</v>
      </c>
      <c r="C20" s="12"/>
    </row>
    <row r="23" spans="2:4" x14ac:dyDescent="0.2">
      <c r="B23" s="1" t="s">
        <v>337</v>
      </c>
    </row>
    <row r="25" spans="2:4" x14ac:dyDescent="0.2">
      <c r="B25" s="90" t="s">
        <v>338</v>
      </c>
      <c r="C25" s="90" t="s">
        <v>2</v>
      </c>
      <c r="D25" s="90" t="s">
        <v>339</v>
      </c>
    </row>
    <row r="26" spans="2:4" x14ac:dyDescent="0.2">
      <c r="B26" s="7" t="s">
        <v>340</v>
      </c>
      <c r="C26" s="7" t="s">
        <v>341</v>
      </c>
      <c r="D26" s="7" t="s">
        <v>342</v>
      </c>
    </row>
    <row r="27" spans="2:4" x14ac:dyDescent="0.2">
      <c r="B27" s="7" t="s">
        <v>343</v>
      </c>
      <c r="C27" s="7" t="s">
        <v>341</v>
      </c>
      <c r="D27" s="7" t="s">
        <v>344</v>
      </c>
    </row>
    <row r="28" spans="2:4" x14ac:dyDescent="0.2">
      <c r="B28" s="7" t="s">
        <v>345</v>
      </c>
      <c r="C28" s="7" t="s">
        <v>341</v>
      </c>
      <c r="D28" s="7" t="s">
        <v>346</v>
      </c>
    </row>
    <row r="29" spans="2:4" x14ac:dyDescent="0.2">
      <c r="B29" s="7" t="s">
        <v>347</v>
      </c>
      <c r="C29" s="7" t="s">
        <v>341</v>
      </c>
      <c r="D29" s="7" t="s">
        <v>348</v>
      </c>
    </row>
    <row r="32" spans="2:4" s="9" customFormat="1" x14ac:dyDescent="0.2">
      <c r="B32" s="9" t="s">
        <v>8</v>
      </c>
    </row>
    <row r="34" spans="2:4" x14ac:dyDescent="0.2">
      <c r="B34" s="1" t="s">
        <v>356</v>
      </c>
    </row>
    <row r="36" spans="2:4" x14ac:dyDescent="0.2">
      <c r="B36" s="11" t="s">
        <v>9</v>
      </c>
      <c r="C36" s="12" t="s">
        <v>353</v>
      </c>
    </row>
    <row r="37" spans="2:4" x14ac:dyDescent="0.2">
      <c r="B37" s="45" t="s">
        <v>59</v>
      </c>
      <c r="C37" s="12" t="s">
        <v>353</v>
      </c>
    </row>
    <row r="38" spans="2:4" ht="25.5" x14ac:dyDescent="0.2">
      <c r="B38" s="11" t="s">
        <v>10</v>
      </c>
      <c r="C38" s="12" t="s">
        <v>354</v>
      </c>
    </row>
    <row r="39" spans="2:4" x14ac:dyDescent="0.2">
      <c r="B39" s="34" t="s">
        <v>57</v>
      </c>
      <c r="C39" s="12" t="s">
        <v>355</v>
      </c>
    </row>
    <row r="40" spans="2:4" x14ac:dyDescent="0.2">
      <c r="B40" s="11" t="s">
        <v>7</v>
      </c>
      <c r="C40" s="12"/>
    </row>
    <row r="42" spans="2:4" x14ac:dyDescent="0.2">
      <c r="B42" s="91" t="s">
        <v>58</v>
      </c>
      <c r="C42" s="92"/>
      <c r="D42" s="6"/>
    </row>
    <row r="43" spans="2:4" x14ac:dyDescent="0.2">
      <c r="B43" s="30"/>
      <c r="C43" s="30"/>
      <c r="D43" s="6"/>
    </row>
    <row r="49" spans="2:2" x14ac:dyDescent="0.2">
      <c r="B49" s="2" t="s">
        <v>145</v>
      </c>
    </row>
  </sheetData>
  <mergeCells count="1">
    <mergeCell ref="B42:C42"/>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T95"/>
  <sheetViews>
    <sheetView showGridLines="0" zoomScale="85" zoomScaleNormal="85" workbookViewId="0">
      <pane xSplit="6" ySplit="9" topLeftCell="G10" activePane="bottomRight" state="frozen"/>
      <selection activeCell="K45" sqref="K45"/>
      <selection pane="topRight" activeCell="K45" sqref="K45"/>
      <selection pane="bottomLeft" activeCell="K45" sqref="K45"/>
      <selection pane="bottomRight" activeCell="G10" sqref="G10"/>
    </sheetView>
  </sheetViews>
  <sheetFormatPr defaultRowHeight="12.75" x14ac:dyDescent="0.2"/>
  <cols>
    <col min="1" max="1" width="4.7109375" style="2" customWidth="1"/>
    <col min="2" max="2" width="65.85546875" style="2" customWidth="1"/>
    <col min="3" max="3" width="4.7109375" style="2" customWidth="1"/>
    <col min="4" max="5" width="4.5703125" style="2" customWidth="1"/>
    <col min="6" max="6" width="18.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7.7109375" style="2" customWidth="1"/>
    <col min="17" max="19" width="2.7109375" style="2" customWidth="1"/>
    <col min="20" max="34" width="13.7109375" style="2" customWidth="1"/>
    <col min="35" max="16384" width="9.140625" style="2"/>
  </cols>
  <sheetData>
    <row r="2" spans="2:20" s="22" customFormat="1" ht="18" x14ac:dyDescent="0.2">
      <c r="B2" s="22" t="s">
        <v>138</v>
      </c>
    </row>
    <row r="4" spans="2:20" x14ac:dyDescent="0.2">
      <c r="B4" s="32" t="s">
        <v>50</v>
      </c>
      <c r="C4" s="1"/>
      <c r="D4" s="1"/>
      <c r="L4"/>
    </row>
    <row r="5" spans="2:20" x14ac:dyDescent="0.2">
      <c r="B5" s="27" t="s">
        <v>168</v>
      </c>
      <c r="C5" s="3"/>
      <c r="D5" s="3"/>
      <c r="H5" s="23"/>
    </row>
    <row r="6" spans="2:20" x14ac:dyDescent="0.2">
      <c r="B6" s="69"/>
      <c r="C6" s="3"/>
      <c r="D6" s="3"/>
      <c r="H6" s="23"/>
    </row>
    <row r="8" spans="2:20" s="9" customFormat="1" ht="25.5" x14ac:dyDescent="0.2">
      <c r="B8" s="9" t="s">
        <v>41</v>
      </c>
      <c r="F8" s="9" t="s">
        <v>23</v>
      </c>
      <c r="H8" s="9" t="s">
        <v>24</v>
      </c>
      <c r="J8" s="9" t="s">
        <v>45</v>
      </c>
      <c r="L8" s="48" t="s">
        <v>279</v>
      </c>
      <c r="M8" s="48" t="s">
        <v>280</v>
      </c>
      <c r="N8" s="48" t="s">
        <v>277</v>
      </c>
      <c r="O8" s="48" t="s">
        <v>278</v>
      </c>
      <c r="P8" s="48" t="s">
        <v>66</v>
      </c>
      <c r="T8" s="9" t="s">
        <v>43</v>
      </c>
    </row>
    <row r="11" spans="2:20" s="9" customFormat="1" x14ac:dyDescent="0.2">
      <c r="B11" s="9" t="s">
        <v>139</v>
      </c>
    </row>
    <row r="13" spans="2:20" x14ac:dyDescent="0.2">
      <c r="B13" s="32" t="s">
        <v>110</v>
      </c>
    </row>
    <row r="14" spans="2:20" x14ac:dyDescent="0.2">
      <c r="B14" s="2" t="s">
        <v>74</v>
      </c>
      <c r="F14" s="2" t="s">
        <v>70</v>
      </c>
      <c r="H14" s="56">
        <f>'Overige gegevens'!H23</f>
        <v>6.6600000000000006E-2</v>
      </c>
    </row>
    <row r="15" spans="2:20" x14ac:dyDescent="0.2">
      <c r="B15" s="2" t="s">
        <v>72</v>
      </c>
      <c r="F15" s="2" t="s">
        <v>70</v>
      </c>
      <c r="H15" s="58">
        <f>'Overige gegevens'!H17</f>
        <v>6.0000000000000001E-3</v>
      </c>
    </row>
    <row r="16" spans="2:20" x14ac:dyDescent="0.2">
      <c r="B16" s="2" t="s">
        <v>73</v>
      </c>
      <c r="F16" s="2" t="s">
        <v>70</v>
      </c>
      <c r="H16" s="58">
        <f>'Overige gegevens'!H18</f>
        <v>6.0000000000000001E-3</v>
      </c>
    </row>
    <row r="19" spans="2:20" s="9" customFormat="1" x14ac:dyDescent="0.2">
      <c r="B19" s="9" t="s">
        <v>126</v>
      </c>
    </row>
    <row r="21" spans="2:20" x14ac:dyDescent="0.2">
      <c r="B21" s="1" t="s">
        <v>288</v>
      </c>
      <c r="J21" s="53"/>
    </row>
    <row r="22" spans="2:20" x14ac:dyDescent="0.2">
      <c r="B22" s="2" t="s">
        <v>90</v>
      </c>
      <c r="F22" s="2" t="s">
        <v>97</v>
      </c>
      <c r="J22" s="52">
        <f>SUM(L22:P22)</f>
        <v>20523968.099364717</v>
      </c>
      <c r="L22" s="59">
        <f>'Schatting kosten 2018'!L48</f>
        <v>0</v>
      </c>
      <c r="M22" s="59">
        <f>'Schatting kosten 2018'!M48</f>
        <v>15653104.19108451</v>
      </c>
      <c r="N22" s="59">
        <f>'Schatting kosten 2018'!N48</f>
        <v>0</v>
      </c>
      <c r="O22" s="59">
        <f>'Schatting kosten 2018'!O48</f>
        <v>4827520.7185451798</v>
      </c>
      <c r="P22" s="59">
        <f>'Schatting kosten 2018'!P48</f>
        <v>43343.189735030312</v>
      </c>
    </row>
    <row r="23" spans="2:20" x14ac:dyDescent="0.2">
      <c r="B23" s="2" t="s">
        <v>80</v>
      </c>
      <c r="F23" s="2" t="s">
        <v>97</v>
      </c>
      <c r="J23" s="52">
        <f>SUM(L23:P23)</f>
        <v>1771494.5430307367</v>
      </c>
      <c r="L23" s="59">
        <f>'Schatting kosten 2018'!L49</f>
        <v>0</v>
      </c>
      <c r="M23" s="59">
        <f>'Schatting kosten 2018'!M49</f>
        <v>1107806.4388784613</v>
      </c>
      <c r="N23" s="59">
        <f>'Schatting kosten 2018'!N49</f>
        <v>0</v>
      </c>
      <c r="O23" s="59">
        <f>'Schatting kosten 2018'!O49</f>
        <v>627068.81622097373</v>
      </c>
      <c r="P23" s="59">
        <f>'Schatting kosten 2018'!P49</f>
        <v>36619.287931301806</v>
      </c>
    </row>
    <row r="24" spans="2:20" x14ac:dyDescent="0.2">
      <c r="B24" s="2" t="s">
        <v>170</v>
      </c>
      <c r="F24" s="2" t="s">
        <v>97</v>
      </c>
      <c r="J24" s="52">
        <f>SUM(L24:P24)</f>
        <v>1875980.8855119748</v>
      </c>
      <c r="L24" s="59">
        <f>'Schatting kosten 2018'!L50</f>
        <v>54154.633607816555</v>
      </c>
      <c r="M24" s="59">
        <f>'Schatting kosten 2018'!M50</f>
        <v>754083.12649146095</v>
      </c>
      <c r="N24" s="59">
        <f>'Schatting kosten 2018'!N50</f>
        <v>375526.78146232804</v>
      </c>
      <c r="O24" s="59">
        <f>'Schatting kosten 2018'!O50</f>
        <v>680094.99195036932</v>
      </c>
      <c r="P24" s="59">
        <f>'Schatting kosten 2018'!P50</f>
        <v>12121.352000000001</v>
      </c>
    </row>
    <row r="25" spans="2:20" x14ac:dyDescent="0.2">
      <c r="J25" s="53"/>
    </row>
    <row r="26" spans="2:20" x14ac:dyDescent="0.2">
      <c r="B26" s="1" t="s">
        <v>289</v>
      </c>
    </row>
    <row r="27" spans="2:20" x14ac:dyDescent="0.2">
      <c r="B27" s="2" t="s">
        <v>90</v>
      </c>
      <c r="F27" s="2" t="s">
        <v>97</v>
      </c>
      <c r="J27" s="52">
        <f>SUM(L27:P27)</f>
        <v>25308133.465504501</v>
      </c>
      <c r="L27" s="59">
        <f>'Schatting kosten 2018'!L53</f>
        <v>1466641.7435765746</v>
      </c>
      <c r="M27" s="59">
        <f>'Schatting kosten 2018'!M53</f>
        <v>15653104.19108451</v>
      </c>
      <c r="N27" s="59">
        <f>'Schatting kosten 2018'!N53</f>
        <v>3317523.6225632094</v>
      </c>
      <c r="O27" s="59">
        <f>'Schatting kosten 2018'!O53</f>
        <v>4827520.7185451798</v>
      </c>
      <c r="P27" s="59">
        <f>'Schatting kosten 2018'!P53</f>
        <v>43343.189735030312</v>
      </c>
      <c r="T27" s="31"/>
    </row>
    <row r="28" spans="2:20" x14ac:dyDescent="0.2">
      <c r="B28" s="2" t="s">
        <v>80</v>
      </c>
      <c r="F28" s="2" t="s">
        <v>97</v>
      </c>
      <c r="J28" s="52">
        <f>SUM(L28:P28)</f>
        <v>2011603.4486192118</v>
      </c>
      <c r="L28" s="59">
        <f>'Schatting kosten 2018'!L54</f>
        <v>114247.96293013598</v>
      </c>
      <c r="M28" s="59">
        <f>'Schatting kosten 2018'!M54</f>
        <v>1107806.4388784613</v>
      </c>
      <c r="N28" s="59">
        <f>'Schatting kosten 2018'!N54</f>
        <v>125860.94265833905</v>
      </c>
      <c r="O28" s="59">
        <f>'Schatting kosten 2018'!O54</f>
        <v>627068.81622097373</v>
      </c>
      <c r="P28" s="59">
        <f>'Schatting kosten 2018'!P54</f>
        <v>36619.287931301806</v>
      </c>
    </row>
    <row r="29" spans="2:20" x14ac:dyDescent="0.2">
      <c r="B29" s="2" t="s">
        <v>170</v>
      </c>
      <c r="F29" s="2" t="s">
        <v>97</v>
      </c>
      <c r="J29" s="52">
        <f>SUM(L29:P29)</f>
        <v>11382849.469754025</v>
      </c>
      <c r="L29" s="59">
        <f>'Schatting kosten 2018'!L55</f>
        <v>622778.28648989042</v>
      </c>
      <c r="M29" s="59">
        <f>'Schatting kosten 2018'!M55</f>
        <v>5529942.9276040476</v>
      </c>
      <c r="N29" s="59">
        <f>'Schatting kosten 2018'!N55</f>
        <v>2461262.8798586093</v>
      </c>
      <c r="O29" s="59">
        <f>'Schatting kosten 2018'!O55</f>
        <v>2720379.9678014768</v>
      </c>
      <c r="P29" s="59">
        <f>'Schatting kosten 2018'!P55</f>
        <v>48485.408000000003</v>
      </c>
      <c r="T29" s="31"/>
    </row>
    <row r="30" spans="2:20" x14ac:dyDescent="0.2">
      <c r="J30" s="53"/>
    </row>
    <row r="31" spans="2:20" x14ac:dyDescent="0.2">
      <c r="B31" s="1" t="s">
        <v>264</v>
      </c>
    </row>
    <row r="32" spans="2:20" x14ac:dyDescent="0.2">
      <c r="B32" s="1"/>
    </row>
    <row r="33" spans="2:20" x14ac:dyDescent="0.2">
      <c r="B33" s="5" t="s">
        <v>133</v>
      </c>
      <c r="M33" s="82"/>
    </row>
    <row r="34" spans="2:20" x14ac:dyDescent="0.2">
      <c r="B34" s="2" t="s">
        <v>78</v>
      </c>
      <c r="F34" s="2" t="s">
        <v>98</v>
      </c>
      <c r="J34" s="52">
        <f>SUM(L34:P34)</f>
        <v>0</v>
      </c>
      <c r="L34" s="59">
        <f>'Schatting kosten 2018'!L60</f>
        <v>0</v>
      </c>
      <c r="M34" s="59">
        <f>'Schatting kosten 2018'!M60</f>
        <v>0</v>
      </c>
      <c r="N34" s="59">
        <f>'Schatting kosten 2018'!N60</f>
        <v>0</v>
      </c>
      <c r="O34" s="59">
        <f>'Schatting kosten 2018'!O60</f>
        <v>0</v>
      </c>
      <c r="P34" s="59">
        <f>'Schatting kosten 2018'!P60</f>
        <v>0</v>
      </c>
    </row>
    <row r="35" spans="2:20" x14ac:dyDescent="0.2">
      <c r="B35" s="2" t="s">
        <v>80</v>
      </c>
      <c r="F35" s="2" t="s">
        <v>98</v>
      </c>
      <c r="J35" s="52">
        <f>SUM(L35:P35)</f>
        <v>0</v>
      </c>
      <c r="L35" s="59">
        <f>'Schatting kosten 2018'!L61</f>
        <v>0</v>
      </c>
      <c r="M35" s="59">
        <f>'Schatting kosten 2018'!M61</f>
        <v>0</v>
      </c>
      <c r="N35" s="59">
        <f>'Schatting kosten 2018'!N61</f>
        <v>0</v>
      </c>
      <c r="O35" s="59">
        <f>'Schatting kosten 2018'!O61</f>
        <v>0</v>
      </c>
      <c r="P35" s="59">
        <f>'Schatting kosten 2018'!P61</f>
        <v>0</v>
      </c>
    </row>
    <row r="36" spans="2:20" x14ac:dyDescent="0.2">
      <c r="B36" s="2" t="s">
        <v>91</v>
      </c>
      <c r="F36" s="2" t="s">
        <v>98</v>
      </c>
      <c r="J36" s="52">
        <f>SUM(L36:P36)</f>
        <v>164156.859</v>
      </c>
      <c r="L36" s="59">
        <f>'Schatting kosten 2018'!L62</f>
        <v>164156.859</v>
      </c>
      <c r="M36" s="68"/>
      <c r="N36" s="68"/>
      <c r="O36" s="68"/>
      <c r="P36" s="68"/>
    </row>
    <row r="37" spans="2:20" x14ac:dyDescent="0.2">
      <c r="M37" s="82"/>
      <c r="O37" s="82"/>
    </row>
    <row r="38" spans="2:20" x14ac:dyDescent="0.2">
      <c r="B38" s="5" t="s">
        <v>132</v>
      </c>
    </row>
    <row r="39" spans="2:20" x14ac:dyDescent="0.2">
      <c r="B39" s="2" t="s">
        <v>78</v>
      </c>
      <c r="F39" s="2" t="s">
        <v>98</v>
      </c>
      <c r="J39" s="52">
        <f>SUM(L39:P39)</f>
        <v>1818048.527420009</v>
      </c>
      <c r="L39" s="59">
        <f>'Schatting kosten 2018'!L65</f>
        <v>59007.027061915724</v>
      </c>
      <c r="M39" s="59">
        <f>'Schatting kosten 2018'!M65</f>
        <v>1244592.5341184486</v>
      </c>
      <c r="N39" s="59">
        <f>'Schatting kosten 2018'!N65</f>
        <v>133473.09050249416</v>
      </c>
      <c r="O39" s="59">
        <f>'Schatting kosten 2018'!O65</f>
        <v>380975.87573715037</v>
      </c>
      <c r="P39" s="59">
        <f>'Schatting kosten 2018'!P65</f>
        <v>0</v>
      </c>
    </row>
    <row r="40" spans="2:20" x14ac:dyDescent="0.2">
      <c r="B40" s="2" t="s">
        <v>80</v>
      </c>
      <c r="F40" s="2" t="s">
        <v>98</v>
      </c>
      <c r="J40" s="52">
        <f>SUM(L40:P40)</f>
        <v>192063.7891289992</v>
      </c>
      <c r="L40" s="59">
        <f>'Schatting kosten 2018'!L66</f>
        <v>5907.9164229234102</v>
      </c>
      <c r="M40" s="59">
        <f>'Schatting kosten 2018'!M66</f>
        <v>114904.949057662</v>
      </c>
      <c r="N40" s="59">
        <f>'Schatting kosten 2018'!N66</f>
        <v>6508.4392847383069</v>
      </c>
      <c r="O40" s="59">
        <f>'Schatting kosten 2018'!O66</f>
        <v>64742.484363675474</v>
      </c>
      <c r="P40" s="59">
        <f>'Schatting kosten 2018'!P66</f>
        <v>0</v>
      </c>
    </row>
    <row r="41" spans="2:20" x14ac:dyDescent="0.2">
      <c r="B41" s="2" t="s">
        <v>91</v>
      </c>
      <c r="F41" s="2" t="s">
        <v>98</v>
      </c>
      <c r="J41" s="52">
        <f>SUM(L41:P41)</f>
        <v>1554259</v>
      </c>
      <c r="L41" s="59">
        <f>'Schatting kosten 2018'!L67</f>
        <v>1554259</v>
      </c>
      <c r="M41" s="68"/>
      <c r="N41" s="68"/>
      <c r="O41" s="68"/>
      <c r="P41" s="68"/>
    </row>
    <row r="43" spans="2:20" s="32" customFormat="1" x14ac:dyDescent="0.2">
      <c r="B43" s="32" t="s">
        <v>191</v>
      </c>
    </row>
    <row r="45" spans="2:20" x14ac:dyDescent="0.2">
      <c r="B45" s="5" t="s">
        <v>192</v>
      </c>
    </row>
    <row r="46" spans="2:20" x14ac:dyDescent="0.2">
      <c r="B46" s="2" t="s">
        <v>247</v>
      </c>
      <c r="F46" s="2" t="s">
        <v>98</v>
      </c>
      <c r="J46" s="74">
        <f>SUM(L46:P46)</f>
        <v>102118.51206429201</v>
      </c>
      <c r="L46" s="75">
        <f>'Realisatie kosten 2018'!L33</f>
        <v>7922.6036696360861</v>
      </c>
      <c r="M46" s="75">
        <f>'Realisatie kosten 2018'!M33</f>
        <v>63842.119379852455</v>
      </c>
      <c r="N46" s="75">
        <f>'Realisatie kosten 2018'!N33</f>
        <v>2653.0464186192908</v>
      </c>
      <c r="O46" s="75">
        <f>'Realisatie kosten 2018'!O33</f>
        <v>27665.988137767898</v>
      </c>
      <c r="P46" s="75">
        <f>'Realisatie kosten 2018'!P33</f>
        <v>34.754458416280656</v>
      </c>
      <c r="T46" s="2" t="s">
        <v>203</v>
      </c>
    </row>
    <row r="48" spans="2:20" x14ac:dyDescent="0.2">
      <c r="B48" s="1" t="s">
        <v>140</v>
      </c>
    </row>
    <row r="49" spans="2:20" x14ac:dyDescent="0.2">
      <c r="B49" s="2" t="s">
        <v>83</v>
      </c>
      <c r="F49" s="2" t="s">
        <v>84</v>
      </c>
      <c r="L49" s="54" t="s">
        <v>85</v>
      </c>
      <c r="M49" s="54" t="s">
        <v>86</v>
      </c>
      <c r="N49" s="54" t="s">
        <v>87</v>
      </c>
      <c r="O49" s="54" t="s">
        <v>134</v>
      </c>
      <c r="P49" s="54" t="s">
        <v>87</v>
      </c>
    </row>
    <row r="50" spans="2:20" x14ac:dyDescent="0.2">
      <c r="B50" s="2" t="s">
        <v>136</v>
      </c>
      <c r="F50" s="2" t="s">
        <v>84</v>
      </c>
      <c r="L50" s="59">
        <f>'Schatting kosten 2018'!L74</f>
        <v>15292508</v>
      </c>
      <c r="M50" s="59">
        <f>'Schatting kosten 2018'!M74</f>
        <v>90256.389423529428</v>
      </c>
      <c r="N50" s="59">
        <f>'Schatting kosten 2018'!N74</f>
        <v>1636588</v>
      </c>
      <c r="O50" s="59">
        <f>'Schatting kosten 2018'!O74</f>
        <v>2479.4</v>
      </c>
      <c r="P50" s="59">
        <f>'Schatting kosten 2018'!P74</f>
        <v>9649.27</v>
      </c>
      <c r="T50" s="2" t="s">
        <v>190</v>
      </c>
    </row>
    <row r="53" spans="2:20" s="9" customFormat="1" x14ac:dyDescent="0.2">
      <c r="B53" s="9" t="s">
        <v>127</v>
      </c>
    </row>
    <row r="55" spans="2:20" x14ac:dyDescent="0.2">
      <c r="B55" s="1" t="s">
        <v>141</v>
      </c>
    </row>
    <row r="56" spans="2:20" x14ac:dyDescent="0.2">
      <c r="B56" s="2" t="s">
        <v>78</v>
      </c>
      <c r="F56" s="2" t="s">
        <v>98</v>
      </c>
      <c r="J56" s="52">
        <f>SUM(L56:P56)</f>
        <v>48940511.720001459</v>
      </c>
      <c r="L56" s="59">
        <f>'Realisatie kosten 2018'!L18</f>
        <v>1405032.3945354661</v>
      </c>
      <c r="M56" s="59">
        <f>'Realisatie kosten 2018'!M18</f>
        <v>32619275.98572398</v>
      </c>
      <c r="N56" s="59">
        <f>'Realisatie kosten 2018'!N18</f>
        <v>3145068.6323683369</v>
      </c>
      <c r="O56" s="59">
        <f>'Realisatie kosten 2018'!O18</f>
        <v>11725700.312810486</v>
      </c>
      <c r="P56" s="59">
        <f>'Realisatie kosten 2018'!P18</f>
        <v>45434.394563191861</v>
      </c>
    </row>
    <row r="57" spans="2:20" x14ac:dyDescent="0.2">
      <c r="B57" s="2" t="s">
        <v>181</v>
      </c>
      <c r="F57" s="2" t="s">
        <v>98</v>
      </c>
      <c r="J57" s="52">
        <f>SUM(L57:P57)</f>
        <v>4527827.4343265938</v>
      </c>
      <c r="L57" s="59">
        <f>'Realisatie kosten 2018'!L19</f>
        <v>115379.45715476714</v>
      </c>
      <c r="M57" s="59">
        <f>'Realisatie kosten 2018'!M19</f>
        <v>2473542.4010411594</v>
      </c>
      <c r="N57" s="59">
        <f>'Realisatie kosten 2018'!N19</f>
        <v>267135.86365889176</v>
      </c>
      <c r="O57" s="59">
        <f>'Realisatie kosten 2018'!O19</f>
        <v>1642174.1774010661</v>
      </c>
      <c r="P57" s="59">
        <f>'Realisatie kosten 2018'!P19</f>
        <v>29595.535070709899</v>
      </c>
    </row>
    <row r="58" spans="2:20" x14ac:dyDescent="0.2">
      <c r="B58" s="2" t="s">
        <v>170</v>
      </c>
      <c r="F58" s="2" t="s">
        <v>98</v>
      </c>
      <c r="J58" s="52">
        <f>SUM(L58:P58)</f>
        <v>15283167.4381421</v>
      </c>
      <c r="L58" s="59">
        <f>'Realisatie kosten 2018'!L20</f>
        <v>2618140.3803366143</v>
      </c>
      <c r="M58" s="59">
        <f>'Realisatie kosten 2018'!M20</f>
        <v>6158934.2023182716</v>
      </c>
      <c r="N58" s="59">
        <f>'Realisatie kosten 2018'!N20</f>
        <v>3100462.9677867889</v>
      </c>
      <c r="O58" s="59">
        <f>'Realisatie kosten 2018'!O20</f>
        <v>3323020.438482346</v>
      </c>
      <c r="P58" s="59">
        <f>'Realisatie kosten 2018'!P20</f>
        <v>82609.449218078706</v>
      </c>
    </row>
    <row r="59" spans="2:20" x14ac:dyDescent="0.2">
      <c r="B59" s="2" t="s">
        <v>258</v>
      </c>
      <c r="F59" s="2" t="s">
        <v>98</v>
      </c>
      <c r="J59" s="52">
        <f>SUM(L59:P59)</f>
        <v>0</v>
      </c>
      <c r="L59" s="68"/>
      <c r="M59" s="68"/>
      <c r="N59" s="59">
        <f>'Realisatie kosten 2018'!N21</f>
        <v>0</v>
      </c>
      <c r="O59" s="68"/>
      <c r="P59" s="68"/>
    </row>
    <row r="61" spans="2:20" x14ac:dyDescent="0.2">
      <c r="B61" s="1" t="s">
        <v>142</v>
      </c>
    </row>
    <row r="62" spans="2:20" x14ac:dyDescent="0.2">
      <c r="B62" s="2" t="s">
        <v>83</v>
      </c>
      <c r="F62" s="2" t="s">
        <v>84</v>
      </c>
      <c r="L62" s="54" t="s">
        <v>85</v>
      </c>
      <c r="M62" s="54" t="s">
        <v>86</v>
      </c>
      <c r="N62" s="54" t="s">
        <v>87</v>
      </c>
      <c r="O62" s="54" t="s">
        <v>134</v>
      </c>
      <c r="P62" s="54" t="s">
        <v>87</v>
      </c>
    </row>
    <row r="63" spans="2:20" x14ac:dyDescent="0.2">
      <c r="B63" s="2" t="s">
        <v>88</v>
      </c>
      <c r="F63" s="2" t="s">
        <v>84</v>
      </c>
      <c r="L63" s="59">
        <f>'Realisatie kosten 2018'!L54</f>
        <v>8947719.9499999993</v>
      </c>
      <c r="M63" s="59">
        <f>'Realisatie kosten 2018'!M54</f>
        <v>95421.534101471945</v>
      </c>
      <c r="N63" s="59">
        <f>'Realisatie kosten 2018'!N54</f>
        <v>1750931</v>
      </c>
      <c r="O63" s="59">
        <f>'Realisatie kosten 2018'!O54</f>
        <v>2606.1357191912034</v>
      </c>
      <c r="P63" s="59">
        <f>'Realisatie kosten 2018'!P54</f>
        <v>11006</v>
      </c>
    </row>
    <row r="66" spans="2:20" s="9" customFormat="1" x14ac:dyDescent="0.2">
      <c r="B66" s="9" t="s">
        <v>143</v>
      </c>
    </row>
    <row r="68" spans="2:20" x14ac:dyDescent="0.2">
      <c r="B68" s="1" t="s">
        <v>200</v>
      </c>
    </row>
    <row r="69" spans="2:20" x14ac:dyDescent="0.2">
      <c r="B69" s="2" t="s">
        <v>205</v>
      </c>
      <c r="F69" s="2" t="s">
        <v>98</v>
      </c>
      <c r="J69" s="52">
        <f>SUM(L69:P69)</f>
        <v>3138390.8184484271</v>
      </c>
      <c r="L69" s="52">
        <f>L22*$H$14+L23+L34*$H$14+L35</f>
        <v>0</v>
      </c>
      <c r="M69" s="52">
        <f>M22*$H$14+M23+M34*$H$14+M35</f>
        <v>2150303.1780046895</v>
      </c>
      <c r="N69" s="52">
        <f>N22*$H$14+N23+N34*$H$14+N35</f>
        <v>0</v>
      </c>
      <c r="O69" s="52">
        <f>O22*$H$14+O23+O34*$H$14+O35</f>
        <v>948581.69607608276</v>
      </c>
      <c r="P69" s="52">
        <f>P22*$H$14+P23+P34*$H$14+P35</f>
        <v>39505.944367654825</v>
      </c>
    </row>
    <row r="70" spans="2:20" x14ac:dyDescent="0.2">
      <c r="B70" s="2" t="s">
        <v>204</v>
      </c>
      <c r="F70" s="2" t="s">
        <v>98</v>
      </c>
      <c r="J70" s="52">
        <f>SUM(L70:P70)</f>
        <v>4112389.4705412751</v>
      </c>
      <c r="L70" s="52">
        <f>L27*$H$14+L28+L39*$H$14+L40+L46</f>
        <v>229686.69114721895</v>
      </c>
      <c r="M70" s="52">
        <f>M27*$H$14+M28+M39*$H$14+M40+M46</f>
        <v>2411940.1092144926</v>
      </c>
      <c r="N70" s="52">
        <f>N27*$H$14+N28+N39*$H$14+N40+N46</f>
        <v>364858.80945187254</v>
      </c>
      <c r="O70" s="52">
        <f>O27*$H$14+O28+O39*$H$14+O40+O46</f>
        <v>1066363.1619016204</v>
      </c>
      <c r="P70" s="52">
        <f>P27*$H$14+P28+P39*$H$14+P40+P46</f>
        <v>39540.698826071108</v>
      </c>
    </row>
    <row r="71" spans="2:20" x14ac:dyDescent="0.2">
      <c r="B71" s="27" t="s">
        <v>207</v>
      </c>
      <c r="F71" s="2" t="s">
        <v>98</v>
      </c>
      <c r="J71" s="52">
        <f>SUM(L71:P71)</f>
        <v>2062717.050449997</v>
      </c>
      <c r="L71" s="52">
        <f>L24*(1+$H$15)*(1+$H$16)+L36</f>
        <v>218963.29777792023</v>
      </c>
      <c r="M71" s="52">
        <f>M24*(1+$H$15)*(1+$H$16)+M36</f>
        <v>763159.27100191219</v>
      </c>
      <c r="N71" s="52">
        <f>N24*(1+$H$15)*(1+$H$16)+N36</f>
        <v>380046.62180400861</v>
      </c>
      <c r="O71" s="52">
        <f>O24*(1+$H$15)*(1+$H$16)+O36</f>
        <v>688280.61527348403</v>
      </c>
      <c r="P71" s="52">
        <f>P24*(1+$H$15)*(1+$H$16)+P36</f>
        <v>12267.244592672001</v>
      </c>
    </row>
    <row r="72" spans="2:20" x14ac:dyDescent="0.2">
      <c r="B72" s="2" t="s">
        <v>206</v>
      </c>
      <c r="F72" s="2" t="s">
        <v>98</v>
      </c>
      <c r="J72" s="52">
        <f>SUM(L72:P72)</f>
        <v>13074112.445971986</v>
      </c>
      <c r="L72" s="52">
        <f>L29*(1+$H$15)*(1+$H$16)+L41</f>
        <v>2184533.045946083</v>
      </c>
      <c r="M72" s="52">
        <f>M29*(1+$H$15)*(1+$H$16)+M41</f>
        <v>5596501.32068069</v>
      </c>
      <c r="N72" s="52">
        <f>N29*(1+$H$15)*(1+$H$16)+N41</f>
        <v>2490886.6398805878</v>
      </c>
      <c r="O72" s="52">
        <f>O29*(1+$H$15)*(1+$H$16)+O41</f>
        <v>2753122.4610939356</v>
      </c>
      <c r="P72" s="52">
        <f>P29*(1+$H$15)*(1+$H$16)+P41</f>
        <v>49068.978370688004</v>
      </c>
      <c r="T72" s="31"/>
    </row>
    <row r="73" spans="2:20" x14ac:dyDescent="0.2">
      <c r="T73" s="31"/>
    </row>
    <row r="74" spans="2:20" x14ac:dyDescent="0.2">
      <c r="B74" s="27" t="s">
        <v>295</v>
      </c>
      <c r="F74" s="2" t="s">
        <v>98</v>
      </c>
      <c r="J74" s="52">
        <f>SUM(L74:P74)</f>
        <v>5201107.8688984243</v>
      </c>
      <c r="L74" s="52">
        <f t="shared" ref="L74:P75" si="0">L69+L71</f>
        <v>218963.29777792023</v>
      </c>
      <c r="M74" s="52">
        <f t="shared" si="0"/>
        <v>2913462.4490066017</v>
      </c>
      <c r="N74" s="52">
        <f t="shared" si="0"/>
        <v>380046.62180400861</v>
      </c>
      <c r="O74" s="52">
        <f t="shared" si="0"/>
        <v>1636862.3113495668</v>
      </c>
      <c r="P74" s="52">
        <f t="shared" si="0"/>
        <v>51773.188960326828</v>
      </c>
    </row>
    <row r="75" spans="2:20" x14ac:dyDescent="0.2">
      <c r="B75" s="27" t="s">
        <v>211</v>
      </c>
      <c r="F75" s="2" t="s">
        <v>98</v>
      </c>
      <c r="J75" s="52">
        <f>SUM(L75:P75)</f>
        <v>17186501.91651326</v>
      </c>
      <c r="L75" s="61">
        <f t="shared" si="0"/>
        <v>2414219.737093302</v>
      </c>
      <c r="M75" s="61">
        <f t="shared" si="0"/>
        <v>8008441.4298951831</v>
      </c>
      <c r="N75" s="61">
        <f t="shared" si="0"/>
        <v>2855745.4493324603</v>
      </c>
      <c r="O75" s="61">
        <f t="shared" si="0"/>
        <v>3819485.6229955563</v>
      </c>
      <c r="P75" s="61">
        <f t="shared" si="0"/>
        <v>88609.677196759119</v>
      </c>
    </row>
    <row r="76" spans="2:20" x14ac:dyDescent="0.2">
      <c r="B76" s="27" t="s">
        <v>208</v>
      </c>
      <c r="F76" s="2" t="s">
        <v>98</v>
      </c>
      <c r="J76" s="52">
        <f>SUM(L76:P76)</f>
        <v>22387609.785411682</v>
      </c>
      <c r="L76" s="52">
        <f>SUM(L74:L75)</f>
        <v>2633183.034871222</v>
      </c>
      <c r="M76" s="52">
        <f>SUM(M74:M75)</f>
        <v>10921903.878901785</v>
      </c>
      <c r="N76" s="52">
        <f>SUM(N74:N75)</f>
        <v>3235792.071136469</v>
      </c>
      <c r="O76" s="52">
        <f>SUM(O74:O75)</f>
        <v>5456347.9343451234</v>
      </c>
      <c r="P76" s="52">
        <f>SUM(P74:P75)</f>
        <v>140382.86615708595</v>
      </c>
    </row>
    <row r="77" spans="2:20" x14ac:dyDescent="0.2">
      <c r="B77" s="1"/>
    </row>
    <row r="78" spans="2:20" x14ac:dyDescent="0.2">
      <c r="B78" s="5" t="s">
        <v>250</v>
      </c>
    </row>
    <row r="79" spans="2:20" x14ac:dyDescent="0.2">
      <c r="B79" s="27" t="s">
        <v>210</v>
      </c>
      <c r="F79" s="2" t="s">
        <v>112</v>
      </c>
      <c r="L79" s="49">
        <f>L74/L$50</f>
        <v>1.4318337958555931E-2</v>
      </c>
      <c r="M79" s="49">
        <f>M74/M$50</f>
        <v>32.279847084677144</v>
      </c>
      <c r="N79" s="49">
        <f>N74/N$50</f>
        <v>0.23221887353690032</v>
      </c>
      <c r="O79" s="49">
        <f>O74/O$50</f>
        <v>660.184847684749</v>
      </c>
      <c r="P79" s="49">
        <f>P74/P$50</f>
        <v>5.3655031893943095</v>
      </c>
    </row>
    <row r="81" spans="2:20" x14ac:dyDescent="0.2">
      <c r="B81" s="1" t="s">
        <v>251</v>
      </c>
    </row>
    <row r="82" spans="2:20" x14ac:dyDescent="0.2">
      <c r="B82" s="27" t="s">
        <v>213</v>
      </c>
      <c r="F82" s="2" t="s">
        <v>98</v>
      </c>
      <c r="J82" s="52">
        <f>SUM(L82:P82)</f>
        <v>5394492.2729667732</v>
      </c>
      <c r="L82" s="52">
        <f>L79*L63</f>
        <v>128116.47820261317</v>
      </c>
      <c r="M82" s="52">
        <f>M79*M63</f>
        <v>3080192.5293808198</v>
      </c>
      <c r="N82" s="52">
        <f>N79*N63</f>
        <v>406599.22446083842</v>
      </c>
      <c r="O82" s="52">
        <f>O79*O63</f>
        <v>1720531.3128200285</v>
      </c>
      <c r="P82" s="52">
        <f>P79*P63</f>
        <v>59052.728102473768</v>
      </c>
    </row>
    <row r="83" spans="2:20" x14ac:dyDescent="0.2">
      <c r="B83" s="27" t="s">
        <v>212</v>
      </c>
      <c r="F83" s="2" t="s">
        <v>98</v>
      </c>
      <c r="J83" s="52">
        <f>SUM(L83:P83)</f>
        <v>17186501.91651326</v>
      </c>
      <c r="L83" s="59">
        <f>L75</f>
        <v>2414219.737093302</v>
      </c>
      <c r="M83" s="59">
        <f>M75</f>
        <v>8008441.4298951831</v>
      </c>
      <c r="N83" s="59">
        <f>N75</f>
        <v>2855745.4493324603</v>
      </c>
      <c r="O83" s="59">
        <f>O75</f>
        <v>3819485.6229955563</v>
      </c>
      <c r="P83" s="59">
        <f>P75</f>
        <v>88609.677196759119</v>
      </c>
      <c r="T83" s="2" t="s">
        <v>209</v>
      </c>
    </row>
    <row r="84" spans="2:20" x14ac:dyDescent="0.2">
      <c r="B84" s="27" t="s">
        <v>214</v>
      </c>
      <c r="F84" s="2" t="s">
        <v>98</v>
      </c>
      <c r="J84" s="52">
        <f>SUM(L84:P84)</f>
        <v>22580994.189480029</v>
      </c>
      <c r="L84" s="61">
        <f>L83+L82</f>
        <v>2542336.215295915</v>
      </c>
      <c r="M84" s="61">
        <f>M83+M82</f>
        <v>11088633.959276002</v>
      </c>
      <c r="N84" s="61">
        <f>N83+N82</f>
        <v>3262344.6737932987</v>
      </c>
      <c r="O84" s="61">
        <f>O83+O82</f>
        <v>5540016.9358155848</v>
      </c>
      <c r="P84" s="61">
        <f>P83+P82</f>
        <v>147662.40529923289</v>
      </c>
    </row>
    <row r="85" spans="2:20" x14ac:dyDescent="0.2">
      <c r="B85" s="1"/>
    </row>
    <row r="86" spans="2:20" x14ac:dyDescent="0.2">
      <c r="B86" s="1" t="s">
        <v>201</v>
      </c>
    </row>
    <row r="87" spans="2:20" x14ac:dyDescent="0.2">
      <c r="B87" s="2" t="s">
        <v>198</v>
      </c>
      <c r="F87" s="2" t="s">
        <v>98</v>
      </c>
      <c r="J87" s="52">
        <f>SUM(L87:P87)</f>
        <v>7787265.5148786912</v>
      </c>
      <c r="L87" s="52">
        <f>L56*$H$14+L57</f>
        <v>208954.61463082919</v>
      </c>
      <c r="M87" s="52">
        <f>M56*$H$14+M57</f>
        <v>4645986.1816903763</v>
      </c>
      <c r="N87" s="52">
        <f>N56*$H$14+N57</f>
        <v>476597.43457462301</v>
      </c>
      <c r="O87" s="52">
        <f>O56*$H$14+O57</f>
        <v>2423105.8182342444</v>
      </c>
      <c r="P87" s="52">
        <f>P56*$H$14+P57</f>
        <v>32621.465748618477</v>
      </c>
    </row>
    <row r="88" spans="2:20" x14ac:dyDescent="0.2">
      <c r="B88" s="2" t="s">
        <v>199</v>
      </c>
      <c r="F88" s="2" t="s">
        <v>98</v>
      </c>
      <c r="J88" s="52">
        <f>SUM(L88:P88)</f>
        <v>15283167.4381421</v>
      </c>
      <c r="L88" s="59">
        <f>L58</f>
        <v>2618140.3803366143</v>
      </c>
      <c r="M88" s="59">
        <f>M58</f>
        <v>6158934.2023182716</v>
      </c>
      <c r="N88" s="66">
        <f>N58+N59</f>
        <v>3100462.9677867889</v>
      </c>
      <c r="O88" s="59">
        <f>O58</f>
        <v>3323020.438482346</v>
      </c>
      <c r="P88" s="59">
        <f>P58</f>
        <v>82609.449218078706</v>
      </c>
    </row>
    <row r="89" spans="2:20" x14ac:dyDescent="0.2">
      <c r="B89" s="2" t="s">
        <v>215</v>
      </c>
      <c r="F89" s="2" t="s">
        <v>98</v>
      </c>
      <c r="J89" s="52">
        <f>SUM(L89:P89)</f>
        <v>23070432.953020792</v>
      </c>
      <c r="L89" s="61">
        <f>L87+L88</f>
        <v>2827094.9949674434</v>
      </c>
      <c r="M89" s="61">
        <f t="shared" ref="M89:P89" si="1">M87+M88</f>
        <v>10804920.384008648</v>
      </c>
      <c r="N89" s="61">
        <f t="shared" si="1"/>
        <v>3577060.4023614121</v>
      </c>
      <c r="O89" s="61">
        <f t="shared" si="1"/>
        <v>5746126.2567165904</v>
      </c>
      <c r="P89" s="61">
        <f t="shared" si="1"/>
        <v>115230.91496669718</v>
      </c>
    </row>
    <row r="90" spans="2:20" x14ac:dyDescent="0.2">
      <c r="L90" s="53"/>
      <c r="M90" s="53"/>
      <c r="N90" s="53"/>
      <c r="O90" s="53"/>
      <c r="P90" s="53"/>
    </row>
    <row r="91" spans="2:20" x14ac:dyDescent="0.2">
      <c r="L91" s="53"/>
      <c r="M91" s="53"/>
      <c r="N91" s="53"/>
      <c r="O91" s="53"/>
      <c r="P91" s="53"/>
    </row>
    <row r="92" spans="2:20" x14ac:dyDescent="0.2">
      <c r="L92" s="53"/>
      <c r="M92" s="53"/>
      <c r="N92" s="53"/>
      <c r="O92" s="53"/>
      <c r="P92" s="53"/>
    </row>
    <row r="94" spans="2:20" x14ac:dyDescent="0.2">
      <c r="B94" s="2" t="s">
        <v>145</v>
      </c>
      <c r="M94" s="86"/>
    </row>
    <row r="95" spans="2:20" x14ac:dyDescent="0.2">
      <c r="M95" s="80"/>
      <c r="O95" s="80"/>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T67"/>
  <sheetViews>
    <sheetView showGridLines="0" zoomScale="85" zoomScaleNormal="85" workbookViewId="0">
      <pane xSplit="6" ySplit="16" topLeftCell="G17" activePane="bottomRight" state="frozen"/>
      <selection activeCell="K45" sqref="K45"/>
      <selection pane="topRight" activeCell="K45" sqref="K45"/>
      <selection pane="bottomLeft" activeCell="K45" sqref="K45"/>
      <selection pane="bottomRight" activeCell="G17" sqref="G17"/>
    </sheetView>
  </sheetViews>
  <sheetFormatPr defaultRowHeight="12.75" x14ac:dyDescent="0.2"/>
  <cols>
    <col min="1" max="1" width="4.7109375" style="2" customWidth="1"/>
    <col min="2" max="2" width="68.7109375" style="2" customWidth="1"/>
    <col min="3" max="3" width="4.7109375" style="2" customWidth="1"/>
    <col min="4" max="5" width="4.5703125" style="2" customWidth="1"/>
    <col min="6" max="6" width="19.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7.7109375" style="2" customWidth="1"/>
    <col min="17" max="19" width="2.7109375" style="2" customWidth="1"/>
    <col min="20" max="34" width="13.7109375" style="2" customWidth="1"/>
    <col min="35" max="16384" width="9.140625" style="2"/>
  </cols>
  <sheetData>
    <row r="2" spans="2:20" s="22" customFormat="1" ht="18" x14ac:dyDescent="0.2">
      <c r="B2" s="22" t="s">
        <v>109</v>
      </c>
    </row>
    <row r="4" spans="2:20" x14ac:dyDescent="0.2">
      <c r="B4" s="32" t="s">
        <v>50</v>
      </c>
      <c r="C4" s="1"/>
      <c r="D4" s="1"/>
      <c r="L4"/>
    </row>
    <row r="5" spans="2:20" x14ac:dyDescent="0.2">
      <c r="B5" s="27" t="s">
        <v>221</v>
      </c>
      <c r="C5" s="3"/>
      <c r="D5" s="3"/>
      <c r="H5" s="23"/>
    </row>
    <row r="6" spans="2:20" x14ac:dyDescent="0.2">
      <c r="B6" s="2" t="s">
        <v>226</v>
      </c>
      <c r="C6" s="3"/>
      <c r="D6" s="3"/>
      <c r="H6" s="23"/>
    </row>
    <row r="7" spans="2:20" x14ac:dyDescent="0.2">
      <c r="B7" s="2" t="s">
        <v>228</v>
      </c>
      <c r="C7" s="3"/>
      <c r="D7" s="3"/>
      <c r="H7" s="23"/>
    </row>
    <row r="8" spans="2:20" x14ac:dyDescent="0.2">
      <c r="B8" s="2" t="s">
        <v>252</v>
      </c>
      <c r="C8" s="3"/>
      <c r="D8" s="3"/>
      <c r="H8" s="23"/>
    </row>
    <row r="9" spans="2:20" x14ac:dyDescent="0.2">
      <c r="B9" s="27"/>
      <c r="C9" s="3"/>
      <c r="D9" s="3"/>
      <c r="H9" s="23"/>
    </row>
    <row r="10" spans="2:20" x14ac:dyDescent="0.2">
      <c r="B10" s="33" t="s">
        <v>26</v>
      </c>
      <c r="C10" s="3"/>
      <c r="D10" s="3"/>
      <c r="H10" s="23"/>
    </row>
    <row r="11" spans="2:20" x14ac:dyDescent="0.2">
      <c r="B11" s="5" t="s">
        <v>225</v>
      </c>
      <c r="C11" s="3"/>
      <c r="D11" s="3"/>
    </row>
    <row r="12" spans="2:20" x14ac:dyDescent="0.2">
      <c r="B12" s="5" t="s">
        <v>314</v>
      </c>
      <c r="C12" s="3"/>
      <c r="D12" s="3"/>
    </row>
    <row r="13" spans="2:20" x14ac:dyDescent="0.2">
      <c r="B13" s="69"/>
      <c r="C13" s="3"/>
      <c r="D13" s="3"/>
    </row>
    <row r="15" spans="2:20" s="9" customFormat="1" ht="25.5" x14ac:dyDescent="0.2">
      <c r="B15" s="9" t="s">
        <v>41</v>
      </c>
      <c r="F15" s="9" t="s">
        <v>23</v>
      </c>
      <c r="H15" s="9" t="s">
        <v>24</v>
      </c>
      <c r="J15" s="9" t="s">
        <v>45</v>
      </c>
      <c r="L15" s="48" t="s">
        <v>279</v>
      </c>
      <c r="M15" s="48" t="s">
        <v>280</v>
      </c>
      <c r="N15" s="48" t="s">
        <v>277</v>
      </c>
      <c r="O15" s="48" t="s">
        <v>278</v>
      </c>
      <c r="P15" s="48" t="s">
        <v>66</v>
      </c>
      <c r="T15" s="9" t="s">
        <v>43</v>
      </c>
    </row>
    <row r="18" spans="2:20" s="9" customFormat="1" x14ac:dyDescent="0.2">
      <c r="B18" s="9" t="s">
        <v>44</v>
      </c>
    </row>
    <row r="20" spans="2:20" x14ac:dyDescent="0.2">
      <c r="B20" s="1" t="s">
        <v>148</v>
      </c>
    </row>
    <row r="21" spans="2:20" x14ac:dyDescent="0.2">
      <c r="B21" s="2" t="s">
        <v>144</v>
      </c>
      <c r="F21" s="2" t="s">
        <v>98</v>
      </c>
      <c r="J21" s="52">
        <f>SUM(L21:P21)</f>
        <v>17186501.91651326</v>
      </c>
      <c r="L21" s="59">
        <f>'Berekeningen kosten 2018'!L75</f>
        <v>2414219.737093302</v>
      </c>
      <c r="M21" s="59">
        <f>'Berekeningen kosten 2018'!M75</f>
        <v>8008441.4298951831</v>
      </c>
      <c r="N21" s="59">
        <f>'Berekeningen kosten 2018'!N75</f>
        <v>2855745.4493324603</v>
      </c>
      <c r="O21" s="59">
        <f>'Berekeningen kosten 2018'!O75</f>
        <v>3819485.6229955563</v>
      </c>
      <c r="P21" s="59">
        <f>'Berekeningen kosten 2018'!P75</f>
        <v>88609.677196759119</v>
      </c>
      <c r="T21" s="2" t="s">
        <v>232</v>
      </c>
    </row>
    <row r="23" spans="2:20" x14ac:dyDescent="0.2">
      <c r="B23" s="1" t="s">
        <v>140</v>
      </c>
    </row>
    <row r="24" spans="2:20" x14ac:dyDescent="0.2">
      <c r="B24" s="2" t="s">
        <v>83</v>
      </c>
      <c r="F24" s="2" t="s">
        <v>84</v>
      </c>
      <c r="L24" s="54" t="s">
        <v>85</v>
      </c>
      <c r="M24" s="54" t="s">
        <v>86</v>
      </c>
      <c r="N24" s="54" t="s">
        <v>87</v>
      </c>
      <c r="O24" s="54" t="s">
        <v>134</v>
      </c>
      <c r="P24" s="54" t="s">
        <v>87</v>
      </c>
    </row>
    <row r="25" spans="2:20" x14ac:dyDescent="0.2">
      <c r="B25" s="2" t="s">
        <v>136</v>
      </c>
      <c r="F25" s="2" t="s">
        <v>147</v>
      </c>
      <c r="L25" s="59">
        <f>'Schatting kosten 2018'!L74</f>
        <v>15292508</v>
      </c>
      <c r="M25" s="59">
        <f>'Schatting kosten 2018'!M74</f>
        <v>90256.389423529428</v>
      </c>
      <c r="N25" s="59">
        <f>'Schatting kosten 2018'!N74</f>
        <v>1636588</v>
      </c>
      <c r="O25" s="59">
        <f>'Schatting kosten 2018'!O74</f>
        <v>2479.4</v>
      </c>
      <c r="P25" s="59">
        <f>'Schatting kosten 2018'!P74</f>
        <v>9649.27</v>
      </c>
      <c r="T25" s="2" t="s">
        <v>190</v>
      </c>
    </row>
    <row r="27" spans="2:20" x14ac:dyDescent="0.2">
      <c r="B27" s="1" t="s">
        <v>164</v>
      </c>
    </row>
    <row r="28" spans="2:20" x14ac:dyDescent="0.2">
      <c r="B28" s="2" t="s">
        <v>135</v>
      </c>
      <c r="F28" s="2" t="s">
        <v>147</v>
      </c>
      <c r="L28" s="59">
        <f>'Realisatie kosten 2018'!L54</f>
        <v>8947719.9499999993</v>
      </c>
      <c r="M28" s="59">
        <f>'Realisatie kosten 2018'!M54</f>
        <v>95421.534101471945</v>
      </c>
      <c r="N28" s="59">
        <f>'Realisatie kosten 2018'!N54</f>
        <v>1750931</v>
      </c>
      <c r="O28" s="59">
        <f>'Realisatie kosten 2018'!O54</f>
        <v>2606.1357191912034</v>
      </c>
      <c r="P28" s="59">
        <f>'Realisatie kosten 2018'!P54</f>
        <v>11006</v>
      </c>
      <c r="T28" s="2" t="s">
        <v>296</v>
      </c>
    </row>
    <row r="30" spans="2:20" x14ac:dyDescent="0.2">
      <c r="B30" s="1" t="s">
        <v>123</v>
      </c>
    </row>
    <row r="31" spans="2:20" x14ac:dyDescent="0.2">
      <c r="B31" s="2" t="s">
        <v>149</v>
      </c>
      <c r="F31" s="2" t="s">
        <v>85</v>
      </c>
      <c r="L31" s="59">
        <f>'Schatting kosten 2018'!L80</f>
        <v>103709394</v>
      </c>
    </row>
    <row r="32" spans="2:20" x14ac:dyDescent="0.2">
      <c r="B32" s="2" t="s">
        <v>315</v>
      </c>
      <c r="F32" s="2" t="s">
        <v>102</v>
      </c>
      <c r="L32" s="62">
        <f>'Schatting kosten 2018'!L79</f>
        <v>0.17191724321489027</v>
      </c>
    </row>
    <row r="33" spans="2:20" x14ac:dyDescent="0.2">
      <c r="B33" s="2" t="s">
        <v>316</v>
      </c>
      <c r="F33" s="2" t="s">
        <v>102</v>
      </c>
      <c r="L33" s="62">
        <f>'Schatting kosten 2018'!L81</f>
        <v>0.12995627909000229</v>
      </c>
    </row>
    <row r="34" spans="2:20" x14ac:dyDescent="0.2">
      <c r="B34" s="2" t="s">
        <v>302</v>
      </c>
      <c r="F34" s="2" t="s">
        <v>85</v>
      </c>
      <c r="L34" s="59">
        <f>'Realisatie kosten 2018'!L61</f>
        <v>79161000</v>
      </c>
    </row>
    <row r="35" spans="2:20" x14ac:dyDescent="0.2">
      <c r="B35" s="2" t="s">
        <v>303</v>
      </c>
      <c r="F35" s="2" t="s">
        <v>85</v>
      </c>
      <c r="L35" s="59">
        <f>'Realisatie kosten 2018'!L62</f>
        <v>7476430</v>
      </c>
    </row>
    <row r="38" spans="2:20" s="9" customFormat="1" x14ac:dyDescent="0.2">
      <c r="B38" s="9" t="s">
        <v>111</v>
      </c>
    </row>
    <row r="40" spans="2:20" x14ac:dyDescent="0.2">
      <c r="B40" s="32" t="s">
        <v>113</v>
      </c>
    </row>
    <row r="41" spans="2:20" x14ac:dyDescent="0.2">
      <c r="B41" s="2" t="s">
        <v>114</v>
      </c>
      <c r="F41" s="2" t="s">
        <v>98</v>
      </c>
      <c r="J41" s="52">
        <f>SUM(L41:P41)</f>
        <v>17050371.839112356</v>
      </c>
      <c r="L41" s="52">
        <f>(L21/L25)*L28</f>
        <v>1412571.5746085267</v>
      </c>
      <c r="M41" s="52">
        <f>(M21/M25)*M28</f>
        <v>8466744.2591401339</v>
      </c>
      <c r="N41" s="52">
        <f>(N21/N25)*N28</f>
        <v>3055266.9549973076</v>
      </c>
      <c r="O41" s="52">
        <f>(O21/O25)*O28</f>
        <v>4014720.4610091094</v>
      </c>
      <c r="P41" s="52">
        <f>(P21/P25)*P28</f>
        <v>101068.589357281</v>
      </c>
      <c r="T41" s="2" t="s">
        <v>233</v>
      </c>
    </row>
    <row r="42" spans="2:20" x14ac:dyDescent="0.2">
      <c r="B42" s="2" t="s">
        <v>115</v>
      </c>
      <c r="F42" s="2" t="s">
        <v>98</v>
      </c>
      <c r="J42" s="52">
        <f>SUM(L42:P42)</f>
        <v>-136130.07740090223</v>
      </c>
      <c r="L42" s="52">
        <f>L41-L21</f>
        <v>-1001648.1624847753</v>
      </c>
      <c r="M42" s="52">
        <f>M41-M21</f>
        <v>458302.82924495079</v>
      </c>
      <c r="N42" s="52">
        <f>N41-N21</f>
        <v>199521.50566484733</v>
      </c>
      <c r="O42" s="52">
        <f>O41-O21</f>
        <v>195234.83801355306</v>
      </c>
      <c r="P42" s="52">
        <f>P41-P21</f>
        <v>12458.912160521882</v>
      </c>
      <c r="T42" s="2" t="s">
        <v>117</v>
      </c>
    </row>
    <row r="43" spans="2:20" x14ac:dyDescent="0.2">
      <c r="B43" s="2" t="s">
        <v>222</v>
      </c>
      <c r="F43" s="2" t="s">
        <v>223</v>
      </c>
      <c r="L43" s="59">
        <f>'Overige gegevens'!$H$44</f>
        <v>12</v>
      </c>
      <c r="M43" s="59">
        <f>'Overige gegevens'!$H$48</f>
        <v>9</v>
      </c>
      <c r="N43" s="59">
        <f>'Overige gegevens'!$H$44</f>
        <v>12</v>
      </c>
      <c r="O43" s="59">
        <f>'Overige gegevens'!$H$48</f>
        <v>9</v>
      </c>
      <c r="P43" s="59">
        <f>'Overige gegevens'!$H$48</f>
        <v>9</v>
      </c>
      <c r="T43" s="2" t="s">
        <v>224</v>
      </c>
    </row>
    <row r="45" spans="2:20" x14ac:dyDescent="0.2">
      <c r="B45" s="2" t="s">
        <v>202</v>
      </c>
      <c r="F45" s="2" t="s">
        <v>98</v>
      </c>
      <c r="J45" s="52">
        <f>SUM(L45:P45)</f>
        <v>301602.52742636448</v>
      </c>
      <c r="L45" s="65"/>
      <c r="M45" s="59">
        <f>'Realisatie kosten 2018'!M47</f>
        <v>114595.86191207875</v>
      </c>
      <c r="N45" s="68"/>
      <c r="O45" s="59">
        <f>'Realisatie kosten 2018'!O47</f>
        <v>165048.19051428576</v>
      </c>
      <c r="P45" s="59">
        <f>'Realisatie kosten 2018'!P47</f>
        <v>21958.475000000002</v>
      </c>
      <c r="T45" s="2" t="s">
        <v>281</v>
      </c>
    </row>
    <row r="47" spans="2:20" x14ac:dyDescent="0.2">
      <c r="B47" s="27" t="s">
        <v>116</v>
      </c>
      <c r="F47" s="2" t="s">
        <v>98</v>
      </c>
      <c r="J47" s="52">
        <f>SUM(L47:P47)</f>
        <v>604231.74968202319</v>
      </c>
      <c r="L47" s="61">
        <f>-1*(L43/12)*L42+L45</f>
        <v>1001648.1624847753</v>
      </c>
      <c r="M47" s="61">
        <f t="shared" ref="M47:P47" si="0">-1*(M43/12)*M42+M45</f>
        <v>-229131.26002163434</v>
      </c>
      <c r="N47" s="61">
        <f t="shared" si="0"/>
        <v>-199521.50566484733</v>
      </c>
      <c r="O47" s="61">
        <f t="shared" si="0"/>
        <v>18622.062004120962</v>
      </c>
      <c r="P47" s="61">
        <f t="shared" si="0"/>
        <v>12614.29087960859</v>
      </c>
    </row>
    <row r="48" spans="2:20" x14ac:dyDescent="0.2">
      <c r="B48" s="27"/>
      <c r="L48" s="80"/>
      <c r="M48" s="80"/>
      <c r="N48" s="80"/>
      <c r="O48" s="80"/>
      <c r="P48" s="80"/>
    </row>
    <row r="49" spans="2:20" x14ac:dyDescent="0.2">
      <c r="M49" s="84"/>
    </row>
    <row r="50" spans="2:20" s="9" customFormat="1" x14ac:dyDescent="0.2">
      <c r="B50" s="9" t="s">
        <v>146</v>
      </c>
    </row>
    <row r="52" spans="2:20" x14ac:dyDescent="0.2">
      <c r="B52" s="1" t="s">
        <v>121</v>
      </c>
      <c r="T52" s="31"/>
    </row>
    <row r="53" spans="2:20" x14ac:dyDescent="0.2">
      <c r="B53" s="2" t="s">
        <v>137</v>
      </c>
      <c r="F53" s="2" t="s">
        <v>98</v>
      </c>
      <c r="M53" s="52">
        <f>L25*L32+L31*L33</f>
        <v>16106732.768120665</v>
      </c>
    </row>
    <row r="54" spans="2:20" x14ac:dyDescent="0.2">
      <c r="B54" s="2" t="s">
        <v>118</v>
      </c>
      <c r="F54" s="2" t="s">
        <v>98</v>
      </c>
      <c r="M54" s="52">
        <f>L25+L31</f>
        <v>119001902</v>
      </c>
    </row>
    <row r="55" spans="2:20" x14ac:dyDescent="0.2">
      <c r="B55" s="2" t="s">
        <v>119</v>
      </c>
      <c r="F55" s="2" t="s">
        <v>102</v>
      </c>
      <c r="M55" s="60">
        <f>M53/M54</f>
        <v>0.13534853222867535</v>
      </c>
    </row>
    <row r="56" spans="2:20" x14ac:dyDescent="0.2">
      <c r="B56" s="1"/>
    </row>
    <row r="57" spans="2:20" x14ac:dyDescent="0.2">
      <c r="B57" s="2" t="s">
        <v>307</v>
      </c>
      <c r="F57" s="2" t="s">
        <v>98</v>
      </c>
      <c r="M57" s="52">
        <f>L35*L32+L34*L33</f>
        <v>11572796.243732773</v>
      </c>
      <c r="T57" s="2" t="s">
        <v>308</v>
      </c>
    </row>
    <row r="58" spans="2:20" x14ac:dyDescent="0.2">
      <c r="B58" s="2" t="s">
        <v>306</v>
      </c>
      <c r="F58" s="2" t="s">
        <v>98</v>
      </c>
      <c r="M58" s="52">
        <f>L35+L34</f>
        <v>86637430</v>
      </c>
      <c r="T58" s="2" t="s">
        <v>308</v>
      </c>
    </row>
    <row r="59" spans="2:20" x14ac:dyDescent="0.2">
      <c r="B59" s="2" t="s">
        <v>120</v>
      </c>
      <c r="F59" s="2" t="s">
        <v>102</v>
      </c>
      <c r="M59" s="60">
        <f>M57/M58</f>
        <v>0.13357732614797985</v>
      </c>
      <c r="N59" s="87"/>
    </row>
    <row r="61" spans="2:20" x14ac:dyDescent="0.2">
      <c r="B61" s="2" t="s">
        <v>150</v>
      </c>
      <c r="F61" s="2" t="s">
        <v>98</v>
      </c>
      <c r="M61" s="61">
        <f>(M59-M55)*M58</f>
        <v>-153452.74283183101</v>
      </c>
      <c r="T61" s="2" t="s">
        <v>265</v>
      </c>
    </row>
    <row r="64" spans="2:20" x14ac:dyDescent="0.2">
      <c r="L64" s="23"/>
    </row>
    <row r="65" spans="2:12" x14ac:dyDescent="0.2">
      <c r="B65" s="2" t="s">
        <v>145</v>
      </c>
      <c r="L65" s="23"/>
    </row>
    <row r="66" spans="2:12" x14ac:dyDescent="0.2">
      <c r="L66" s="23"/>
    </row>
    <row r="67" spans="2:12" x14ac:dyDescent="0.2">
      <c r="L67" s="2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V49"/>
  <sheetViews>
    <sheetView showGridLines="0" zoomScale="85" zoomScaleNormal="85" workbookViewId="0">
      <pane xSplit="6" ySplit="10" topLeftCell="G11" activePane="bottomRight" state="frozen"/>
      <selection activeCell="K45" sqref="K45"/>
      <selection pane="topRight" activeCell="K45" sqref="K45"/>
      <selection pane="bottomLeft" activeCell="K45" sqref="K45"/>
      <selection pane="bottomRight" activeCell="G11" sqref="G11"/>
    </sheetView>
  </sheetViews>
  <sheetFormatPr defaultRowHeight="12.75" x14ac:dyDescent="0.2"/>
  <cols>
    <col min="1" max="1" width="4.7109375" style="2" customWidth="1"/>
    <col min="2" max="2" width="71.42578125" style="2" customWidth="1"/>
    <col min="3" max="3" width="4.7109375" style="2" customWidth="1"/>
    <col min="4" max="5" width="4.5703125" style="2" customWidth="1"/>
    <col min="6" max="6" width="16.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7.7109375" style="2" customWidth="1"/>
    <col min="17" max="19" width="2.7109375" style="2" customWidth="1"/>
    <col min="20" max="34" width="13.7109375" style="2" customWidth="1"/>
    <col min="35" max="16384" width="9.140625" style="2"/>
  </cols>
  <sheetData>
    <row r="2" spans="2:20" s="22" customFormat="1" ht="18" x14ac:dyDescent="0.2">
      <c r="B2" s="22" t="s">
        <v>77</v>
      </c>
    </row>
    <row r="4" spans="2:20" x14ac:dyDescent="0.2">
      <c r="B4" s="32" t="s">
        <v>50</v>
      </c>
      <c r="C4" s="1"/>
      <c r="D4" s="1"/>
      <c r="L4"/>
    </row>
    <row r="5" spans="2:20" x14ac:dyDescent="0.2">
      <c r="B5" s="27" t="s">
        <v>243</v>
      </c>
      <c r="C5" s="3"/>
      <c r="D5" s="3"/>
      <c r="H5" s="23"/>
    </row>
    <row r="6" spans="2:20" x14ac:dyDescent="0.2">
      <c r="B6" s="27" t="s">
        <v>253</v>
      </c>
      <c r="C6" s="3"/>
      <c r="D6" s="3"/>
      <c r="H6" s="23"/>
    </row>
    <row r="7" spans="2:20" ht="12.75" customHeight="1" x14ac:dyDescent="0.2">
      <c r="B7" s="69"/>
      <c r="C7" s="3"/>
      <c r="D7" s="3"/>
    </row>
    <row r="9" spans="2:20" s="9" customFormat="1" ht="25.5" x14ac:dyDescent="0.2">
      <c r="B9" s="9" t="s">
        <v>41</v>
      </c>
      <c r="F9" s="9" t="s">
        <v>23</v>
      </c>
      <c r="H9" s="9" t="s">
        <v>24</v>
      </c>
      <c r="J9" s="9" t="s">
        <v>45</v>
      </c>
      <c r="L9" s="48" t="s">
        <v>279</v>
      </c>
      <c r="M9" s="48" t="s">
        <v>280</v>
      </c>
      <c r="N9" s="48" t="s">
        <v>277</v>
      </c>
      <c r="O9" s="48" t="s">
        <v>278</v>
      </c>
      <c r="P9" s="48" t="s">
        <v>66</v>
      </c>
      <c r="T9" s="9" t="s">
        <v>43</v>
      </c>
    </row>
    <row r="12" spans="2:20" s="9" customFormat="1" x14ac:dyDescent="0.2">
      <c r="B12" s="9" t="s">
        <v>44</v>
      </c>
    </row>
    <row r="14" spans="2:20" x14ac:dyDescent="0.2">
      <c r="B14" s="32" t="s">
        <v>124</v>
      </c>
    </row>
    <row r="15" spans="2:20" x14ac:dyDescent="0.2">
      <c r="B15" s="2" t="s">
        <v>125</v>
      </c>
      <c r="F15" s="2" t="s">
        <v>70</v>
      </c>
      <c r="H15" s="58">
        <f>'Overige gegevens'!H37</f>
        <v>0.5</v>
      </c>
    </row>
    <row r="17" spans="2:22" x14ac:dyDescent="0.2">
      <c r="B17" s="1" t="s">
        <v>162</v>
      </c>
    </row>
    <row r="18" spans="2:22" x14ac:dyDescent="0.2">
      <c r="B18" s="2" t="s">
        <v>153</v>
      </c>
      <c r="F18" s="2" t="s">
        <v>155</v>
      </c>
      <c r="L18" s="62">
        <f>'Overige gegevens'!H29</f>
        <v>0.22981847048800561</v>
      </c>
      <c r="T18" s="31"/>
      <c r="V18" s="31"/>
    </row>
    <row r="19" spans="2:22" x14ac:dyDescent="0.2">
      <c r="B19" s="2" t="s">
        <v>154</v>
      </c>
      <c r="F19" s="2" t="s">
        <v>155</v>
      </c>
      <c r="L19" s="62">
        <f>'Overige gegevens'!H30</f>
        <v>0.25310625583094998</v>
      </c>
      <c r="T19" s="31"/>
    </row>
    <row r="20" spans="2:22" x14ac:dyDescent="0.2">
      <c r="B20" s="2" t="s">
        <v>163</v>
      </c>
      <c r="F20" s="2" t="s">
        <v>155</v>
      </c>
      <c r="L20" s="60">
        <f>AVERAGE(L18:L19)</f>
        <v>0.24146236315947778</v>
      </c>
      <c r="T20" s="67" t="s">
        <v>173</v>
      </c>
    </row>
    <row r="21" spans="2:22" x14ac:dyDescent="0.2">
      <c r="B21" s="2" t="s">
        <v>266</v>
      </c>
      <c r="F21" s="2" t="s">
        <v>158</v>
      </c>
      <c r="N21" s="62">
        <f>'Overige gegevens'!H32</f>
        <v>3.2666320593307994</v>
      </c>
      <c r="T21" s="2" t="s">
        <v>271</v>
      </c>
    </row>
    <row r="23" spans="2:22" x14ac:dyDescent="0.2">
      <c r="B23" s="32" t="s">
        <v>164</v>
      </c>
    </row>
    <row r="24" spans="2:22" x14ac:dyDescent="0.2">
      <c r="B24" s="2" t="s">
        <v>83</v>
      </c>
      <c r="F24" s="2" t="s">
        <v>84</v>
      </c>
      <c r="L24" s="54" t="s">
        <v>85</v>
      </c>
      <c r="N24" s="54" t="s">
        <v>87</v>
      </c>
    </row>
    <row r="25" spans="2:22" x14ac:dyDescent="0.2">
      <c r="B25" s="2" t="s">
        <v>242</v>
      </c>
      <c r="F25" s="2" t="s">
        <v>84</v>
      </c>
      <c r="L25" s="59">
        <f>'Realisatie kosten 2018'!L54</f>
        <v>8947719.9499999993</v>
      </c>
      <c r="N25" s="59">
        <f>'Realisatie kosten 2018'!N54</f>
        <v>1750931</v>
      </c>
      <c r="T25" s="2" t="s">
        <v>267</v>
      </c>
    </row>
    <row r="26" spans="2:22" x14ac:dyDescent="0.2">
      <c r="B26" s="2" t="s">
        <v>167</v>
      </c>
      <c r="F26" s="2" t="s">
        <v>85</v>
      </c>
      <c r="L26" s="59">
        <f>'Realisatie kosten 2018'!L60</f>
        <v>104119300</v>
      </c>
    </row>
    <row r="28" spans="2:22" x14ac:dyDescent="0.2">
      <c r="B28" s="32" t="s">
        <v>165</v>
      </c>
    </row>
    <row r="29" spans="2:22" x14ac:dyDescent="0.2">
      <c r="B29" s="2" t="s">
        <v>128</v>
      </c>
      <c r="F29" s="2" t="s">
        <v>70</v>
      </c>
      <c r="M29" s="57">
        <f>'Schatting kosten 2018'!M87</f>
        <v>0.11070000000000001</v>
      </c>
      <c r="O29" s="57">
        <f>'Schatting kosten 2018'!O87</f>
        <v>0.1321</v>
      </c>
    </row>
    <row r="30" spans="2:22" x14ac:dyDescent="0.2">
      <c r="B30" s="2" t="s">
        <v>129</v>
      </c>
      <c r="F30" s="2" t="s">
        <v>70</v>
      </c>
      <c r="M30" s="57">
        <f>'Realisatie kosten 2018'!M55</f>
        <v>9.0200000000000002E-2</v>
      </c>
      <c r="O30" s="57">
        <f>'Realisatie kosten 2018'!O55</f>
        <v>0.14169999999999999</v>
      </c>
    </row>
    <row r="33" spans="2:20" s="9" customFormat="1" x14ac:dyDescent="0.2">
      <c r="B33" s="9" t="s">
        <v>166</v>
      </c>
    </row>
    <row r="35" spans="2:20" x14ac:dyDescent="0.2">
      <c r="B35" s="2" t="s">
        <v>241</v>
      </c>
      <c r="F35" s="2" t="s">
        <v>223</v>
      </c>
      <c r="L35" s="59">
        <f>'Overige gegevens'!$H$44</f>
        <v>12</v>
      </c>
      <c r="M35" s="59">
        <f>'Overige gegevens'!$H$48</f>
        <v>9</v>
      </c>
      <c r="N35" s="59">
        <f>'Overige gegevens'!$H$44</f>
        <v>12</v>
      </c>
      <c r="O35" s="59">
        <f>'Overige gegevens'!$H$48</f>
        <v>9</v>
      </c>
      <c r="P35" s="59">
        <f>'Overige gegevens'!$H$48</f>
        <v>9</v>
      </c>
    </row>
    <row r="37" spans="2:20" x14ac:dyDescent="0.2">
      <c r="B37" s="1" t="s">
        <v>234</v>
      </c>
      <c r="T37" s="31"/>
    </row>
    <row r="38" spans="2:20" x14ac:dyDescent="0.2">
      <c r="B38" s="27" t="s">
        <v>214</v>
      </c>
      <c r="F38" s="2" t="s">
        <v>98</v>
      </c>
      <c r="J38" s="52">
        <f>SUM(L38:P38)</f>
        <v>22580994.189480029</v>
      </c>
      <c r="L38" s="59">
        <f>'Berekeningen kosten 2018'!L84</f>
        <v>2542336.215295915</v>
      </c>
      <c r="M38" s="59">
        <f>'Berekeningen kosten 2018'!M84</f>
        <v>11088633.959276002</v>
      </c>
      <c r="N38" s="59">
        <f>'Berekeningen kosten 2018'!N84</f>
        <v>3262344.6737932987</v>
      </c>
      <c r="O38" s="59">
        <f>'Berekeningen kosten 2018'!O84</f>
        <v>5540016.9358155848</v>
      </c>
      <c r="P38" s="59">
        <f>'Berekeningen kosten 2018'!P84</f>
        <v>147662.40529923289</v>
      </c>
      <c r="T38" s="2" t="s">
        <v>269</v>
      </c>
    </row>
    <row r="39" spans="2:20" x14ac:dyDescent="0.2">
      <c r="B39" s="2" t="s">
        <v>215</v>
      </c>
      <c r="F39" s="2" t="s">
        <v>98</v>
      </c>
      <c r="J39" s="52">
        <f>SUM(L39:P39)</f>
        <v>23070432.953020792</v>
      </c>
      <c r="L39" s="59">
        <f>'Berekeningen kosten 2018'!L89</f>
        <v>2827094.9949674434</v>
      </c>
      <c r="M39" s="59">
        <f>'Berekeningen kosten 2018'!M89</f>
        <v>10804920.384008648</v>
      </c>
      <c r="N39" s="59">
        <f>'Berekeningen kosten 2018'!N89</f>
        <v>3577060.4023614121</v>
      </c>
      <c r="O39" s="59">
        <f>'Berekeningen kosten 2018'!O89</f>
        <v>5746126.2567165904</v>
      </c>
      <c r="P39" s="59">
        <f>'Berekeningen kosten 2018'!P89</f>
        <v>115230.91496669718</v>
      </c>
      <c r="T39" s="2" t="s">
        <v>268</v>
      </c>
    </row>
    <row r="40" spans="2:20" x14ac:dyDescent="0.2">
      <c r="B40" s="2" t="s">
        <v>174</v>
      </c>
      <c r="F40" s="2" t="s">
        <v>98</v>
      </c>
      <c r="J40" s="52">
        <f>SUM(L40:P40)</f>
        <v>-489438.76354075759</v>
      </c>
      <c r="L40" s="52">
        <f>L38-L39</f>
        <v>-284758.77967152838</v>
      </c>
      <c r="M40" s="52">
        <f t="shared" ref="M40:P40" si="0">M38-M39</f>
        <v>283713.57526735403</v>
      </c>
      <c r="N40" s="52">
        <f t="shared" si="0"/>
        <v>-314715.72856811341</v>
      </c>
      <c r="O40" s="52">
        <f t="shared" si="0"/>
        <v>-206109.32090100553</v>
      </c>
      <c r="P40" s="52">
        <f t="shared" si="0"/>
        <v>32431.490332535715</v>
      </c>
    </row>
    <row r="41" spans="2:20" x14ac:dyDescent="0.2">
      <c r="B41" s="2" t="s">
        <v>272</v>
      </c>
      <c r="F41" s="2" t="s">
        <v>98</v>
      </c>
      <c r="J41" s="52">
        <f>SUM(L41:P41)</f>
        <v>258473.84985773932</v>
      </c>
      <c r="L41" s="61">
        <f>-$H$15*L40*(L35/12)</f>
        <v>142379.38983576419</v>
      </c>
      <c r="M41" s="61">
        <f>-$H$15*M40*(M35/12)</f>
        <v>-106392.59072525776</v>
      </c>
      <c r="N41" s="61">
        <f>-$H$15*N40*(N35/12)</f>
        <v>157357.8642840567</v>
      </c>
      <c r="O41" s="61">
        <f>-$H$15*O40*(O35/12)</f>
        <v>77290.995337877073</v>
      </c>
      <c r="P41" s="61">
        <f>-$H$15*P40*(P35/12)</f>
        <v>-12161.808874700893</v>
      </c>
      <c r="T41" s="2" t="s">
        <v>285</v>
      </c>
    </row>
    <row r="43" spans="2:20" x14ac:dyDescent="0.2">
      <c r="B43" s="1" t="s">
        <v>131</v>
      </c>
    </row>
    <row r="44" spans="2:20" x14ac:dyDescent="0.2">
      <c r="B44" s="2" t="s">
        <v>174</v>
      </c>
      <c r="F44" s="2" t="s">
        <v>98</v>
      </c>
      <c r="J44" s="52">
        <f>SUM(L44:P44)</f>
        <v>504770.69711934909</v>
      </c>
      <c r="L44" s="65"/>
      <c r="M44" s="52">
        <f>(M29-M30)*L20*(L25+L26)</f>
        <v>559679.3115668</v>
      </c>
      <c r="N44" s="68"/>
      <c r="O44" s="52">
        <f>(O29-O30)*N21*N25</f>
        <v>-54908.614447450891</v>
      </c>
      <c r="P44" s="65"/>
    </row>
    <row r="45" spans="2:20" x14ac:dyDescent="0.2">
      <c r="B45" s="2" t="s">
        <v>272</v>
      </c>
      <c r="F45" s="2" t="s">
        <v>98</v>
      </c>
      <c r="J45" s="52">
        <f>SUM(L45:P45)</f>
        <v>-189289.01141975593</v>
      </c>
      <c r="L45" s="65"/>
      <c r="M45" s="61">
        <f>-$H$15*M44*(M35/12)</f>
        <v>-209879.74183755001</v>
      </c>
      <c r="N45" s="65"/>
      <c r="O45" s="61">
        <f>-$H$15*O44*(O35/12)</f>
        <v>20590.730417794082</v>
      </c>
      <c r="P45" s="65"/>
      <c r="T45" s="2" t="s">
        <v>282</v>
      </c>
    </row>
    <row r="47" spans="2:20" x14ac:dyDescent="0.2">
      <c r="L47" s="80"/>
      <c r="M47" s="80"/>
      <c r="N47" s="80"/>
      <c r="O47" s="80"/>
      <c r="P47" s="80"/>
    </row>
    <row r="49" spans="2:2" x14ac:dyDescent="0.2">
      <c r="B49" s="2" t="s">
        <v>145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8"/>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46</v>
      </c>
    </row>
    <row r="4" spans="2:8" s="9" customFormat="1" x14ac:dyDescent="0.2">
      <c r="B4" s="9" t="s">
        <v>11</v>
      </c>
    </row>
    <row r="6" spans="2:8" x14ac:dyDescent="0.2">
      <c r="B6" s="27" t="s">
        <v>256</v>
      </c>
    </row>
    <row r="7" spans="2:8" x14ac:dyDescent="0.2">
      <c r="B7" s="2" t="s">
        <v>257</v>
      </c>
      <c r="H7" s="37"/>
    </row>
    <row r="9" spans="2:8" x14ac:dyDescent="0.2">
      <c r="B9" s="23"/>
    </row>
    <row r="12" spans="2:8" s="9" customFormat="1" x14ac:dyDescent="0.2">
      <c r="B12" s="9" t="s">
        <v>12</v>
      </c>
    </row>
    <row r="13" spans="2:8" x14ac:dyDescent="0.2">
      <c r="C13" s="10"/>
    </row>
    <row r="14" spans="2:8" x14ac:dyDescent="0.2">
      <c r="B14" s="32" t="s">
        <v>35</v>
      </c>
      <c r="C14" s="10"/>
      <c r="D14" s="32" t="s">
        <v>13</v>
      </c>
      <c r="F14" s="14"/>
    </row>
    <row r="15" spans="2:8" x14ac:dyDescent="0.2">
      <c r="C15" s="10"/>
    </row>
    <row r="16" spans="2:8" x14ac:dyDescent="0.2">
      <c r="B16" s="42">
        <v>123</v>
      </c>
      <c r="C16" s="10"/>
      <c r="D16" s="27" t="s">
        <v>60</v>
      </c>
    </row>
    <row r="17" spans="2:7" x14ac:dyDescent="0.2">
      <c r="B17" s="39">
        <f>B16</f>
        <v>123</v>
      </c>
      <c r="C17" s="10"/>
      <c r="D17" s="2" t="s">
        <v>14</v>
      </c>
    </row>
    <row r="18" spans="2:7" x14ac:dyDescent="0.2">
      <c r="B18" s="38">
        <f>B17+B16</f>
        <v>246</v>
      </c>
      <c r="C18" s="10"/>
      <c r="D18" s="2" t="s">
        <v>15</v>
      </c>
    </row>
    <row r="19" spans="2:7" x14ac:dyDescent="0.2">
      <c r="B19" s="35">
        <f>B17+B18</f>
        <v>369</v>
      </c>
      <c r="C19" s="10"/>
      <c r="D19" s="27" t="s">
        <v>61</v>
      </c>
      <c r="E19" s="14"/>
      <c r="F19" s="6"/>
    </row>
    <row r="20" spans="2:7" x14ac:dyDescent="0.2">
      <c r="B20" s="15"/>
      <c r="C20" s="10"/>
      <c r="D20" s="27" t="s">
        <v>16</v>
      </c>
      <c r="E20" s="14"/>
    </row>
    <row r="21" spans="2:7" x14ac:dyDescent="0.2">
      <c r="B21" s="10"/>
      <c r="C21" s="10"/>
    </row>
    <row r="22" spans="2:7" x14ac:dyDescent="0.2">
      <c r="B22" s="33" t="s">
        <v>17</v>
      </c>
      <c r="C22" s="10"/>
    </row>
    <row r="23" spans="2:7" x14ac:dyDescent="0.2">
      <c r="B23" s="40">
        <f>B19+16</f>
        <v>385</v>
      </c>
      <c r="C23" s="10"/>
      <c r="D23" s="2" t="s">
        <v>62</v>
      </c>
    </row>
    <row r="24" spans="2:7" x14ac:dyDescent="0.2">
      <c r="B24" s="41">
        <f>B17*PI()</f>
        <v>386.41589639154455</v>
      </c>
      <c r="C24" s="17"/>
      <c r="D24" s="2" t="s">
        <v>18</v>
      </c>
    </row>
    <row r="25" spans="2:7" x14ac:dyDescent="0.2">
      <c r="B25" s="17"/>
      <c r="C25" s="17"/>
    </row>
    <row r="26" spans="2:7" x14ac:dyDescent="0.2">
      <c r="B26" s="33" t="s">
        <v>19</v>
      </c>
      <c r="C26" s="18"/>
    </row>
    <row r="27" spans="2:7" x14ac:dyDescent="0.2">
      <c r="B27" s="46">
        <v>123</v>
      </c>
      <c r="C27" s="18"/>
      <c r="D27" s="27" t="s">
        <v>63</v>
      </c>
      <c r="G27" s="14"/>
    </row>
    <row r="28" spans="2:7" x14ac:dyDescent="0.2">
      <c r="B28" s="43">
        <v>124</v>
      </c>
      <c r="C28" s="18"/>
      <c r="D28" s="27" t="s">
        <v>65</v>
      </c>
    </row>
    <row r="29" spans="2:7" x14ac:dyDescent="0.2">
      <c r="B29" s="44">
        <f>B27-B28</f>
        <v>-1</v>
      </c>
      <c r="C29" s="19"/>
      <c r="D29" s="2" t="s">
        <v>52</v>
      </c>
    </row>
    <row r="32" spans="2:7" x14ac:dyDescent="0.2">
      <c r="B32" s="32" t="s">
        <v>30</v>
      </c>
    </row>
    <row r="33" spans="2:4" x14ac:dyDescent="0.2">
      <c r="B33" s="1"/>
    </row>
    <row r="34" spans="2:4" x14ac:dyDescent="0.2">
      <c r="B34" s="33" t="s">
        <v>36</v>
      </c>
    </row>
    <row r="35" spans="2:4" x14ac:dyDescent="0.2">
      <c r="B35" s="24" t="s">
        <v>29</v>
      </c>
      <c r="C35" s="10"/>
      <c r="D35" s="3" t="s">
        <v>39</v>
      </c>
    </row>
    <row r="36" spans="2:4" x14ac:dyDescent="0.2">
      <c r="B36" s="42" t="s">
        <v>27</v>
      </c>
      <c r="C36" s="10"/>
      <c r="D36" s="3" t="s">
        <v>31</v>
      </c>
    </row>
    <row r="37" spans="2:4" x14ac:dyDescent="0.2">
      <c r="B37" s="36" t="s">
        <v>28</v>
      </c>
      <c r="C37" s="10"/>
      <c r="D37" s="3" t="s">
        <v>32</v>
      </c>
    </row>
    <row r="38" spans="2:4" x14ac:dyDescent="0.2">
      <c r="B38" s="16" t="s">
        <v>28</v>
      </c>
      <c r="C38" s="10"/>
      <c r="D38" s="3" t="s">
        <v>34</v>
      </c>
    </row>
    <row r="39" spans="2:4" x14ac:dyDescent="0.2">
      <c r="C39" s="10"/>
      <c r="D39" s="3"/>
    </row>
    <row r="40" spans="2:4" x14ac:dyDescent="0.2">
      <c r="B40" s="33" t="s">
        <v>38</v>
      </c>
      <c r="C40" s="10"/>
      <c r="D40" s="3"/>
    </row>
    <row r="41" spans="2:4" x14ac:dyDescent="0.2">
      <c r="B41" s="25" t="s">
        <v>33</v>
      </c>
      <c r="C41" s="10"/>
      <c r="D41" s="3" t="s">
        <v>40</v>
      </c>
    </row>
    <row r="42" spans="2:4" x14ac:dyDescent="0.2">
      <c r="B42" s="26" t="s">
        <v>37</v>
      </c>
      <c r="D42" s="27" t="s">
        <v>64</v>
      </c>
    </row>
    <row r="48" spans="2:4" x14ac:dyDescent="0.2">
      <c r="B48" s="2" t="s">
        <v>145</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9"/>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51" style="2" customWidth="1"/>
    <col min="4" max="4" width="45.140625" style="2" customWidth="1"/>
    <col min="5" max="5" width="55.7109375" style="2" customWidth="1"/>
    <col min="6" max="6" width="131.140625" style="2" customWidth="1"/>
    <col min="7" max="7" width="4.5703125" style="2" customWidth="1"/>
    <col min="8" max="16384" width="9.140625" style="2"/>
  </cols>
  <sheetData>
    <row r="2" spans="2:6" s="13" customFormat="1" ht="18" x14ac:dyDescent="0.2">
      <c r="B2" s="4" t="s">
        <v>20</v>
      </c>
    </row>
    <row r="4" spans="2:6" s="9" customFormat="1" x14ac:dyDescent="0.2">
      <c r="B4" s="9" t="s">
        <v>21</v>
      </c>
    </row>
    <row r="6" spans="2:6" x14ac:dyDescent="0.2">
      <c r="B6" s="33" t="s">
        <v>55</v>
      </c>
    </row>
    <row r="7" spans="2:6" x14ac:dyDescent="0.2">
      <c r="B7" s="33" t="s">
        <v>56</v>
      </c>
    </row>
    <row r="9" spans="2:6" x14ac:dyDescent="0.2">
      <c r="B9" s="20" t="s">
        <v>47</v>
      </c>
      <c r="C9" s="20" t="s">
        <v>48</v>
      </c>
      <c r="D9" s="20" t="s">
        <v>49</v>
      </c>
      <c r="E9" s="20" t="s">
        <v>334</v>
      </c>
      <c r="F9" s="20" t="s">
        <v>95</v>
      </c>
    </row>
    <row r="10" spans="2:6" x14ac:dyDescent="0.2">
      <c r="B10" s="21"/>
      <c r="C10" s="28" t="s">
        <v>54</v>
      </c>
      <c r="D10" s="28" t="s">
        <v>22</v>
      </c>
      <c r="E10" s="28" t="s">
        <v>53</v>
      </c>
      <c r="F10" s="28" t="s">
        <v>94</v>
      </c>
    </row>
    <row r="11" spans="2:6" x14ac:dyDescent="0.2">
      <c r="B11" s="29">
        <v>1</v>
      </c>
      <c r="C11" s="7" t="s">
        <v>92</v>
      </c>
      <c r="D11" s="7" t="s">
        <v>96</v>
      </c>
      <c r="E11" s="7"/>
      <c r="F11" s="89" t="s">
        <v>93</v>
      </c>
    </row>
    <row r="12" spans="2:6" x14ac:dyDescent="0.2">
      <c r="B12" s="7">
        <v>2</v>
      </c>
      <c r="C12" s="7" t="s">
        <v>105</v>
      </c>
      <c r="D12" s="7" t="s">
        <v>319</v>
      </c>
      <c r="E12" s="7" t="s">
        <v>328</v>
      </c>
      <c r="F12" s="89" t="s">
        <v>323</v>
      </c>
    </row>
    <row r="13" spans="2:6" x14ac:dyDescent="0.2">
      <c r="B13" s="7">
        <v>3</v>
      </c>
      <c r="C13" s="7" t="s">
        <v>159</v>
      </c>
      <c r="D13" s="7" t="s">
        <v>320</v>
      </c>
      <c r="E13" s="7" t="s">
        <v>329</v>
      </c>
      <c r="F13" s="89" t="s">
        <v>324</v>
      </c>
    </row>
    <row r="14" spans="2:6" x14ac:dyDescent="0.2">
      <c r="B14" s="7">
        <v>4</v>
      </c>
      <c r="C14" s="7" t="s">
        <v>71</v>
      </c>
      <c r="D14" s="7"/>
      <c r="E14" s="7"/>
      <c r="F14" s="89" t="s">
        <v>325</v>
      </c>
    </row>
    <row r="15" spans="2:6" x14ac:dyDescent="0.2">
      <c r="B15" s="7">
        <v>5</v>
      </c>
      <c r="C15" s="7" t="s">
        <v>75</v>
      </c>
      <c r="D15" s="7" t="s">
        <v>321</v>
      </c>
      <c r="E15" s="7" t="s">
        <v>330</v>
      </c>
      <c r="F15" s="89" t="s">
        <v>326</v>
      </c>
    </row>
    <row r="16" spans="2:6" x14ac:dyDescent="0.2">
      <c r="B16" s="7">
        <v>6</v>
      </c>
      <c r="C16" s="2" t="s">
        <v>248</v>
      </c>
      <c r="D16" s="7"/>
      <c r="E16" s="7" t="s">
        <v>284</v>
      </c>
      <c r="F16" s="7"/>
    </row>
    <row r="17" spans="2:6" x14ac:dyDescent="0.2">
      <c r="B17" s="7">
        <v>7</v>
      </c>
      <c r="C17" s="7" t="s">
        <v>254</v>
      </c>
      <c r="D17" s="7"/>
      <c r="E17" s="7" t="s">
        <v>333</v>
      </c>
      <c r="F17" s="7"/>
    </row>
    <row r="18" spans="2:6" x14ac:dyDescent="0.2">
      <c r="B18" s="7">
        <v>8</v>
      </c>
      <c r="C18" s="7" t="s">
        <v>255</v>
      </c>
      <c r="D18" s="7"/>
      <c r="E18" s="7" t="s">
        <v>333</v>
      </c>
      <c r="F18" s="7"/>
    </row>
    <row r="19" spans="2:6" x14ac:dyDescent="0.2">
      <c r="B19" s="7">
        <v>9</v>
      </c>
      <c r="C19" s="7" t="s">
        <v>311</v>
      </c>
      <c r="D19" s="7"/>
      <c r="E19" s="7" t="s">
        <v>286</v>
      </c>
      <c r="F19" s="7"/>
    </row>
    <row r="20" spans="2:6" x14ac:dyDescent="0.2">
      <c r="B20" s="7">
        <v>10</v>
      </c>
      <c r="C20" s="7" t="s">
        <v>310</v>
      </c>
      <c r="D20" s="7"/>
      <c r="E20" s="7" t="s">
        <v>333</v>
      </c>
      <c r="F20" s="7"/>
    </row>
    <row r="21" spans="2:6" x14ac:dyDescent="0.2">
      <c r="B21" s="7">
        <v>11</v>
      </c>
      <c r="C21" s="2" t="s">
        <v>351</v>
      </c>
      <c r="D21" s="7"/>
      <c r="E21" s="7"/>
      <c r="F21" s="7"/>
    </row>
    <row r="22" spans="2:6" x14ac:dyDescent="0.2">
      <c r="B22" s="7">
        <v>12</v>
      </c>
      <c r="C22" s="7" t="s">
        <v>312</v>
      </c>
      <c r="D22" s="7" t="s">
        <v>322</v>
      </c>
      <c r="E22" s="7"/>
      <c r="F22" s="89" t="s">
        <v>327</v>
      </c>
    </row>
    <row r="23" spans="2:6" x14ac:dyDescent="0.2">
      <c r="B23" s="88"/>
      <c r="C23" s="88"/>
      <c r="D23" s="88"/>
      <c r="E23" s="88"/>
      <c r="F23" s="88"/>
    </row>
    <row r="27" spans="2:6" x14ac:dyDescent="0.2">
      <c r="B27" s="2" t="s">
        <v>145</v>
      </c>
    </row>
    <row r="29" spans="2:6" x14ac:dyDescent="0.2">
      <c r="E29" s="47"/>
    </row>
  </sheetData>
  <hyperlinks>
    <hyperlink ref="F11" r:id="rId1"/>
    <hyperlink ref="F13" r:id="rId2"/>
    <hyperlink ref="F12" r:id="rId3"/>
    <hyperlink ref="F14" r:id="rId4" location="/CBS/nl/dataset/81122NED/table?fromstatweb"/>
    <hyperlink ref="F15" r:id="rId5"/>
    <hyperlink ref="F22" r:id="rId6"/>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T28"/>
  <sheetViews>
    <sheetView showGridLines="0" zoomScale="80" zoomScaleNormal="80" workbookViewId="0">
      <pane xSplit="6" ySplit="12" topLeftCell="G13" activePane="bottomRight" state="frozen"/>
      <selection activeCell="O39" sqref="O39"/>
      <selection pane="topRight" activeCell="O39" sqref="O39"/>
      <selection pane="bottomLeft" activeCell="O39" sqref="O39"/>
      <selection pane="bottomRight" activeCell="G13" sqref="G13"/>
    </sheetView>
  </sheetViews>
  <sheetFormatPr defaultRowHeight="12.75" x14ac:dyDescent="0.2"/>
  <cols>
    <col min="1" max="1" width="4.7109375" style="2" customWidth="1"/>
    <col min="2" max="2" width="62.85546875" style="2" customWidth="1"/>
    <col min="3" max="5" width="4.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6.5703125" style="2" customWidth="1"/>
    <col min="17" max="19" width="2.7109375" style="2" customWidth="1"/>
    <col min="20" max="34" width="13.7109375" style="2" customWidth="1"/>
    <col min="35" max="16384" width="9.140625" style="2"/>
  </cols>
  <sheetData>
    <row r="2" spans="2:20" s="22" customFormat="1" ht="18" x14ac:dyDescent="0.2">
      <c r="B2" s="22" t="s">
        <v>29</v>
      </c>
    </row>
    <row r="4" spans="2:20" x14ac:dyDescent="0.2">
      <c r="B4" s="32" t="s">
        <v>51</v>
      </c>
      <c r="C4" s="1"/>
      <c r="D4" s="1"/>
    </row>
    <row r="5" spans="2:20" x14ac:dyDescent="0.2">
      <c r="B5" s="27" t="s">
        <v>309</v>
      </c>
      <c r="C5" s="3"/>
      <c r="D5" s="3"/>
      <c r="H5" s="23"/>
    </row>
    <row r="6" spans="2:20" x14ac:dyDescent="0.2">
      <c r="B6" s="27"/>
      <c r="C6" s="3"/>
      <c r="D6" s="3"/>
      <c r="H6" s="23"/>
    </row>
    <row r="7" spans="2:20" x14ac:dyDescent="0.2">
      <c r="B7" s="33" t="s">
        <v>37</v>
      </c>
      <c r="C7" s="3"/>
      <c r="D7" s="3"/>
      <c r="H7" s="23"/>
    </row>
    <row r="8" spans="2:20" x14ac:dyDescent="0.2">
      <c r="B8" s="33" t="s">
        <v>245</v>
      </c>
      <c r="C8" s="3"/>
      <c r="D8" s="3"/>
      <c r="H8" s="23"/>
    </row>
    <row r="9" spans="2:20" x14ac:dyDescent="0.2">
      <c r="B9" s="69"/>
      <c r="C9" s="3"/>
      <c r="D9" s="3"/>
      <c r="H9" s="23"/>
    </row>
    <row r="11" spans="2:20" s="48" customFormat="1" ht="25.5" x14ac:dyDescent="0.2">
      <c r="B11" s="48" t="s">
        <v>41</v>
      </c>
      <c r="F11" s="48" t="s">
        <v>23</v>
      </c>
      <c r="H11" s="48" t="s">
        <v>24</v>
      </c>
      <c r="J11" s="48" t="s">
        <v>45</v>
      </c>
      <c r="L11" s="48" t="s">
        <v>279</v>
      </c>
      <c r="M11" s="48" t="s">
        <v>280</v>
      </c>
      <c r="N11" s="48" t="s">
        <v>277</v>
      </c>
      <c r="O11" s="48" t="s">
        <v>278</v>
      </c>
      <c r="P11" s="48" t="s">
        <v>66</v>
      </c>
      <c r="T11" s="48" t="s">
        <v>43</v>
      </c>
    </row>
    <row r="14" spans="2:20" s="9" customFormat="1" x14ac:dyDescent="0.2">
      <c r="B14" s="9" t="s">
        <v>283</v>
      </c>
    </row>
    <row r="16" spans="2:20" x14ac:dyDescent="0.2">
      <c r="B16" s="1" t="s">
        <v>297</v>
      </c>
    </row>
    <row r="17" spans="2:16" x14ac:dyDescent="0.2">
      <c r="B17" s="27" t="s">
        <v>116</v>
      </c>
      <c r="F17" s="2" t="s">
        <v>98</v>
      </c>
      <c r="J17" s="52">
        <f>SUM(L17:P17)</f>
        <v>604231.74968202319</v>
      </c>
      <c r="L17" s="61">
        <f>'Berekening volumecorrecties'!L47</f>
        <v>1001648.1624847753</v>
      </c>
      <c r="M17" s="61">
        <f>'Berekening volumecorrecties'!M47</f>
        <v>-229131.26002163434</v>
      </c>
      <c r="N17" s="61">
        <f>'Berekening volumecorrecties'!N47</f>
        <v>-199521.50566484733</v>
      </c>
      <c r="O17" s="61">
        <f>'Berekening volumecorrecties'!O47</f>
        <v>18622.062004120962</v>
      </c>
      <c r="P17" s="61">
        <f>'Berekening volumecorrecties'!P47</f>
        <v>12614.29087960859</v>
      </c>
    </row>
    <row r="18" spans="2:16" x14ac:dyDescent="0.2">
      <c r="B18" s="2" t="s">
        <v>150</v>
      </c>
      <c r="F18" s="2" t="s">
        <v>98</v>
      </c>
      <c r="J18" s="52">
        <f>SUM(L18:P18)</f>
        <v>-153452.74283183101</v>
      </c>
      <c r="L18" s="85"/>
      <c r="M18" s="61">
        <f>'Berekening volumecorrecties'!M61</f>
        <v>-153452.74283183101</v>
      </c>
      <c r="N18" s="85"/>
      <c r="O18" s="85"/>
      <c r="P18" s="85"/>
    </row>
    <row r="19" spans="2:16" x14ac:dyDescent="0.2">
      <c r="N19" s="80"/>
    </row>
    <row r="20" spans="2:16" x14ac:dyDescent="0.2">
      <c r="B20" s="1" t="s">
        <v>298</v>
      </c>
    </row>
    <row r="21" spans="2:16" x14ac:dyDescent="0.2">
      <c r="B21" s="27" t="s">
        <v>299</v>
      </c>
      <c r="F21" s="2" t="s">
        <v>98</v>
      </c>
      <c r="J21" s="52">
        <f>SUM(L21:P21)</f>
        <v>258473.84985773932</v>
      </c>
      <c r="L21" s="61">
        <f>'Berekening profit sharing'!L41</f>
        <v>142379.38983576419</v>
      </c>
      <c r="M21" s="61">
        <f>'Berekening profit sharing'!M41</f>
        <v>-106392.59072525776</v>
      </c>
      <c r="N21" s="61">
        <f>'Berekening profit sharing'!N41</f>
        <v>157357.8642840567</v>
      </c>
      <c r="O21" s="61">
        <f>'Berekening profit sharing'!O41</f>
        <v>77290.995337877073</v>
      </c>
      <c r="P21" s="61">
        <f>'Berekening profit sharing'!P41</f>
        <v>-12161.808874700893</v>
      </c>
    </row>
    <row r="22" spans="2:16" x14ac:dyDescent="0.2">
      <c r="B22" s="27" t="s">
        <v>300</v>
      </c>
      <c r="F22" s="2" t="s">
        <v>98</v>
      </c>
      <c r="J22" s="52">
        <f>SUM(L22:P22)</f>
        <v>-189289.01141975593</v>
      </c>
      <c r="L22" s="68"/>
      <c r="M22" s="61">
        <f>'Berekening profit sharing'!M45</f>
        <v>-209879.74183755001</v>
      </c>
      <c r="N22" s="68"/>
      <c r="O22" s="61">
        <f>'Berekening profit sharing'!O45</f>
        <v>20590.730417794082</v>
      </c>
      <c r="P22" s="68"/>
    </row>
    <row r="23" spans="2:16" x14ac:dyDescent="0.2">
      <c r="N23" s="80"/>
    </row>
    <row r="28" spans="2:16" x14ac:dyDescent="0.2">
      <c r="B28" s="2" t="s">
        <v>145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92"/>
  <sheetViews>
    <sheetView showGridLines="0" zoomScale="85" zoomScaleNormal="85" workbookViewId="0">
      <pane xSplit="6" ySplit="15" topLeftCell="G16" activePane="bottomRight" state="frozen"/>
      <selection activeCell="R6" sqref="R6"/>
      <selection pane="topRight" activeCell="R6" sqref="R6"/>
      <selection pane="bottomLeft" activeCell="R6" sqref="R6"/>
      <selection pane="bottomRight" activeCell="G16" sqref="G16"/>
    </sheetView>
  </sheetViews>
  <sheetFormatPr defaultRowHeight="12.75" x14ac:dyDescent="0.2"/>
  <cols>
    <col min="1" max="1" width="4.7109375" style="2" customWidth="1"/>
    <col min="2" max="2" width="61.28515625" style="2" customWidth="1"/>
    <col min="3" max="3" width="4.7109375" style="2" customWidth="1"/>
    <col min="4" max="5" width="4.5703125" style="2" customWidth="1"/>
    <col min="6" max="6" width="18.85546875" style="2" customWidth="1"/>
    <col min="7" max="7" width="2.7109375" style="2" customWidth="1"/>
    <col min="8" max="8" width="11.85546875" style="2" customWidth="1"/>
    <col min="9" max="9" width="2.7109375" style="2" customWidth="1"/>
    <col min="10" max="10" width="13.7109375" style="2" customWidth="1"/>
    <col min="11" max="11" width="2.7109375" style="2" customWidth="1"/>
    <col min="12" max="16" width="17.7109375" style="2" customWidth="1"/>
    <col min="17" max="17" width="2.7109375" style="2" customWidth="1"/>
    <col min="18" max="18" width="53.85546875" style="2" customWidth="1"/>
    <col min="19" max="19" width="2.7109375" style="2" customWidth="1"/>
    <col min="20" max="20" width="89.140625" style="2" customWidth="1"/>
    <col min="21" max="21" width="2.7109375" style="2" customWidth="1"/>
    <col min="22" max="36" width="13.7109375" style="2" customWidth="1"/>
    <col min="37" max="16384" width="9.140625" style="2"/>
  </cols>
  <sheetData>
    <row r="2" spans="2:20" s="22" customFormat="1" ht="18" x14ac:dyDescent="0.2">
      <c r="B2" s="22" t="s">
        <v>67</v>
      </c>
    </row>
    <row r="4" spans="2:20" x14ac:dyDescent="0.2">
      <c r="B4" s="32" t="s">
        <v>25</v>
      </c>
      <c r="C4" s="1"/>
      <c r="D4" s="1"/>
      <c r="L4"/>
    </row>
    <row r="5" spans="2:20" x14ac:dyDescent="0.2">
      <c r="B5" s="27" t="s">
        <v>273</v>
      </c>
      <c r="C5" s="3"/>
      <c r="D5" s="3"/>
      <c r="H5" s="23"/>
    </row>
    <row r="6" spans="2:20" x14ac:dyDescent="0.2">
      <c r="B6" s="27" t="s">
        <v>231</v>
      </c>
      <c r="C6" s="3"/>
      <c r="D6" s="3"/>
      <c r="H6" s="23"/>
    </row>
    <row r="7" spans="2:20" x14ac:dyDescent="0.2">
      <c r="B7" s="27"/>
      <c r="C7" s="3"/>
      <c r="D7" s="3"/>
      <c r="H7" s="23"/>
    </row>
    <row r="8" spans="2:20" x14ac:dyDescent="0.2">
      <c r="B8" s="33" t="s">
        <v>26</v>
      </c>
      <c r="C8" s="3"/>
      <c r="D8" s="3"/>
      <c r="H8" s="23"/>
    </row>
    <row r="9" spans="2:20" x14ac:dyDescent="0.2">
      <c r="B9" s="5" t="s">
        <v>274</v>
      </c>
      <c r="C9" s="3"/>
      <c r="D9" s="3"/>
    </row>
    <row r="10" spans="2:20" x14ac:dyDescent="0.2">
      <c r="B10" s="5" t="s">
        <v>275</v>
      </c>
    </row>
    <row r="11" spans="2:20" x14ac:dyDescent="0.2">
      <c r="B11" s="5" t="s">
        <v>313</v>
      </c>
    </row>
    <row r="12" spans="2:20" x14ac:dyDescent="0.2">
      <c r="B12" s="78"/>
    </row>
    <row r="14" spans="2:20" s="9" customFormat="1" ht="25.5" x14ac:dyDescent="0.2">
      <c r="B14" s="9" t="s">
        <v>41</v>
      </c>
      <c r="F14" s="9" t="s">
        <v>23</v>
      </c>
      <c r="H14" s="9" t="s">
        <v>24</v>
      </c>
      <c r="J14" s="9" t="s">
        <v>45</v>
      </c>
      <c r="L14" s="48" t="s">
        <v>279</v>
      </c>
      <c r="M14" s="48" t="s">
        <v>280</v>
      </c>
      <c r="N14" s="48" t="s">
        <v>277</v>
      </c>
      <c r="O14" s="48" t="s">
        <v>278</v>
      </c>
      <c r="P14" s="48" t="s">
        <v>66</v>
      </c>
      <c r="R14" s="9" t="s">
        <v>42</v>
      </c>
      <c r="T14" s="9" t="s">
        <v>43</v>
      </c>
    </row>
    <row r="17" spans="2:20" s="9" customFormat="1" x14ac:dyDescent="0.2">
      <c r="B17" s="9" t="s">
        <v>68</v>
      </c>
    </row>
    <row r="19" spans="2:20" x14ac:dyDescent="0.2">
      <c r="B19" s="1" t="s">
        <v>178</v>
      </c>
    </row>
    <row r="20" spans="2:20" x14ac:dyDescent="0.2">
      <c r="B20" s="2" t="s">
        <v>90</v>
      </c>
      <c r="F20" s="2" t="s">
        <v>97</v>
      </c>
      <c r="J20" s="52">
        <f>SUM(L20:P20)</f>
        <v>45832101.564869225</v>
      </c>
      <c r="L20" s="51">
        <v>1466641.7435765746</v>
      </c>
      <c r="M20" s="51">
        <v>31306208.382169019</v>
      </c>
      <c r="N20" s="51">
        <v>3317523.6225632094</v>
      </c>
      <c r="O20" s="51">
        <v>9655041.4370903596</v>
      </c>
      <c r="P20" s="51">
        <v>86686.379470060623</v>
      </c>
      <c r="R20" s="2" t="s">
        <v>92</v>
      </c>
    </row>
    <row r="21" spans="2:20" x14ac:dyDescent="0.2">
      <c r="B21" s="2" t="s">
        <v>80</v>
      </c>
      <c r="F21" s="2" t="s">
        <v>97</v>
      </c>
      <c r="J21" s="52">
        <f>SUM(L21:P21)</f>
        <v>3783097.9916499485</v>
      </c>
      <c r="L21" s="51">
        <v>114247.96293013598</v>
      </c>
      <c r="M21" s="51">
        <v>2215612.8777569225</v>
      </c>
      <c r="N21" s="51">
        <v>125860.94265833905</v>
      </c>
      <c r="O21" s="51">
        <v>1254137.6324419475</v>
      </c>
      <c r="P21" s="51">
        <v>73238.575862603611</v>
      </c>
      <c r="R21" s="2" t="s">
        <v>92</v>
      </c>
    </row>
    <row r="22" spans="2:20" x14ac:dyDescent="0.2">
      <c r="B22" s="2" t="s">
        <v>170</v>
      </c>
      <c r="F22" s="2" t="s">
        <v>97</v>
      </c>
      <c r="J22" s="52">
        <f>SUM(L22:P22)</f>
        <v>13258830.355265999</v>
      </c>
      <c r="L22" s="51">
        <v>676932.92009770696</v>
      </c>
      <c r="M22" s="51">
        <v>6284026.0540955085</v>
      </c>
      <c r="N22" s="66">
        <v>2836789.6613209373</v>
      </c>
      <c r="O22" s="51">
        <v>3400474.9597518463</v>
      </c>
      <c r="P22" s="51">
        <v>60606.76</v>
      </c>
      <c r="R22" s="2" t="s">
        <v>92</v>
      </c>
    </row>
    <row r="23" spans="2:20" x14ac:dyDescent="0.2">
      <c r="B23" s="2" t="s">
        <v>258</v>
      </c>
      <c r="F23" s="2" t="s">
        <v>97</v>
      </c>
      <c r="J23" s="52"/>
      <c r="L23" s="68"/>
      <c r="M23" s="68"/>
      <c r="N23" s="66"/>
      <c r="O23" s="68"/>
      <c r="P23" s="68"/>
      <c r="R23" s="2" t="s">
        <v>92</v>
      </c>
    </row>
    <row r="24" spans="2:20" x14ac:dyDescent="0.2">
      <c r="N24" s="53"/>
    </row>
    <row r="25" spans="2:20" x14ac:dyDescent="0.2">
      <c r="B25" s="1" t="s">
        <v>179</v>
      </c>
    </row>
    <row r="26" spans="2:20" x14ac:dyDescent="0.2">
      <c r="B26" s="1"/>
    </row>
    <row r="27" spans="2:20" x14ac:dyDescent="0.2">
      <c r="B27" s="5" t="s">
        <v>185</v>
      </c>
      <c r="M27" s="53"/>
    </row>
    <row r="28" spans="2:20" x14ac:dyDescent="0.2">
      <c r="B28" s="2" t="s">
        <v>183</v>
      </c>
      <c r="F28" s="2" t="s">
        <v>98</v>
      </c>
      <c r="J28" s="52">
        <f>SUM(L28:P28)</f>
        <v>1818048.527420009</v>
      </c>
      <c r="L28" s="51">
        <v>59007.027061915724</v>
      </c>
      <c r="M28" s="51">
        <v>1244592.5341184486</v>
      </c>
      <c r="N28" s="51">
        <v>133473.09050249416</v>
      </c>
      <c r="O28" s="51">
        <v>380975.87573715037</v>
      </c>
      <c r="P28" s="51">
        <v>0</v>
      </c>
      <c r="R28" s="2" t="s">
        <v>92</v>
      </c>
    </row>
    <row r="29" spans="2:20" x14ac:dyDescent="0.2">
      <c r="B29" s="2" t="s">
        <v>184</v>
      </c>
      <c r="F29" s="2" t="s">
        <v>98</v>
      </c>
      <c r="J29" s="52">
        <f>SUM(L29:P29)</f>
        <v>192063.7891289992</v>
      </c>
      <c r="L29" s="51">
        <v>5907.9164229234102</v>
      </c>
      <c r="M29" s="51">
        <v>114904.949057662</v>
      </c>
      <c r="N29" s="51">
        <v>6508.4392847383069</v>
      </c>
      <c r="O29" s="51">
        <v>64742.484363675474</v>
      </c>
      <c r="P29" s="51">
        <v>0</v>
      </c>
      <c r="R29" s="2" t="s">
        <v>92</v>
      </c>
    </row>
    <row r="30" spans="2:20" x14ac:dyDescent="0.2">
      <c r="T30" s="23"/>
    </row>
    <row r="31" spans="2:20" x14ac:dyDescent="0.2">
      <c r="B31" s="5" t="s">
        <v>186</v>
      </c>
      <c r="T31" s="23"/>
    </row>
    <row r="32" spans="2:20" x14ac:dyDescent="0.2">
      <c r="B32" s="2" t="s">
        <v>187</v>
      </c>
      <c r="F32" s="2" t="s">
        <v>98</v>
      </c>
      <c r="L32" s="51">
        <v>1554259</v>
      </c>
      <c r="M32" s="68"/>
      <c r="N32" s="68"/>
      <c r="O32" s="68"/>
      <c r="P32" s="68"/>
      <c r="R32" s="2" t="s">
        <v>92</v>
      </c>
      <c r="T32" s="31"/>
    </row>
    <row r="33" spans="2:20" x14ac:dyDescent="0.2">
      <c r="B33" s="2" t="s">
        <v>188</v>
      </c>
      <c r="F33" s="2" t="s">
        <v>102</v>
      </c>
      <c r="L33" s="71">
        <v>1.0898338715110674E-2</v>
      </c>
      <c r="M33" s="68"/>
      <c r="N33" s="68"/>
      <c r="O33" s="68"/>
      <c r="P33" s="68"/>
      <c r="R33" s="2" t="s">
        <v>92</v>
      </c>
      <c r="T33" s="2" t="s">
        <v>189</v>
      </c>
    </row>
    <row r="36" spans="2:20" s="9" customFormat="1" x14ac:dyDescent="0.2">
      <c r="B36" s="9" t="s">
        <v>176</v>
      </c>
    </row>
    <row r="38" spans="2:20" x14ac:dyDescent="0.2">
      <c r="B38" s="5" t="s">
        <v>177</v>
      </c>
    </row>
    <row r="39" spans="2:20" x14ac:dyDescent="0.2">
      <c r="B39" s="5"/>
    </row>
    <row r="40" spans="2:20" x14ac:dyDescent="0.2">
      <c r="B40" s="1" t="s">
        <v>260</v>
      </c>
    </row>
    <row r="41" spans="2:20" x14ac:dyDescent="0.2">
      <c r="B41" s="2" t="s">
        <v>259</v>
      </c>
      <c r="F41" s="2" t="s">
        <v>70</v>
      </c>
      <c r="L41" s="81">
        <v>0</v>
      </c>
      <c r="M41" s="81">
        <v>0.5</v>
      </c>
      <c r="N41" s="81">
        <v>0</v>
      </c>
      <c r="O41" s="81">
        <v>0.5</v>
      </c>
      <c r="P41" s="81">
        <v>0.5</v>
      </c>
      <c r="R41" s="2" t="s">
        <v>262</v>
      </c>
    </row>
    <row r="42" spans="2:20" x14ac:dyDescent="0.2">
      <c r="B42" s="2" t="s">
        <v>287</v>
      </c>
      <c r="F42" s="2" t="s">
        <v>70</v>
      </c>
      <c r="L42" s="81">
        <v>0</v>
      </c>
      <c r="M42" s="81">
        <v>0.5</v>
      </c>
      <c r="N42" s="81">
        <v>0</v>
      </c>
      <c r="O42" s="81">
        <v>0.5</v>
      </c>
      <c r="P42" s="81">
        <v>0.5</v>
      </c>
      <c r="R42" s="2" t="s">
        <v>262</v>
      </c>
    </row>
    <row r="43" spans="2:20" x14ac:dyDescent="0.2">
      <c r="B43" s="2" t="s">
        <v>261</v>
      </c>
      <c r="F43" s="2" t="s">
        <v>70</v>
      </c>
      <c r="L43" s="81">
        <v>0.08</v>
      </c>
      <c r="M43" s="81">
        <v>0.12</v>
      </c>
      <c r="N43" s="81">
        <v>0.35</v>
      </c>
      <c r="O43" s="81">
        <v>0.2</v>
      </c>
      <c r="P43" s="83">
        <f>O43</f>
        <v>0.2</v>
      </c>
      <c r="R43" s="2" t="s">
        <v>331</v>
      </c>
      <c r="T43"/>
    </row>
    <row r="45" spans="2:20" s="9" customFormat="1" x14ac:dyDescent="0.2">
      <c r="B45" s="9" t="s">
        <v>180</v>
      </c>
    </row>
    <row r="47" spans="2:20" x14ac:dyDescent="0.2">
      <c r="B47" s="1" t="s">
        <v>288</v>
      </c>
      <c r="J47" s="53"/>
    </row>
    <row r="48" spans="2:20" x14ac:dyDescent="0.2">
      <c r="B48" s="2" t="s">
        <v>90</v>
      </c>
      <c r="F48" s="2" t="s">
        <v>97</v>
      </c>
      <c r="J48" s="52">
        <f>SUM(L48:P48)</f>
        <v>20523968.099364717</v>
      </c>
      <c r="L48" s="52">
        <f t="shared" ref="L48:P50" si="0">L41*L20</f>
        <v>0</v>
      </c>
      <c r="M48" s="52">
        <f t="shared" si="0"/>
        <v>15653104.19108451</v>
      </c>
      <c r="N48" s="52">
        <f t="shared" si="0"/>
        <v>0</v>
      </c>
      <c r="O48" s="52">
        <f t="shared" si="0"/>
        <v>4827520.7185451798</v>
      </c>
      <c r="P48" s="52">
        <f t="shared" si="0"/>
        <v>43343.189735030312</v>
      </c>
    </row>
    <row r="49" spans="2:20" x14ac:dyDescent="0.2">
      <c r="B49" s="2" t="s">
        <v>80</v>
      </c>
      <c r="F49" s="2" t="s">
        <v>97</v>
      </c>
      <c r="J49" s="52">
        <f>SUM(L49:P49)</f>
        <v>1771494.5430307367</v>
      </c>
      <c r="L49" s="52">
        <f t="shared" si="0"/>
        <v>0</v>
      </c>
      <c r="M49" s="52">
        <f t="shared" si="0"/>
        <v>1107806.4388784613</v>
      </c>
      <c r="N49" s="52">
        <f t="shared" si="0"/>
        <v>0</v>
      </c>
      <c r="O49" s="52">
        <f t="shared" si="0"/>
        <v>627068.81622097373</v>
      </c>
      <c r="P49" s="52">
        <f t="shared" si="0"/>
        <v>36619.287931301806</v>
      </c>
    </row>
    <row r="50" spans="2:20" x14ac:dyDescent="0.2">
      <c r="B50" s="2" t="s">
        <v>170</v>
      </c>
      <c r="F50" s="2" t="s">
        <v>97</v>
      </c>
      <c r="J50" s="52">
        <f>SUM(L50:P50)</f>
        <v>1875980.8855119748</v>
      </c>
      <c r="L50" s="52">
        <f t="shared" si="0"/>
        <v>54154.633607816555</v>
      </c>
      <c r="M50" s="52">
        <f t="shared" si="0"/>
        <v>754083.12649146095</v>
      </c>
      <c r="N50" s="66">
        <v>375526.78146232804</v>
      </c>
      <c r="O50" s="52">
        <f t="shared" si="0"/>
        <v>680094.99195036932</v>
      </c>
      <c r="P50" s="52">
        <f t="shared" si="0"/>
        <v>12121.352000000001</v>
      </c>
      <c r="T50" s="31"/>
    </row>
    <row r="51" spans="2:20" x14ac:dyDescent="0.2">
      <c r="J51" s="53"/>
      <c r="L51" s="80"/>
      <c r="M51" s="80"/>
      <c r="N51" s="80"/>
      <c r="O51" s="80"/>
      <c r="P51" s="80"/>
    </row>
    <row r="52" spans="2:20" x14ac:dyDescent="0.2">
      <c r="B52" s="1" t="s">
        <v>289</v>
      </c>
    </row>
    <row r="53" spans="2:20" x14ac:dyDescent="0.2">
      <c r="B53" s="2" t="s">
        <v>90</v>
      </c>
      <c r="F53" s="2" t="s">
        <v>97</v>
      </c>
      <c r="J53" s="52">
        <f>SUM(L53:P53)</f>
        <v>25308133.465504501</v>
      </c>
      <c r="L53" s="52">
        <f t="shared" ref="L53:P54" si="1">L20-L48</f>
        <v>1466641.7435765746</v>
      </c>
      <c r="M53" s="52">
        <f t="shared" si="1"/>
        <v>15653104.19108451</v>
      </c>
      <c r="N53" s="52">
        <f t="shared" si="1"/>
        <v>3317523.6225632094</v>
      </c>
      <c r="O53" s="52">
        <f t="shared" si="1"/>
        <v>4827520.7185451798</v>
      </c>
      <c r="P53" s="52">
        <f t="shared" si="1"/>
        <v>43343.189735030312</v>
      </c>
      <c r="T53" s="31"/>
    </row>
    <row r="54" spans="2:20" x14ac:dyDescent="0.2">
      <c r="B54" s="2" t="s">
        <v>80</v>
      </c>
      <c r="F54" s="2" t="s">
        <v>97</v>
      </c>
      <c r="J54" s="52">
        <f>SUM(L54:P54)</f>
        <v>2011603.4486192118</v>
      </c>
      <c r="L54" s="52">
        <f t="shared" si="1"/>
        <v>114247.96293013598</v>
      </c>
      <c r="M54" s="52">
        <f t="shared" si="1"/>
        <v>1107806.4388784613</v>
      </c>
      <c r="N54" s="52">
        <f t="shared" si="1"/>
        <v>125860.94265833905</v>
      </c>
      <c r="O54" s="52">
        <f t="shared" si="1"/>
        <v>627068.81622097373</v>
      </c>
      <c r="P54" s="52">
        <f t="shared" si="1"/>
        <v>36619.287931301806</v>
      </c>
    </row>
    <row r="55" spans="2:20" x14ac:dyDescent="0.2">
      <c r="B55" s="2" t="s">
        <v>170</v>
      </c>
      <c r="F55" s="2" t="s">
        <v>97</v>
      </c>
      <c r="J55" s="52">
        <f>SUM(L55:P55)</f>
        <v>11382849.469754025</v>
      </c>
      <c r="L55" s="52">
        <f>L22-L50</f>
        <v>622778.28648989042</v>
      </c>
      <c r="M55" s="52">
        <f>M22-M50</f>
        <v>5529942.9276040476</v>
      </c>
      <c r="N55" s="66">
        <f>N22-N50</f>
        <v>2461262.8798586093</v>
      </c>
      <c r="O55" s="52">
        <f>O22-O50</f>
        <v>2720379.9678014768</v>
      </c>
      <c r="P55" s="52">
        <f>P22-P50</f>
        <v>48485.408000000003</v>
      </c>
      <c r="T55" s="31"/>
    </row>
    <row r="56" spans="2:20" x14ac:dyDescent="0.2">
      <c r="J56" s="53"/>
    </row>
    <row r="57" spans="2:20" x14ac:dyDescent="0.2">
      <c r="B57" s="1" t="s">
        <v>264</v>
      </c>
    </row>
    <row r="58" spans="2:20" x14ac:dyDescent="0.2">
      <c r="B58" s="1"/>
    </row>
    <row r="59" spans="2:20" x14ac:dyDescent="0.2">
      <c r="B59" s="5" t="s">
        <v>133</v>
      </c>
    </row>
    <row r="60" spans="2:20" x14ac:dyDescent="0.2">
      <c r="B60" s="2" t="s">
        <v>78</v>
      </c>
      <c r="F60" s="2" t="s">
        <v>98</v>
      </c>
      <c r="J60" s="52">
        <f>SUM(L60:P60)</f>
        <v>0</v>
      </c>
      <c r="L60" s="42">
        <v>0</v>
      </c>
      <c r="M60" s="42">
        <v>0</v>
      </c>
      <c r="N60" s="42">
        <v>0</v>
      </c>
      <c r="O60" s="42">
        <v>0</v>
      </c>
      <c r="P60" s="42">
        <v>0</v>
      </c>
    </row>
    <row r="61" spans="2:20" x14ac:dyDescent="0.2">
      <c r="B61" s="2" t="s">
        <v>80</v>
      </c>
      <c r="F61" s="2" t="s">
        <v>98</v>
      </c>
      <c r="J61" s="52">
        <f>SUM(L61:P61)</f>
        <v>0</v>
      </c>
      <c r="L61" s="42">
        <v>0</v>
      </c>
      <c r="M61" s="42">
        <v>0</v>
      </c>
      <c r="N61" s="42">
        <v>0</v>
      </c>
      <c r="O61" s="42">
        <v>0</v>
      </c>
      <c r="P61" s="42">
        <v>0</v>
      </c>
    </row>
    <row r="62" spans="2:20" x14ac:dyDescent="0.2">
      <c r="B62" s="2" t="s">
        <v>91</v>
      </c>
      <c r="F62" s="2" t="s">
        <v>98</v>
      </c>
      <c r="J62" s="52">
        <f>SUM(L62:P62)</f>
        <v>164156.859</v>
      </c>
      <c r="L62" s="66">
        <f>L33*L78</f>
        <v>164156.859</v>
      </c>
      <c r="M62" s="68"/>
      <c r="N62" s="68"/>
      <c r="O62" s="68"/>
      <c r="P62" s="68"/>
    </row>
    <row r="63" spans="2:20" x14ac:dyDescent="0.2">
      <c r="B63" s="1"/>
    </row>
    <row r="64" spans="2:20" x14ac:dyDescent="0.2">
      <c r="B64" s="5" t="s">
        <v>132</v>
      </c>
    </row>
    <row r="65" spans="2:20" x14ac:dyDescent="0.2">
      <c r="B65" s="2" t="s">
        <v>78</v>
      </c>
      <c r="F65" s="2" t="s">
        <v>98</v>
      </c>
      <c r="J65" s="52">
        <f>SUM(L65:P65)</f>
        <v>1818048.527420009</v>
      </c>
      <c r="L65" s="59">
        <f>L28</f>
        <v>59007.027061915724</v>
      </c>
      <c r="M65" s="59">
        <f t="shared" ref="M65:P65" si="2">M28</f>
        <v>1244592.5341184486</v>
      </c>
      <c r="N65" s="59">
        <f t="shared" si="2"/>
        <v>133473.09050249416</v>
      </c>
      <c r="O65" s="59">
        <f t="shared" si="2"/>
        <v>380975.87573715037</v>
      </c>
      <c r="P65" s="59">
        <f t="shared" si="2"/>
        <v>0</v>
      </c>
    </row>
    <row r="66" spans="2:20" x14ac:dyDescent="0.2">
      <c r="B66" s="2" t="s">
        <v>80</v>
      </c>
      <c r="F66" s="2" t="s">
        <v>98</v>
      </c>
      <c r="J66" s="52">
        <f>SUM(L66:P66)</f>
        <v>192063.7891289992</v>
      </c>
      <c r="L66" s="59">
        <f>L29</f>
        <v>5907.9164229234102</v>
      </c>
      <c r="M66" s="59">
        <f t="shared" ref="M66:P66" si="3">M29</f>
        <v>114904.949057662</v>
      </c>
      <c r="N66" s="59">
        <f t="shared" si="3"/>
        <v>6508.4392847383069</v>
      </c>
      <c r="O66" s="59">
        <f t="shared" si="3"/>
        <v>64742.484363675474</v>
      </c>
      <c r="P66" s="59">
        <f t="shared" si="3"/>
        <v>0</v>
      </c>
    </row>
    <row r="67" spans="2:20" x14ac:dyDescent="0.2">
      <c r="B67" s="2" t="s">
        <v>91</v>
      </c>
      <c r="F67" s="2" t="s">
        <v>98</v>
      </c>
      <c r="J67" s="52">
        <f>SUM(L67:P67)</f>
        <v>1554259</v>
      </c>
      <c r="L67" s="59">
        <f>L32</f>
        <v>1554259</v>
      </c>
      <c r="M67" s="68"/>
      <c r="N67" s="68"/>
      <c r="O67" s="68"/>
      <c r="P67" s="68"/>
    </row>
    <row r="70" spans="2:20" s="9" customFormat="1" x14ac:dyDescent="0.2">
      <c r="B70" s="9" t="s">
        <v>89</v>
      </c>
    </row>
    <row r="72" spans="2:20" x14ac:dyDescent="0.2">
      <c r="B72" s="32" t="s">
        <v>82</v>
      </c>
    </row>
    <row r="73" spans="2:20" x14ac:dyDescent="0.2">
      <c r="B73" s="2" t="s">
        <v>83</v>
      </c>
      <c r="F73" s="2" t="s">
        <v>84</v>
      </c>
      <c r="L73" s="54" t="s">
        <v>85</v>
      </c>
      <c r="M73" s="54" t="s">
        <v>86</v>
      </c>
      <c r="N73" s="54" t="s">
        <v>87</v>
      </c>
      <c r="O73" s="54" t="s">
        <v>134</v>
      </c>
      <c r="P73" s="54" t="s">
        <v>87</v>
      </c>
    </row>
    <row r="74" spans="2:20" x14ac:dyDescent="0.2">
      <c r="B74" s="2" t="s">
        <v>246</v>
      </c>
      <c r="F74" s="2" t="s">
        <v>147</v>
      </c>
      <c r="L74" s="51">
        <v>15292508</v>
      </c>
      <c r="M74" s="51">
        <v>90256.389423529428</v>
      </c>
      <c r="N74" s="51">
        <v>1636588</v>
      </c>
      <c r="O74" s="66">
        <f>9917.6/4</f>
        <v>2479.4</v>
      </c>
      <c r="P74" s="51">
        <v>9649.27</v>
      </c>
      <c r="R74" s="2" t="s">
        <v>92</v>
      </c>
      <c r="T74" s="2" t="s">
        <v>270</v>
      </c>
    </row>
    <row r="76" spans="2:20" x14ac:dyDescent="0.2">
      <c r="B76" s="1" t="s">
        <v>103</v>
      </c>
    </row>
    <row r="77" spans="2:20" x14ac:dyDescent="0.2">
      <c r="B77" s="2" t="s">
        <v>99</v>
      </c>
      <c r="F77" s="2" t="s">
        <v>85</v>
      </c>
      <c r="L77" s="51">
        <v>229950</v>
      </c>
      <c r="R77" s="2" t="s">
        <v>92</v>
      </c>
    </row>
    <row r="78" spans="2:20" x14ac:dyDescent="0.2">
      <c r="B78" s="2" t="s">
        <v>100</v>
      </c>
      <c r="F78" s="2" t="s">
        <v>85</v>
      </c>
      <c r="L78" s="51">
        <v>15062558</v>
      </c>
      <c r="R78" s="2" t="s">
        <v>92</v>
      </c>
    </row>
    <row r="79" spans="2:20" x14ac:dyDescent="0.2">
      <c r="B79" s="2" t="s">
        <v>315</v>
      </c>
      <c r="F79" s="2" t="s">
        <v>102</v>
      </c>
      <c r="L79" s="55">
        <v>0.17191724321489027</v>
      </c>
      <c r="R79" s="2" t="s">
        <v>227</v>
      </c>
      <c r="T79" s="2" t="s">
        <v>101</v>
      </c>
    </row>
    <row r="80" spans="2:20" x14ac:dyDescent="0.2">
      <c r="B80" s="2" t="s">
        <v>104</v>
      </c>
      <c r="F80" s="2" t="s">
        <v>85</v>
      </c>
      <c r="L80" s="51">
        <v>103709394</v>
      </c>
      <c r="R80" s="2" t="s">
        <v>105</v>
      </c>
    </row>
    <row r="81" spans="2:20" x14ac:dyDescent="0.2">
      <c r="B81" s="2" t="s">
        <v>316</v>
      </c>
      <c r="F81" s="2" t="s">
        <v>102</v>
      </c>
      <c r="L81" s="55">
        <v>0.12995627909000229</v>
      </c>
      <c r="R81" s="2" t="s">
        <v>229</v>
      </c>
      <c r="T81" s="2" t="s">
        <v>122</v>
      </c>
    </row>
    <row r="83" spans="2:20" x14ac:dyDescent="0.2">
      <c r="B83" s="1" t="s">
        <v>106</v>
      </c>
    </row>
    <row r="84" spans="2:20" x14ac:dyDescent="0.2">
      <c r="B84" s="2" t="s">
        <v>108</v>
      </c>
      <c r="F84" s="2" t="s">
        <v>107</v>
      </c>
      <c r="N84" s="55">
        <v>1.979793293815783</v>
      </c>
      <c r="R84" s="2" t="s">
        <v>230</v>
      </c>
    </row>
    <row r="86" spans="2:20" x14ac:dyDescent="0.2">
      <c r="B86" s="1" t="s">
        <v>171</v>
      </c>
    </row>
    <row r="87" spans="2:20" x14ac:dyDescent="0.2">
      <c r="B87" s="27" t="s">
        <v>128</v>
      </c>
      <c r="F87" s="2" t="s">
        <v>70</v>
      </c>
      <c r="M87" s="63">
        <v>0.11070000000000001</v>
      </c>
      <c r="O87" s="63">
        <v>0.1321</v>
      </c>
      <c r="R87" s="2" t="s">
        <v>92</v>
      </c>
    </row>
    <row r="92" spans="2:20" x14ac:dyDescent="0.2">
      <c r="B92" s="2" t="s">
        <v>145</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70"/>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2" customWidth="1"/>
    <col min="2" max="2" width="71.28515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7.7109375" style="2" customWidth="1"/>
    <col min="17" max="17" width="2.7109375" style="2" customWidth="1"/>
    <col min="18" max="18" width="33.5703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76</v>
      </c>
    </row>
    <row r="4" spans="2:20" x14ac:dyDescent="0.2">
      <c r="B4" s="32" t="s">
        <v>25</v>
      </c>
      <c r="C4" s="1"/>
      <c r="D4" s="1"/>
      <c r="L4"/>
    </row>
    <row r="5" spans="2:20" x14ac:dyDescent="0.2">
      <c r="B5" s="27" t="s">
        <v>290</v>
      </c>
      <c r="C5" s="3"/>
      <c r="D5" s="3"/>
      <c r="H5" s="23"/>
    </row>
    <row r="6" spans="2:20" x14ac:dyDescent="0.2">
      <c r="B6" s="27"/>
      <c r="C6" s="3"/>
      <c r="D6" s="3"/>
      <c r="H6" s="23"/>
    </row>
    <row r="7" spans="2:20" x14ac:dyDescent="0.2">
      <c r="B7" s="33" t="s">
        <v>26</v>
      </c>
      <c r="C7" s="3"/>
      <c r="D7" s="3"/>
      <c r="H7" s="23"/>
    </row>
    <row r="8" spans="2:20" x14ac:dyDescent="0.2">
      <c r="B8" s="33" t="s">
        <v>291</v>
      </c>
      <c r="C8" s="3"/>
      <c r="D8" s="3"/>
    </row>
    <row r="9" spans="2:20" x14ac:dyDescent="0.2">
      <c r="B9" s="33" t="s">
        <v>292</v>
      </c>
      <c r="C9" s="3"/>
      <c r="D9" s="3"/>
    </row>
    <row r="10" spans="2:20" x14ac:dyDescent="0.2">
      <c r="B10" s="79"/>
    </row>
    <row r="12" spans="2:20" s="9" customFormat="1" ht="25.5" x14ac:dyDescent="0.2">
      <c r="B12" s="9" t="s">
        <v>41</v>
      </c>
      <c r="F12" s="9" t="s">
        <v>23</v>
      </c>
      <c r="H12" s="9" t="s">
        <v>24</v>
      </c>
      <c r="J12" s="9" t="s">
        <v>45</v>
      </c>
      <c r="L12" s="48" t="s">
        <v>279</v>
      </c>
      <c r="M12" s="48" t="s">
        <v>280</v>
      </c>
      <c r="N12" s="48" t="s">
        <v>277</v>
      </c>
      <c r="O12" s="48" t="s">
        <v>278</v>
      </c>
      <c r="P12" s="48" t="s">
        <v>66</v>
      </c>
      <c r="R12" s="9" t="s">
        <v>42</v>
      </c>
      <c r="T12" s="9" t="s">
        <v>43</v>
      </c>
    </row>
    <row r="15" spans="2:20" s="9" customFormat="1" x14ac:dyDescent="0.2">
      <c r="B15" s="9" t="s">
        <v>79</v>
      </c>
    </row>
    <row r="16" spans="2:20" x14ac:dyDescent="0.2">
      <c r="L16" s="80"/>
      <c r="M16" s="80"/>
      <c r="N16" s="80"/>
      <c r="O16" s="80"/>
      <c r="P16" s="80"/>
    </row>
    <row r="17" spans="2:18" x14ac:dyDescent="0.2">
      <c r="B17" s="1" t="s">
        <v>182</v>
      </c>
      <c r="L17" s="80"/>
      <c r="M17" s="80"/>
      <c r="N17" s="80"/>
      <c r="O17" s="80"/>
      <c r="P17" s="80"/>
    </row>
    <row r="18" spans="2:18" x14ac:dyDescent="0.2">
      <c r="B18" s="2" t="s">
        <v>78</v>
      </c>
      <c r="F18" s="2" t="s">
        <v>98</v>
      </c>
      <c r="J18" s="52">
        <f>SUM(L18:P18)</f>
        <v>48940511.720001459</v>
      </c>
      <c r="L18" s="51">
        <v>1405032.3945354661</v>
      </c>
      <c r="M18" s="51">
        <v>32619275.98572398</v>
      </c>
      <c r="N18" s="51">
        <v>3145068.6323683369</v>
      </c>
      <c r="O18" s="51">
        <v>11725700.312810486</v>
      </c>
      <c r="P18" s="51">
        <v>45434.394563191861</v>
      </c>
      <c r="R18" s="2" t="s">
        <v>332</v>
      </c>
    </row>
    <row r="19" spans="2:18" x14ac:dyDescent="0.2">
      <c r="B19" s="2" t="s">
        <v>181</v>
      </c>
      <c r="F19" s="2" t="s">
        <v>98</v>
      </c>
      <c r="J19" s="52">
        <f>SUM(L19:P19)</f>
        <v>4527827.4343265938</v>
      </c>
      <c r="L19" s="51">
        <v>115379.45715476714</v>
      </c>
      <c r="M19" s="51">
        <v>2473542.4010411594</v>
      </c>
      <c r="N19" s="51">
        <v>267135.86365889176</v>
      </c>
      <c r="O19" s="51">
        <v>1642174.1774010661</v>
      </c>
      <c r="P19" s="51">
        <v>29595.535070709899</v>
      </c>
      <c r="R19" s="2" t="s">
        <v>332</v>
      </c>
    </row>
    <row r="20" spans="2:18" x14ac:dyDescent="0.2">
      <c r="B20" s="2" t="s">
        <v>170</v>
      </c>
      <c r="F20" s="2" t="s">
        <v>98</v>
      </c>
      <c r="J20" s="52">
        <f>SUM(L20:P20)</f>
        <v>15283167.4381421</v>
      </c>
      <c r="L20" s="66">
        <v>2618140.3803366143</v>
      </c>
      <c r="M20" s="51">
        <v>6158934.2023182716</v>
      </c>
      <c r="N20" s="66">
        <v>3100462.9677867889</v>
      </c>
      <c r="O20" s="51">
        <v>3323020.438482346</v>
      </c>
      <c r="P20" s="51">
        <v>82609.449218078706</v>
      </c>
      <c r="R20" s="2" t="s">
        <v>331</v>
      </c>
    </row>
    <row r="21" spans="2:18" x14ac:dyDescent="0.2">
      <c r="B21" s="2" t="s">
        <v>258</v>
      </c>
      <c r="F21" s="2" t="s">
        <v>98</v>
      </c>
      <c r="J21" s="52">
        <f>SUM(L21:P21)</f>
        <v>0</v>
      </c>
      <c r="L21" s="68"/>
      <c r="M21" s="68"/>
      <c r="N21" s="66"/>
      <c r="O21" s="68"/>
      <c r="P21" s="68"/>
    </row>
    <row r="22" spans="2:18" x14ac:dyDescent="0.2">
      <c r="L22" s="80"/>
      <c r="M22" s="80"/>
      <c r="N22" s="80"/>
      <c r="O22" s="80"/>
      <c r="P22" s="80"/>
    </row>
    <row r="24" spans="2:18" s="9" customFormat="1" x14ac:dyDescent="0.2">
      <c r="B24" s="9" t="s">
        <v>191</v>
      </c>
    </row>
    <row r="26" spans="2:18" x14ac:dyDescent="0.2">
      <c r="B26" s="1" t="s">
        <v>192</v>
      </c>
    </row>
    <row r="27" spans="2:18" x14ac:dyDescent="0.2">
      <c r="B27" s="2" t="s">
        <v>263</v>
      </c>
    </row>
    <row r="28" spans="2:18" x14ac:dyDescent="0.2">
      <c r="B28" s="2" t="s">
        <v>293</v>
      </c>
    </row>
    <row r="29" spans="2:18" x14ac:dyDescent="0.2">
      <c r="B29" s="2" t="s">
        <v>352</v>
      </c>
    </row>
    <row r="31" spans="2:18" x14ac:dyDescent="0.2">
      <c r="B31" s="5" t="s">
        <v>195</v>
      </c>
    </row>
    <row r="32" spans="2:18" x14ac:dyDescent="0.2">
      <c r="B32" s="27" t="s">
        <v>193</v>
      </c>
      <c r="F32" s="2" t="s">
        <v>98</v>
      </c>
      <c r="G32" s="72"/>
      <c r="H32" s="73"/>
      <c r="I32" s="72"/>
      <c r="J32" s="74">
        <f>SUM(L32:P32)</f>
        <v>79232.796570282837</v>
      </c>
      <c r="K32" s="72"/>
      <c r="L32" s="51">
        <v>7922.6036696360861</v>
      </c>
      <c r="M32" s="51">
        <v>47881.589534889339</v>
      </c>
      <c r="N32" s="51">
        <v>2653.0464186192908</v>
      </c>
      <c r="O32" s="51">
        <v>20749.491103325923</v>
      </c>
      <c r="P32" s="51">
        <v>26.065843812210492</v>
      </c>
      <c r="R32" s="2" t="s">
        <v>194</v>
      </c>
    </row>
    <row r="33" spans="2:20" x14ac:dyDescent="0.2">
      <c r="B33" s="2" t="s">
        <v>247</v>
      </c>
      <c r="F33" s="2" t="s">
        <v>98</v>
      </c>
      <c r="J33" s="74">
        <f>SUM(L33:P33)</f>
        <v>102118.51206429201</v>
      </c>
      <c r="L33" s="75">
        <f>L32</f>
        <v>7922.6036696360861</v>
      </c>
      <c r="M33" s="76">
        <f>M32/(9/12)</f>
        <v>63842.119379852455</v>
      </c>
      <c r="N33" s="75">
        <f>N32</f>
        <v>2653.0464186192908</v>
      </c>
      <c r="O33" s="76">
        <f>O32/(9/12)</f>
        <v>27665.988137767898</v>
      </c>
      <c r="P33" s="76">
        <f>P32/(9/12)</f>
        <v>34.754458416280656</v>
      </c>
      <c r="T33" s="2" t="s">
        <v>244</v>
      </c>
    </row>
    <row r="34" spans="2:20" x14ac:dyDescent="0.2">
      <c r="M34" s="53"/>
    </row>
    <row r="35" spans="2:20" x14ac:dyDescent="0.2">
      <c r="B35" s="1" t="s">
        <v>196</v>
      </c>
      <c r="M35" s="53"/>
    </row>
    <row r="36" spans="2:20" x14ac:dyDescent="0.2">
      <c r="B36" s="2" t="s">
        <v>197</v>
      </c>
      <c r="M36" s="53"/>
    </row>
    <row r="37" spans="2:20" x14ac:dyDescent="0.2">
      <c r="B37" s="2" t="s">
        <v>294</v>
      </c>
      <c r="M37" s="53"/>
    </row>
    <row r="38" spans="2:20" x14ac:dyDescent="0.2">
      <c r="M38" s="53"/>
    </row>
    <row r="40" spans="2:20" s="9" customFormat="1" x14ac:dyDescent="0.2">
      <c r="B40" s="9" t="s">
        <v>219</v>
      </c>
    </row>
    <row r="42" spans="2:20" x14ac:dyDescent="0.2">
      <c r="B42" s="1" t="s">
        <v>220</v>
      </c>
    </row>
    <row r="43" spans="2:20" x14ac:dyDescent="0.2">
      <c r="B43" s="2" t="s">
        <v>216</v>
      </c>
    </row>
    <row r="44" spans="2:20" x14ac:dyDescent="0.2">
      <c r="B44" s="2" t="s">
        <v>276</v>
      </c>
    </row>
    <row r="46" spans="2:20" x14ac:dyDescent="0.2">
      <c r="B46" s="5" t="s">
        <v>217</v>
      </c>
      <c r="R46" s="31"/>
    </row>
    <row r="47" spans="2:20" x14ac:dyDescent="0.2">
      <c r="B47" s="2" t="s">
        <v>218</v>
      </c>
      <c r="F47" s="2" t="s">
        <v>98</v>
      </c>
      <c r="J47" s="74">
        <f>SUM(L47:P47)</f>
        <v>301602.52742636448</v>
      </c>
      <c r="L47" s="68"/>
      <c r="M47" s="51">
        <v>114595.86191207875</v>
      </c>
      <c r="N47" s="68"/>
      <c r="O47" s="51">
        <v>165048.19051428576</v>
      </c>
      <c r="P47" s="51">
        <v>21958.475000000002</v>
      </c>
      <c r="R47" s="2" t="s">
        <v>248</v>
      </c>
    </row>
    <row r="48" spans="2:20" x14ac:dyDescent="0.2">
      <c r="M48" s="53"/>
      <c r="R48" s="31"/>
    </row>
    <row r="49" spans="2:18" x14ac:dyDescent="0.2">
      <c r="M49" s="53"/>
      <c r="R49" s="31"/>
    </row>
    <row r="50" spans="2:18" s="9" customFormat="1" x14ac:dyDescent="0.2">
      <c r="B50" s="9" t="s">
        <v>81</v>
      </c>
    </row>
    <row r="52" spans="2:18" x14ac:dyDescent="0.2">
      <c r="B52" s="64" t="s">
        <v>130</v>
      </c>
    </row>
    <row r="53" spans="2:18" x14ac:dyDescent="0.2">
      <c r="B53" s="2" t="s">
        <v>83</v>
      </c>
      <c r="F53" s="2" t="s">
        <v>84</v>
      </c>
      <c r="L53" s="54" t="s">
        <v>85</v>
      </c>
      <c r="M53" s="54" t="s">
        <v>86</v>
      </c>
      <c r="N53" s="54" t="s">
        <v>87</v>
      </c>
      <c r="O53" s="54" t="s">
        <v>134</v>
      </c>
      <c r="P53" s="54" t="s">
        <v>87</v>
      </c>
    </row>
    <row r="54" spans="2:18" x14ac:dyDescent="0.2">
      <c r="B54" s="2" t="s">
        <v>135</v>
      </c>
      <c r="F54" s="2" t="s">
        <v>84</v>
      </c>
      <c r="L54" s="51">
        <v>8947719.9499999993</v>
      </c>
      <c r="M54" s="51">
        <v>95421.534101471945</v>
      </c>
      <c r="N54" s="51">
        <v>1750931</v>
      </c>
      <c r="O54" s="51">
        <v>2606.1357191912034</v>
      </c>
      <c r="P54" s="51">
        <v>11006</v>
      </c>
      <c r="R54" s="2" t="s">
        <v>350</v>
      </c>
    </row>
    <row r="55" spans="2:18" x14ac:dyDescent="0.2">
      <c r="B55" s="2" t="s">
        <v>129</v>
      </c>
      <c r="F55" s="2" t="s">
        <v>70</v>
      </c>
      <c r="M55" s="70">
        <v>9.0200000000000002E-2</v>
      </c>
      <c r="O55" s="70">
        <v>0.14169999999999999</v>
      </c>
      <c r="R55" s="2" t="s">
        <v>350</v>
      </c>
    </row>
    <row r="57" spans="2:18" x14ac:dyDescent="0.2">
      <c r="B57" s="1" t="s">
        <v>103</v>
      </c>
    </row>
    <row r="58" spans="2:18" x14ac:dyDescent="0.2">
      <c r="B58" s="2" t="s">
        <v>99</v>
      </c>
      <c r="F58" s="2" t="s">
        <v>85</v>
      </c>
      <c r="L58" s="51">
        <v>325206.43000000005</v>
      </c>
      <c r="R58" s="2" t="s">
        <v>350</v>
      </c>
    </row>
    <row r="59" spans="2:18" x14ac:dyDescent="0.2">
      <c r="B59" s="2" t="s">
        <v>100</v>
      </c>
      <c r="F59" s="2" t="s">
        <v>85</v>
      </c>
      <c r="L59" s="51">
        <v>8622513.5199999996</v>
      </c>
      <c r="R59" s="2" t="s">
        <v>350</v>
      </c>
    </row>
    <row r="60" spans="2:18" x14ac:dyDescent="0.2">
      <c r="B60" s="2" t="s">
        <v>301</v>
      </c>
      <c r="F60" s="2" t="s">
        <v>85</v>
      </c>
      <c r="L60" s="51">
        <v>104119300</v>
      </c>
      <c r="R60" s="2" t="s">
        <v>351</v>
      </c>
    </row>
    <row r="61" spans="2:18" x14ac:dyDescent="0.2">
      <c r="B61" s="2" t="s">
        <v>304</v>
      </c>
      <c r="F61" s="2" t="s">
        <v>85</v>
      </c>
      <c r="L61" s="51">
        <v>79161000</v>
      </c>
      <c r="R61" s="2" t="s">
        <v>351</v>
      </c>
    </row>
    <row r="62" spans="2:18" x14ac:dyDescent="0.2">
      <c r="B62" s="2" t="s">
        <v>303</v>
      </c>
      <c r="F62" s="2" t="s">
        <v>85</v>
      </c>
      <c r="L62" s="51">
        <v>7476430</v>
      </c>
      <c r="R62" s="2" t="s">
        <v>305</v>
      </c>
    </row>
    <row r="67" spans="2:12" x14ac:dyDescent="0.2">
      <c r="B67" s="2" t="s">
        <v>145</v>
      </c>
    </row>
    <row r="69" spans="2:12" x14ac:dyDescent="0.2">
      <c r="L69" s="80"/>
    </row>
    <row r="70" spans="2:12" x14ac:dyDescent="0.2">
      <c r="L70" s="37"/>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L52"/>
  <sheetViews>
    <sheetView showGridLines="0" zoomScale="85" zoomScaleNormal="85" workbookViewId="0">
      <pane xSplit="6" ySplit="13" topLeftCell="G14" activePane="bottomRight" state="frozen"/>
      <selection activeCell="K45" sqref="K45"/>
      <selection pane="topRight" activeCell="K45" sqref="K45"/>
      <selection pane="bottomLeft" activeCell="K45" sqref="K45"/>
      <selection pane="bottomRight" activeCell="G14" sqref="G14"/>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5" style="2" customWidth="1"/>
    <col min="11" max="11" width="18.85546875" style="2" customWidth="1"/>
    <col min="12" max="13" width="45" style="2" customWidth="1"/>
    <col min="14" max="14" width="13.7109375" style="2" customWidth="1"/>
    <col min="15" max="15" width="2.7109375" style="2" customWidth="1"/>
    <col min="16" max="30" width="13.7109375" style="2" customWidth="1"/>
    <col min="31" max="16384" width="9.140625" style="2"/>
  </cols>
  <sheetData>
    <row r="2" spans="2:12" s="22" customFormat="1" ht="18" x14ac:dyDescent="0.2">
      <c r="B2" s="22" t="s">
        <v>151</v>
      </c>
    </row>
    <row r="4" spans="2:12" x14ac:dyDescent="0.2">
      <c r="B4" s="32" t="s">
        <v>25</v>
      </c>
      <c r="C4" s="1"/>
      <c r="D4" s="1"/>
    </row>
    <row r="5" spans="2:12" x14ac:dyDescent="0.2">
      <c r="B5" s="27" t="s">
        <v>249</v>
      </c>
      <c r="C5" s="27"/>
      <c r="D5" s="27"/>
      <c r="H5" s="23"/>
    </row>
    <row r="6" spans="2:12" x14ac:dyDescent="0.2">
      <c r="B6" s="27"/>
      <c r="C6" s="27"/>
      <c r="D6" s="27"/>
      <c r="H6" s="23"/>
    </row>
    <row r="7" spans="2:12" x14ac:dyDescent="0.2">
      <c r="B7" s="33" t="s">
        <v>26</v>
      </c>
      <c r="C7" s="27"/>
      <c r="D7" s="27"/>
      <c r="H7" s="23"/>
    </row>
    <row r="8" spans="2:12" x14ac:dyDescent="0.2">
      <c r="B8" s="5" t="s">
        <v>317</v>
      </c>
      <c r="C8" s="27"/>
      <c r="D8" s="27"/>
    </row>
    <row r="9" spans="2:12" x14ac:dyDescent="0.2">
      <c r="B9" s="5" t="s">
        <v>318</v>
      </c>
      <c r="C9" s="27"/>
      <c r="D9" s="27"/>
    </row>
    <row r="10" spans="2:12" x14ac:dyDescent="0.2">
      <c r="B10" s="5"/>
    </row>
    <row r="12" spans="2:12" s="9" customFormat="1" x14ac:dyDescent="0.2">
      <c r="B12" s="9" t="s">
        <v>41</v>
      </c>
      <c r="F12" s="9" t="s">
        <v>23</v>
      </c>
      <c r="H12" s="9" t="s">
        <v>24</v>
      </c>
      <c r="J12" s="9" t="s">
        <v>42</v>
      </c>
      <c r="L12" s="9" t="s">
        <v>43</v>
      </c>
    </row>
    <row r="15" spans="2:12" s="9" customFormat="1" x14ac:dyDescent="0.2">
      <c r="B15" s="9" t="s">
        <v>69</v>
      </c>
    </row>
    <row r="17" spans="2:10" x14ac:dyDescent="0.2">
      <c r="B17" s="2" t="s">
        <v>72</v>
      </c>
      <c r="F17" s="2" t="s">
        <v>70</v>
      </c>
      <c r="H17" s="63">
        <v>6.0000000000000001E-3</v>
      </c>
      <c r="J17" s="50" t="s">
        <v>71</v>
      </c>
    </row>
    <row r="18" spans="2:10" x14ac:dyDescent="0.2">
      <c r="B18" s="2" t="s">
        <v>73</v>
      </c>
      <c r="F18" s="2" t="s">
        <v>70</v>
      </c>
      <c r="H18" s="63">
        <v>6.0000000000000001E-3</v>
      </c>
      <c r="J18" s="50" t="s">
        <v>71</v>
      </c>
    </row>
    <row r="21" spans="2:10" s="9" customFormat="1" x14ac:dyDescent="0.2">
      <c r="B21" s="9" t="s">
        <v>152</v>
      </c>
    </row>
    <row r="23" spans="2:10" x14ac:dyDescent="0.2">
      <c r="B23" s="2" t="s">
        <v>74</v>
      </c>
      <c r="F23" s="2" t="s">
        <v>70</v>
      </c>
      <c r="H23" s="63">
        <v>6.6600000000000006E-2</v>
      </c>
      <c r="J23" s="50" t="s">
        <v>75</v>
      </c>
    </row>
    <row r="26" spans="2:10" s="9" customFormat="1" x14ac:dyDescent="0.2">
      <c r="B26" s="9" t="s">
        <v>172</v>
      </c>
    </row>
    <row r="28" spans="2:10" x14ac:dyDescent="0.2">
      <c r="B28" s="1" t="s">
        <v>156</v>
      </c>
    </row>
    <row r="29" spans="2:10" x14ac:dyDescent="0.2">
      <c r="B29" s="2" t="s">
        <v>153</v>
      </c>
      <c r="F29" s="2" t="s">
        <v>155</v>
      </c>
      <c r="H29" s="55">
        <v>0.22981847048800561</v>
      </c>
      <c r="J29" s="2" t="s">
        <v>157</v>
      </c>
    </row>
    <row r="30" spans="2:10" x14ac:dyDescent="0.2">
      <c r="B30" s="2" t="s">
        <v>154</v>
      </c>
      <c r="F30" s="2" t="s">
        <v>155</v>
      </c>
      <c r="H30" s="55">
        <v>0.25310625583094998</v>
      </c>
      <c r="J30" s="2" t="s">
        <v>159</v>
      </c>
    </row>
    <row r="32" spans="2:10" x14ac:dyDescent="0.2">
      <c r="B32" s="2" t="s">
        <v>266</v>
      </c>
      <c r="F32" s="2" t="s">
        <v>158</v>
      </c>
      <c r="H32" s="55">
        <v>3.2666320593307994</v>
      </c>
      <c r="J32" s="2" t="s">
        <v>157</v>
      </c>
    </row>
    <row r="35" spans="2:10" s="9" customFormat="1" x14ac:dyDescent="0.2">
      <c r="B35" s="9" t="s">
        <v>160</v>
      </c>
    </row>
    <row r="37" spans="2:10" x14ac:dyDescent="0.2">
      <c r="B37" s="2" t="s">
        <v>161</v>
      </c>
      <c r="F37" s="2" t="s">
        <v>70</v>
      </c>
      <c r="H37" s="63">
        <v>0.5</v>
      </c>
      <c r="J37" s="2" t="s">
        <v>169</v>
      </c>
    </row>
    <row r="40" spans="2:10" s="9" customFormat="1" x14ac:dyDescent="0.2">
      <c r="B40" s="9" t="s">
        <v>235</v>
      </c>
    </row>
    <row r="42" spans="2:10" x14ac:dyDescent="0.2">
      <c r="B42" s="5" t="s">
        <v>236</v>
      </c>
    </row>
    <row r="43" spans="2:10" x14ac:dyDescent="0.2">
      <c r="B43" s="2" t="s">
        <v>237</v>
      </c>
    </row>
    <row r="44" spans="2:10" x14ac:dyDescent="0.2">
      <c r="B44" s="2" t="s">
        <v>238</v>
      </c>
      <c r="H44" s="77">
        <v>12</v>
      </c>
    </row>
    <row r="46" spans="2:10" x14ac:dyDescent="0.2">
      <c r="B46" s="5" t="s">
        <v>239</v>
      </c>
    </row>
    <row r="47" spans="2:10" x14ac:dyDescent="0.2">
      <c r="B47" s="2" t="s">
        <v>240</v>
      </c>
    </row>
    <row r="48" spans="2:10" x14ac:dyDescent="0.2">
      <c r="B48" s="2" t="s">
        <v>238</v>
      </c>
      <c r="H48" s="77">
        <v>9</v>
      </c>
    </row>
    <row r="52" spans="2:2" x14ac:dyDescent="0.2">
      <c r="B52" s="2" t="s">
        <v>145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dcmitype/"/>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Resultaat</vt:lpstr>
      <vt:lpstr>Input --&gt;</vt:lpstr>
      <vt:lpstr>Schatting kosten 2018</vt:lpstr>
      <vt:lpstr>Realisatie kosten 2018</vt:lpstr>
      <vt:lpstr>Overige gegevens</vt:lpstr>
      <vt:lpstr>Berekeningen --&gt;</vt:lpstr>
      <vt:lpstr>Berekeningen kosten 2018</vt:lpstr>
      <vt:lpstr>Berekening volumecorrecties</vt:lpstr>
      <vt:lpstr>Berekening profit sharing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2020-01-06T14:42:56Z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