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105" windowWidth="19980" windowHeight="7560" tabRatio="719"/>
  </bookViews>
  <sheets>
    <sheet name="Title page" sheetId="9" r:id="rId1"/>
    <sheet name="Explanation" sheetId="10" r:id="rId2"/>
    <sheet name="Sources and applications" sheetId="11" r:id="rId3"/>
    <sheet name="Result" sheetId="21" r:id="rId4"/>
    <sheet name="Input --&gt;" sheetId="13" r:id="rId5"/>
    <sheet name="Parameters" sheetId="28" r:id="rId6"/>
    <sheet name="Estimation for 2017" sheetId="29" r:id="rId7"/>
    <sheet name="Realization of 2017" sheetId="30" r:id="rId8"/>
    <sheet name="Estimation for 2018" sheetId="18" r:id="rId9"/>
    <sheet name="Realization of 2018" sheetId="23" r:id="rId10"/>
    <sheet name="Calculations 2017 --&gt;" sheetId="32" r:id="rId11"/>
    <sheet name="Fixed-variable costs 2015" sheetId="33" r:id="rId12"/>
    <sheet name="Volume-effect 2017" sheetId="34" r:id="rId13"/>
    <sheet name="Profit sharing 2017" sheetId="35" r:id="rId14"/>
    <sheet name="Network loss 2017" sheetId="31" r:id="rId15"/>
    <sheet name="Calculations 2018 --&gt;" sheetId="15" r:id="rId16"/>
    <sheet name="Fixed-variable costs 2016" sheetId="27" r:id="rId17"/>
    <sheet name="Volume-effect 2018" sheetId="22" r:id="rId18"/>
    <sheet name="Profit sharing 2018" sheetId="24" r:id="rId19"/>
    <sheet name="Network loss 2018" sheetId="36" r:id="rId20"/>
  </sheets>
  <calcPr calcId="145621"/>
</workbook>
</file>

<file path=xl/calcChain.xml><?xml version="1.0" encoding="utf-8"?>
<calcChain xmlns="http://schemas.openxmlformats.org/spreadsheetml/2006/main">
  <c r="H27" i="21" l="1"/>
  <c r="H33" i="21" l="1"/>
  <c r="H24" i="21"/>
  <c r="E12" i="21"/>
  <c r="E13" i="21"/>
  <c r="E14" i="21"/>
  <c r="E15" i="21"/>
  <c r="E11" i="21"/>
  <c r="H30" i="36"/>
  <c r="H28" i="36"/>
  <c r="H20" i="27" l="1"/>
  <c r="G20" i="27"/>
  <c r="H19" i="27"/>
  <c r="G19" i="27"/>
  <c r="H20" i="33"/>
  <c r="H19" i="33"/>
  <c r="H18" i="29"/>
  <c r="H22" i="27" l="1"/>
  <c r="H33" i="27" s="1"/>
  <c r="H23" i="27"/>
  <c r="G23" i="27"/>
  <c r="G22" i="27"/>
  <c r="G33" i="27" s="1"/>
  <c r="H23" i="33"/>
  <c r="H22" i="33"/>
  <c r="H33" i="33" s="1"/>
  <c r="H32" i="27" l="1"/>
  <c r="G32" i="27"/>
  <c r="H32" i="33"/>
  <c r="H15" i="22"/>
  <c r="G15" i="22"/>
  <c r="H15" i="34"/>
  <c r="E19" i="28" l="1"/>
  <c r="E17" i="28"/>
  <c r="H28" i="35" l="1"/>
  <c r="H28" i="24" l="1"/>
  <c r="G28" i="24"/>
  <c r="E15" i="35" l="1"/>
  <c r="E14" i="27"/>
  <c r="E14" i="33"/>
  <c r="E14" i="35"/>
  <c r="E12" i="35"/>
  <c r="H23" i="35"/>
  <c r="H22" i="35"/>
  <c r="H16" i="34"/>
  <c r="G16" i="36"/>
  <c r="G17" i="36" s="1"/>
  <c r="H21" i="36"/>
  <c r="H20" i="36"/>
  <c r="G18" i="36"/>
  <c r="G15" i="36"/>
  <c r="H18" i="33"/>
  <c r="H17" i="33"/>
  <c r="H26" i="36" l="1"/>
  <c r="H25" i="36"/>
  <c r="E12" i="24"/>
  <c r="H27" i="33" l="1"/>
  <c r="H34" i="33" s="1"/>
  <c r="H37" i="33"/>
  <c r="E12" i="36"/>
  <c r="H38" i="35"/>
  <c r="H39" i="33" l="1"/>
  <c r="H40" i="33" s="1"/>
  <c r="H44" i="33" s="1"/>
  <c r="H38" i="33"/>
  <c r="H43" i="33" s="1"/>
  <c r="H19" i="30"/>
  <c r="H24" i="35" s="1"/>
  <c r="H39" i="35" s="1"/>
  <c r="H40" i="35" s="1"/>
  <c r="H19" i="35" l="1"/>
  <c r="H11" i="34"/>
  <c r="H21" i="34" s="1"/>
  <c r="H18" i="35"/>
  <c r="H29" i="21"/>
  <c r="H22" i="34" l="1"/>
  <c r="H18" i="21" s="1"/>
  <c r="H22" i="21" s="1"/>
  <c r="E12" i="31"/>
  <c r="E15" i="24"/>
  <c r="G16" i="31" l="1"/>
  <c r="G15" i="31"/>
  <c r="H19" i="31" l="1"/>
  <c r="H24" i="31" s="1"/>
  <c r="H18" i="31"/>
  <c r="H23" i="31" s="1"/>
  <c r="H26" i="31" s="1"/>
  <c r="H28" i="31" s="1"/>
  <c r="E13" i="24" l="1"/>
  <c r="H27" i="27" l="1"/>
  <c r="G27" i="27"/>
  <c r="H16" i="22"/>
  <c r="G16" i="22"/>
  <c r="H23" i="24"/>
  <c r="H22" i="24"/>
  <c r="G23" i="24"/>
  <c r="G22" i="24"/>
  <c r="G38" i="24" l="1"/>
  <c r="H38" i="24"/>
  <c r="E13" i="35" l="1"/>
  <c r="H20" i="21"/>
  <c r="E14" i="24"/>
  <c r="H18" i="23"/>
  <c r="H24" i="24" s="1"/>
  <c r="H39" i="24" s="1"/>
  <c r="H40" i="24" s="1"/>
  <c r="G18" i="23"/>
  <c r="G24" i="24" s="1"/>
  <c r="G39" i="24" s="1"/>
  <c r="G40" i="24" s="1"/>
  <c r="G43" i="24" s="1"/>
  <c r="G45" i="24" s="1"/>
  <c r="H19" i="18"/>
  <c r="G19" i="18"/>
  <c r="H34" i="35" l="1"/>
  <c r="H33" i="35"/>
  <c r="H35" i="35" s="1"/>
  <c r="H43" i="35" s="1"/>
  <c r="H45" i="35" s="1"/>
  <c r="H18" i="27"/>
  <c r="G18" i="27"/>
  <c r="H17" i="27"/>
  <c r="G17" i="27"/>
  <c r="H37" i="27" l="1"/>
  <c r="G34" i="27"/>
  <c r="G37" i="27"/>
  <c r="H34" i="27"/>
  <c r="G39" i="27" l="1"/>
  <c r="G40" i="27" s="1"/>
  <c r="G44" i="27" s="1"/>
  <c r="G18" i="24" s="1"/>
  <c r="G33" i="24" s="1"/>
  <c r="G38" i="27"/>
  <c r="G43" i="27" s="1"/>
  <c r="G19" i="24" s="1"/>
  <c r="G34" i="24" s="1"/>
  <c r="G35" i="24" s="1"/>
  <c r="H39" i="27"/>
  <c r="H40" i="27" s="1"/>
  <c r="H44" i="27" s="1"/>
  <c r="H18" i="24" s="1"/>
  <c r="H33" i="24" s="1"/>
  <c r="H38" i="27"/>
  <c r="H43" i="27" s="1"/>
  <c r="H19" i="24" s="1"/>
  <c r="H34" i="24" s="1"/>
  <c r="H19" i="21"/>
  <c r="H23" i="21" s="1"/>
  <c r="G11" i="22"/>
  <c r="B17" i="10"/>
  <c r="B18" i="10" s="1"/>
  <c r="B22" i="10" s="1"/>
  <c r="B16" i="10"/>
  <c r="B23" i="10" s="1"/>
  <c r="G21" i="22" l="1"/>
  <c r="G22" i="22" s="1"/>
  <c r="H35" i="24"/>
  <c r="H43" i="24" s="1"/>
  <c r="H45" i="24" s="1"/>
  <c r="H11" i="22"/>
  <c r="H21" i="22" l="1"/>
  <c r="H22" i="22" s="1"/>
  <c r="H28" i="21"/>
  <c r="H32" i="21" s="1"/>
  <c r="H31" i="21" l="1"/>
  <c r="G27" i="21"/>
  <c r="G31" i="21" s="1"/>
  <c r="G28" i="21"/>
  <c r="G32" i="21" s="1"/>
</calcChain>
</file>

<file path=xl/comments1.xml><?xml version="1.0" encoding="utf-8"?>
<comments xmlns="http://schemas.openxmlformats.org/spreadsheetml/2006/main">
  <authors>
    <author>Auteur</author>
  </authors>
  <commentList>
    <comment ref="B22"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comments2.xml><?xml version="1.0" encoding="utf-8"?>
<comments xmlns="http://schemas.openxmlformats.org/spreadsheetml/2006/main">
  <authors>
    <author>Auteur</author>
  </authors>
  <commentList>
    <comment ref="H24" authorId="0">
      <text>
        <r>
          <rPr>
            <sz val="8"/>
            <color indexed="81"/>
            <rFont val="Tahoma"/>
            <family val="2"/>
          </rPr>
          <t>Realized kVA is equal to the sumproduct of the kVA's and the average number of connections per kVA category in 2018.</t>
        </r>
      </text>
    </comment>
  </commentList>
</comments>
</file>

<file path=xl/sharedStrings.xml><?xml version="1.0" encoding="utf-8"?>
<sst xmlns="http://schemas.openxmlformats.org/spreadsheetml/2006/main" count="739" uniqueCount="358">
  <si>
    <t>Data</t>
  </si>
  <si>
    <t>Input --&gt;</t>
  </si>
  <si>
    <t xml:space="preserve">Description data </t>
  </si>
  <si>
    <t>Capital cost</t>
  </si>
  <si>
    <t>%</t>
  </si>
  <si>
    <t>Operational cost</t>
  </si>
  <si>
    <t>USD, pl 2016</t>
  </si>
  <si>
    <t xml:space="preserve">Description </t>
  </si>
  <si>
    <t>Constant</t>
  </si>
  <si>
    <t>Source</t>
  </si>
  <si>
    <t>Remarks</t>
  </si>
  <si>
    <t xml:space="preserve">Unit </t>
  </si>
  <si>
    <t>kWh</t>
  </si>
  <si>
    <t>USD/kWh</t>
  </si>
  <si>
    <t xml:space="preserve">Description calculation </t>
  </si>
  <si>
    <t>Estimated costs</t>
  </si>
  <si>
    <t>Profit sharing</t>
  </si>
  <si>
    <t>Relevant data for profit sharing  correction</t>
  </si>
  <si>
    <t>Title page</t>
  </si>
  <si>
    <t>About this file</t>
  </si>
  <si>
    <t>Case number</t>
  </si>
  <si>
    <t>Title</t>
  </si>
  <si>
    <t>Decision title</t>
  </si>
  <si>
    <t>Decision reference</t>
  </si>
  <si>
    <t>Coherence with other calculation files</t>
  </si>
  <si>
    <t>Other remarks</t>
  </si>
  <si>
    <t>About the status of this file</t>
  </si>
  <si>
    <t>Final version?</t>
  </si>
  <si>
    <t>No</t>
  </si>
  <si>
    <t>Published?</t>
  </si>
  <si>
    <t>Is this file legally part of the decision(s) listed above?</t>
  </si>
  <si>
    <t>Yes</t>
  </si>
  <si>
    <t>Contains business confidential information?</t>
  </si>
  <si>
    <t>Possibilities of objection and appeal are open against the decision which this file is a part of.</t>
  </si>
  <si>
    <t>Explanation to this file</t>
  </si>
  <si>
    <t>Explanatory notes</t>
  </si>
  <si>
    <t>Legend to cell coloring</t>
  </si>
  <si>
    <t>Cellcolor numbers</t>
  </si>
  <si>
    <t>Description</t>
  </si>
  <si>
    <t>Data and input (source required)</t>
  </si>
  <si>
    <t>Value that is drawn from another sheet or cell without calculation</t>
  </si>
  <si>
    <t>Calculated value</t>
  </si>
  <si>
    <t>Result/calculated value that is referred to on another sheet</t>
  </si>
  <si>
    <t>Empty cell (not zero) used in a formula range</t>
  </si>
  <si>
    <t>Exceptional cells</t>
  </si>
  <si>
    <t>Value or calculation that needs special attention or explanation</t>
  </si>
  <si>
    <t>Input or calculation that is not yet up to date, pro memori or work in progress</t>
  </si>
  <si>
    <t>Sheet colors</t>
  </si>
  <si>
    <t>Model sheets</t>
  </si>
  <si>
    <t>Result</t>
  </si>
  <si>
    <t>Sheet with result/output</t>
  </si>
  <si>
    <t>Sheet with input</t>
  </si>
  <si>
    <t>Calculation</t>
  </si>
  <si>
    <t>Sheet with calculations</t>
  </si>
  <si>
    <t>Sheet that is not yet up to date/work in progress</t>
  </si>
  <si>
    <t>Explanatory sheets</t>
  </si>
  <si>
    <t>Empty sheet used for indexing</t>
  </si>
  <si>
    <t>Explanation</t>
  </si>
  <si>
    <t>Standardized sheets with information on the file</t>
  </si>
  <si>
    <t>Source overview and specifications</t>
  </si>
  <si>
    <t>List of sources</t>
  </si>
  <si>
    <t>Each input sheet contains a column 'Source', in which the sources are referred to by their shortened name. These sources are further explained in the table below.</t>
  </si>
  <si>
    <t>Shortened name</t>
  </si>
  <si>
    <t>External file name</t>
  </si>
  <si>
    <t>Additional information on this source</t>
  </si>
  <si>
    <t>As referred to in Source column</t>
  </si>
  <si>
    <t>Exact file name</t>
  </si>
  <si>
    <t>Date received, email, file location</t>
  </si>
  <si>
    <t>Description result</t>
  </si>
  <si>
    <t>Profit sharing-percentage</t>
  </si>
  <si>
    <t>Estimated inflation 2016</t>
  </si>
  <si>
    <t>Estimated inflation 2017</t>
  </si>
  <si>
    <t>OPEX-model SEC t.b.v. tarieven 2020</t>
  </si>
  <si>
    <t>Results of corrections on income in 2020</t>
  </si>
  <si>
    <t>USD, pl 2018</t>
  </si>
  <si>
    <t>Cost data for the estimation of the income of 2018</t>
  </si>
  <si>
    <t>Data on the realized income and costs in 2018</t>
  </si>
  <si>
    <t>Data on realized production volume in 2018</t>
  </si>
  <si>
    <t>Estimated costs for 2018</t>
  </si>
  <si>
    <t>Estimated inflation 2018</t>
  </si>
  <si>
    <t>Realized costs for 2018</t>
  </si>
  <si>
    <t>Total realized costs for 2018</t>
  </si>
  <si>
    <t>Volume</t>
  </si>
  <si>
    <t>Unit</t>
  </si>
  <si>
    <t>(see column)</t>
  </si>
  <si>
    <t>Estimated volume 2018</t>
  </si>
  <si>
    <t>kVA</t>
  </si>
  <si>
    <t>Realized volume 2018</t>
  </si>
  <si>
    <t>Input volumes</t>
  </si>
  <si>
    <t>OPEX-model 2020</t>
  </si>
  <si>
    <t>Relevant data</t>
  </si>
  <si>
    <t>Data on the realizations of 2018</t>
  </si>
  <si>
    <t>WACC 2018</t>
  </si>
  <si>
    <t>Description data</t>
  </si>
  <si>
    <t xml:space="preserve">The development of the CPI of Q3 year T and Q3 year T-1 will be used as the estimated inflation for the year T+1. The estimated inflation is rounded to one decimal. </t>
  </si>
  <si>
    <t xml:space="preserve">CPI </t>
  </si>
  <si>
    <t>Estimated inflation 2019</t>
  </si>
  <si>
    <t xml:space="preserve">WACC </t>
  </si>
  <si>
    <t xml:space="preserve">WACC 2017 </t>
  </si>
  <si>
    <t>ACM WACC decision 2016</t>
  </si>
  <si>
    <t xml:space="preserve">WACC 2019 </t>
  </si>
  <si>
    <t>Tariff decision 2018-1</t>
  </si>
  <si>
    <t>Tariff decision 2017</t>
  </si>
  <si>
    <t>RAB-model 2020</t>
  </si>
  <si>
    <t>RAB-model SEC t.b.v. tarieven 2020</t>
  </si>
  <si>
    <t>Historical data 2018</t>
  </si>
  <si>
    <t>USD, pl 2015</t>
  </si>
  <si>
    <t>In this file, ACM calculates the profit sharing and volume corrections for SEC.</t>
  </si>
  <si>
    <t>For the year 2017, these calculations have already been applied for the production department. The result has been added to the income of 2019.</t>
  </si>
  <si>
    <t>ACM will therefore only calculate the profit sharing of the distribution department for 2017.</t>
  </si>
  <si>
    <t>For the year 2018, ACM will calculate both corrections for all departments.</t>
  </si>
  <si>
    <t>USD, pl 2017</t>
  </si>
  <si>
    <t>Data on realized production volume in 2017</t>
  </si>
  <si>
    <t>Data on the realizations of 2017</t>
  </si>
  <si>
    <t>Data on the realized income and costs in 2017</t>
  </si>
  <si>
    <t>Cost data for the estimation of the income of 2017</t>
  </si>
  <si>
    <t>Estimated volume 2017</t>
  </si>
  <si>
    <t>https://www.acm.nl/nl/publicaties/publicatie/17317/Rekenmodel-bij-beschikking-distributietarieven-elektriciteit-2017-Saba-Caribisch-Nederland</t>
  </si>
  <si>
    <t>Tariff decision 2018-2</t>
  </si>
  <si>
    <t>KPI 2017</t>
  </si>
  <si>
    <t>Input 2017</t>
  </si>
  <si>
    <t>Parameters</t>
  </si>
  <si>
    <t>RAB-model 2019</t>
  </si>
  <si>
    <t>OPEX-model 2019</t>
  </si>
  <si>
    <t>RAV-model SEC t.b.v. tarieven 2019 (definitief)</t>
  </si>
  <si>
    <t>OPEX-model SEC t.b.v. tarieven 2019 (definitief)</t>
  </si>
  <si>
    <t>WACC 2017</t>
  </si>
  <si>
    <t>SEC Calculation Model Variable Distribution Tariff July 18- Dec 18</t>
  </si>
  <si>
    <t>https://www.acm.nl/nl/publicaties/rekenmodel-bij-aanpassing-variabel-tarief-elektriciteit-1-juli-2018-saba-caribisch-nederland</t>
  </si>
  <si>
    <t>https://www.acm.nl/nl/publicaties/rekenmodel-bij-beschikking-productieprijs-en-distributietarieven-elektriciteit-2018-sec-caribisch-nederland</t>
  </si>
  <si>
    <t>Rekenmodel SEC 2018</t>
  </si>
  <si>
    <t>KPI 2017; Historical data 2018</t>
  </si>
  <si>
    <t>Corrections 2017</t>
  </si>
  <si>
    <t>Volume-effect</t>
  </si>
  <si>
    <t>Corrections 2018</t>
  </si>
  <si>
    <t>Estimated costs for 2017</t>
  </si>
  <si>
    <t>Realized costs for 2017</t>
  </si>
  <si>
    <t>Total realized costs for 2017</t>
  </si>
  <si>
    <t>As of the development of the CPI between Q3 2017 and Q3 2018, the 2017 = 100 serie is used. For earlier years, the 2010 = 100 serie is used.</t>
  </si>
  <si>
    <t>ACM Method decision 2016</t>
  </si>
  <si>
    <t>Methodebesluit elektriciteit en drinkwater Caribisch Nederland 2017-2019</t>
  </si>
  <si>
    <t>https://www.acm.nl/sites/default/files/old_publication/publicaties/16390_methodebesluit-caribisch-nederland.pdf</t>
  </si>
  <si>
    <t>https://www.acm.nl/sites/default/files/old_publication/publicaties/16601_wacc-determination-caribbean-netherlands.pdf</t>
  </si>
  <si>
    <t>Data on production price and distribution volume for 2017</t>
  </si>
  <si>
    <t>Rekenmodel Distributietarieven Elektriciteit SEC 2017</t>
  </si>
  <si>
    <t>The annual account of SEC presents the realized costs in 2018. With the use of the RAB-sheet and the OPEX-sheet, ACM calculated the RAB and operational costs. The results can be found here.</t>
  </si>
  <si>
    <t>The annual account of SEC presents the realized costs in 2017. With the use of the RAB-sheet and the OPEX-sheet, ACM calculated the RAB and operational costs. The results can be found here.</t>
  </si>
  <si>
    <t>In December 2017, ACM determined the production price and tariffs, in decision number ACM/17/023189. In June 2018, ACM made a new estimation of the production price incl fuel, in decison number ACM/18/033308.</t>
  </si>
  <si>
    <t>On this sheet, an overview can be found in which ACM describes the sources used for data and calculations in this file.</t>
  </si>
  <si>
    <t>Data on production price and distribution volume for 2018</t>
  </si>
  <si>
    <t>On this sheet ACM makes a split of the costs per department in a fixed and a variable part.</t>
  </si>
  <si>
    <t>On this sheet ACM calculates the profit sharing correction.</t>
  </si>
  <si>
    <t>Realized volume Jul-Dec 2017</t>
  </si>
  <si>
    <t>Fixed/variable costs</t>
  </si>
  <si>
    <t>Total fixed/variable costs</t>
  </si>
  <si>
    <t>As a result of profit sharing, the income in 2020 will be increased by 50% of the difference between the realized and estimated costs.</t>
  </si>
  <si>
    <t>As a result of profit sharing, the income in 2020 will be decreased by 50% of the difference between the realized and estimated costs.</t>
  </si>
  <si>
    <t>https://opendata.cbs.nl/statline/#/CBS/nl/dataset/84046NED/table?fromstatweb</t>
  </si>
  <si>
    <t>Caribisch Nederland; consumentenprijsindex (CPI) 2017=100</t>
  </si>
  <si>
    <t>Last update input CBS: October 16, 2019</t>
  </si>
  <si>
    <t>Estimated inflation 2020</t>
  </si>
  <si>
    <t>CPI CBS</t>
  </si>
  <si>
    <t>In the tariff decisions of 2018, a distribution of 50/50 was assumed for production throughout the year.</t>
  </si>
  <si>
    <t>Electricity production</t>
  </si>
  <si>
    <t>Electricity distribution</t>
  </si>
  <si>
    <t>Calculating the WACC for energy and water companies in the Caribbean Netherlands 2017-2019</t>
  </si>
  <si>
    <t>Profit sharing: regular costs</t>
  </si>
  <si>
    <t>Profit sharing: network losses</t>
  </si>
  <si>
    <t>This sheet shows percentages used for the CPI, WACC, profit sharing and fixed/variable costs.</t>
  </si>
  <si>
    <t>Based on analysis by ACM on fixed/variable costs in the Caribbean Netherlands</t>
  </si>
  <si>
    <t>Data on the estimation for 2017</t>
  </si>
  <si>
    <t>Depreciation 2015</t>
  </si>
  <si>
    <t>RAB-value ultimo 2015</t>
  </si>
  <si>
    <t>Operational costs 2015</t>
  </si>
  <si>
    <t>Other income (incl. reconnections) 2015</t>
  </si>
  <si>
    <t>USD/kWh, pl 2017</t>
  </si>
  <si>
    <t>Production price (incl fuel component) July-December 2017</t>
  </si>
  <si>
    <t>Tariff decision 2017, sheet "Costs", row 15</t>
  </si>
  <si>
    <t>Tariff decision 2017, sheet "Costs", row 16</t>
  </si>
  <si>
    <t>Tariff decision 2017, sheet "Costs", row 27</t>
  </si>
  <si>
    <t>Tariff decision 2017, sheet "Income level", row 37</t>
  </si>
  <si>
    <t>Tariff decision 2017, sheet "Tariff categories", row 23</t>
  </si>
  <si>
    <t>Tariff decision 2017, sheet "Input", row 18</t>
  </si>
  <si>
    <t>Tariff decision 2017, sheet "Input", row 16</t>
  </si>
  <si>
    <t>RAB-value ultimo 2017</t>
  </si>
  <si>
    <t>Depreciation 2017</t>
  </si>
  <si>
    <t>Operational costs (excl fuel) 2017</t>
  </si>
  <si>
    <t>Bad debts 2017</t>
  </si>
  <si>
    <t>Other income 2017</t>
  </si>
  <si>
    <t>KPI 2017, page 10, row "Avg. Net loss in %"</t>
  </si>
  <si>
    <t>Data on the estimation for 2018</t>
  </si>
  <si>
    <t xml:space="preserve">ACM determined the maximum tariffs by estimating the costs and the volume of SEC. On this tab the data used in this estimation is depicted. </t>
  </si>
  <si>
    <t>Tariff decision 2018-1, sheet "Input costs and subsidies", row 23</t>
  </si>
  <si>
    <t>Tariff decision 2018-1, sheet "Input costs and subsidies", row 24</t>
  </si>
  <si>
    <t>Tariff decision 2018-1, sheet "Input costs and subsidies", row 16</t>
  </si>
  <si>
    <t>Tariff decision 2018-1, sheet "Input costs and subsidies", row 20</t>
  </si>
  <si>
    <t>Tariff decision 2018-1, sheet "Input volumes and tariffs", row 8; Tariff decision 2018-1, sheet "Calculation tariffs electricity", row 25</t>
  </si>
  <si>
    <t>Tariff decision 2018-1, sheet "Input volumes and tariffs", row 14</t>
  </si>
  <si>
    <t>Tariff decision 2018-1, sheet "Calculation tariffs electricity", row 15</t>
  </si>
  <si>
    <t>Tariff decision 2018-2, sheet "New estimation production price", row 30</t>
  </si>
  <si>
    <t>Production price incl fuel (Jan-June 2018)</t>
  </si>
  <si>
    <t>Production price incl fuel (July-Dec 2018)</t>
  </si>
  <si>
    <t>Depreciation 2018</t>
  </si>
  <si>
    <t>Operational costs (excl fuel) 2018</t>
  </si>
  <si>
    <t>Other income 2018</t>
  </si>
  <si>
    <t>Historical data 2018, sheet "KFP Monthly", row 24</t>
  </si>
  <si>
    <t>On this sheet ACM makes a split of the costs in a fixed and a variable part. For 2017, ACM has already calculated the profit sharing of production in the tariffs of 2019. Therefore the calculation on this sheet only applies to distribution.</t>
  </si>
  <si>
    <t>Calculation Fixed vs. Variable costs 2015</t>
  </si>
  <si>
    <t>Volume-effect correction 2017</t>
  </si>
  <si>
    <t>Calculation Fixed vs. Variable costs 2016</t>
  </si>
  <si>
    <t>Volume-effect correction 2018</t>
  </si>
  <si>
    <t>Profit sharing correction 2018</t>
  </si>
  <si>
    <t>Other income 2015</t>
  </si>
  <si>
    <t>ACM assumes the percentage of variable costs to be equal for the RAB-value and the depreciation.</t>
  </si>
  <si>
    <t>Capital cost 2015 (RAB*WACC+ depreciation)</t>
  </si>
  <si>
    <t>Total estimated fixed costs 2015</t>
  </si>
  <si>
    <t>Total estimated variable costs 2015 per unit</t>
  </si>
  <si>
    <t>Operational costs 2015 (excl fuel costs)</t>
  </si>
  <si>
    <t>Operational costs 2016 (excl fuel costs)</t>
  </si>
  <si>
    <t>Calculation fixed-variable part of costs 2015</t>
  </si>
  <si>
    <t>Calculation fixed-variable part of costs 2016</t>
  </si>
  <si>
    <t>ACM assumes other income is not related with volume and therefore it is 0% variable.</t>
  </si>
  <si>
    <t>Variable part of capital costs 2015</t>
  </si>
  <si>
    <t>Fixed/variable capital costs</t>
  </si>
  <si>
    <t>Estimated fixed capital costs 2015</t>
  </si>
  <si>
    <t>Estimated variable capital costs 2015</t>
  </si>
  <si>
    <t>Estimated variable capital costs 2015 per unit</t>
  </si>
  <si>
    <t>Capital cost 2016 (RAB*WACC+ depreciation)</t>
  </si>
  <si>
    <t>Estimated fixed capital costs 2016</t>
  </si>
  <si>
    <t>Estimated variable capital costs 2016</t>
  </si>
  <si>
    <t>Estimated variable capital costs 2016 per unit</t>
  </si>
  <si>
    <t>USD, pl 2015 / #</t>
  </si>
  <si>
    <t>USD, pl 2016 / #</t>
  </si>
  <si>
    <t>USD, pl 2017 / #</t>
  </si>
  <si>
    <t>USD, pl 2018 / #</t>
  </si>
  <si>
    <t>On this sheet ACM calculates the profit sharing correction for the tariff regulated period of distribution in 2017 (July-December).</t>
  </si>
  <si>
    <t>On this sheet ACM calculates the volume-effect correction for the tariff regulated period of distribution in 2017 (July-December).</t>
  </si>
  <si>
    <t>Total estimated fixed costs for 2017</t>
  </si>
  <si>
    <t>Costs are estimated on a t-2 basis.</t>
  </si>
  <si>
    <t>Realized volume 2017</t>
  </si>
  <si>
    <t>Relevant data for volume-effect correction 2017</t>
  </si>
  <si>
    <t>Calculation coverage of fixed costs 2017</t>
  </si>
  <si>
    <t>Realized income to cover fixed costs 2017</t>
  </si>
  <si>
    <t>Estimated fixed costs 2017</t>
  </si>
  <si>
    <t>Estimated variable costs 2017 per unit</t>
  </si>
  <si>
    <t>Realized costs 2017</t>
  </si>
  <si>
    <t>Estimated costs 2017</t>
  </si>
  <si>
    <t>RAB-value ultimo 2018</t>
  </si>
  <si>
    <t>Calculation profit sharing correction July-December 2017</t>
  </si>
  <si>
    <t>Calculation volume-effect correction July-December 2017</t>
  </si>
  <si>
    <t>Capital cost 2017 (RAB*WACC+ depreciation)</t>
  </si>
  <si>
    <t>Operational costs 2017</t>
  </si>
  <si>
    <t>Realized profit (loss) over 2017 for profit sharing</t>
  </si>
  <si>
    <t>Realized profit (loss) over 2018 for profit sharing</t>
  </si>
  <si>
    <t>Profit sharing correction July-December 2017</t>
  </si>
  <si>
    <t>Estimated costs 2018</t>
  </si>
  <si>
    <t>Estimated variable costs 2018 per unit</t>
  </si>
  <si>
    <t>Estimated fixed costs 2018</t>
  </si>
  <si>
    <t>Capital cost 2018 (RAB*WACC+ depreciation)</t>
  </si>
  <si>
    <t>Operational costs 2018</t>
  </si>
  <si>
    <t xml:space="preserve">Negative amount indicates realized costs were higher than estimated. </t>
  </si>
  <si>
    <t>Calculation profit sharing correction 2018</t>
  </si>
  <si>
    <t>Total estimated costs for 2017 adjusted for realized volume</t>
  </si>
  <si>
    <t>Total estimated costs for 2018 adjusted for realized volume</t>
  </si>
  <si>
    <t>Calculation profit sharing: network losses correction 2017</t>
  </si>
  <si>
    <t>On this sheet ACM calculates the profit sharing for the difference between the estimated and realized network losses for the tariff regulated period of distribution in 2017 (July-December).</t>
  </si>
  <si>
    <t>Calculation profit sharing: network losses correction 2018</t>
  </si>
  <si>
    <t>Realized volume July-December 2017</t>
  </si>
  <si>
    <t>Estimated costs of network losses 2017</t>
  </si>
  <si>
    <t>Realized costs of network losses 2017</t>
  </si>
  <si>
    <t>Profit sharing add-on for network losses July-December 2017</t>
  </si>
  <si>
    <t>Profit sharing add-on for network losses 2018</t>
  </si>
  <si>
    <t>Realized profit (loss) over network losses July-December 2017</t>
  </si>
  <si>
    <t>Realized profit (loss) over network losses 2018</t>
  </si>
  <si>
    <t>Calculation profit sharing of network losses July-December 2017</t>
  </si>
  <si>
    <t>Calculation profit sharing of network losses 2018</t>
  </si>
  <si>
    <t>Estimated network losses July-December 2017</t>
  </si>
  <si>
    <t>Realized network losses July-December 2017</t>
  </si>
  <si>
    <t>Average production price incl fuel 2018</t>
  </si>
  <si>
    <t>Estimated network losses 2018</t>
  </si>
  <si>
    <t>Realized network losses 2018</t>
  </si>
  <si>
    <t>Estimated costs of network losses 2018</t>
  </si>
  <si>
    <t>Realized costs of network losses 2018</t>
  </si>
  <si>
    <t>Input 2018</t>
  </si>
  <si>
    <t xml:space="preserve">Positive amount indicates realized costs were lower than estimated. </t>
  </si>
  <si>
    <t>Fixed/variable capital costs 2016</t>
  </si>
  <si>
    <t>Calculation fixed costs 2016</t>
  </si>
  <si>
    <t>Total estimated fixed costs 2016</t>
  </si>
  <si>
    <t>Total estimated variable costs 2016 per unit</t>
  </si>
  <si>
    <t>Other income 2016</t>
  </si>
  <si>
    <t>Depreciation 2016</t>
  </si>
  <si>
    <t>RAB-value ultimo 2016</t>
  </si>
  <si>
    <t>Variable part of capital costs 2016</t>
  </si>
  <si>
    <t>Realized income to cover fixed costs 2018</t>
  </si>
  <si>
    <t>Calculation coverage of fixed costs 2018</t>
  </si>
  <si>
    <t>Correction is divided by 2 as it is only applied for July to December 2017. Positive amount indicates an undercoverage of fixed costs in 2017, which will be added to the income in 2020.</t>
  </si>
  <si>
    <t>Positive amount indicates an undercoverage of fixed costs in 2018, which will be added to the income in 2020.</t>
  </si>
  <si>
    <t>Calculation volume-effect correction 2018</t>
  </si>
  <si>
    <t>Relevant data for volume-effect correction  2018</t>
  </si>
  <si>
    <t>On this sheet ACM the calculates the correction for the volume-effect.</t>
  </si>
  <si>
    <t>Realized costs 2018</t>
  </si>
  <si>
    <t>As a result of profit sharing, the income in 2020 will be increased by 50% of realized profit (loss).</t>
  </si>
  <si>
    <t>As a result of profit sharing, the income in 2020 will be decreased by 50% of the realized profit (loss).</t>
  </si>
  <si>
    <t>On this sheet ACM calculates the profit sharing for the difference between the estimated and realized network losses for distribution in 2018.</t>
  </si>
  <si>
    <t>Production price incl fuel July-December 2017</t>
  </si>
  <si>
    <t>Production price incl fuel Jan-June 2018</t>
  </si>
  <si>
    <t>Production price incl fuel July-Dec 2018</t>
  </si>
  <si>
    <t>USD, pl 2020</t>
  </si>
  <si>
    <t>Profit sharing correction for network losses will be applied to the variable usage tariff in 2020.</t>
  </si>
  <si>
    <t>Profit sharing correction for regular costs will be applied to the fixed usage tariff in 2020.</t>
  </si>
  <si>
    <t>Volume-effect correction will be applied to the fixed usage tariff in 2020.</t>
  </si>
  <si>
    <t>Profit sharing correction for regular costs will be applied to the production price resp. fixed usage tariff in 2020.</t>
  </si>
  <si>
    <t>Volume-effect correction will be applied to the production price resp. fixed usage tariff in 2020.</t>
  </si>
  <si>
    <t>On this sheet the corrections for volume changes, the profit sharing for regular costs and for network losses as calculated by ACM are summarized in price level 2020. These corrections will be included in the tariffs of 2020.</t>
  </si>
  <si>
    <t>OPEX-model 2020, sheet "Output", row 27</t>
  </si>
  <si>
    <t>OPEX-model 2020, sheet "Output", row 24</t>
  </si>
  <si>
    <t>RAB-model 2020, sheet "Output", row 21</t>
  </si>
  <si>
    <t>RAB-model 2020, sheet "Output", row 31</t>
  </si>
  <si>
    <t>OPEX-model 2019, sheet "Output OPEX and Other income", row 27</t>
  </si>
  <si>
    <t>OPEX-model 2019, sheet "Output OPEX and Other income", row 30</t>
  </si>
  <si>
    <t>OPEX-model 2019, sheet "Output OPEX and Other income", row 33</t>
  </si>
  <si>
    <t>RAB-model 2019, sheet "RAB + deprc 2017", row 19</t>
  </si>
  <si>
    <t>RAB-model 2019, sheet "RAB + deprc 2017", row 27</t>
  </si>
  <si>
    <t>Historical data 2018, sheet "KFP Monthly", row 9; kVA overview</t>
  </si>
  <si>
    <t>kVA overview</t>
  </si>
  <si>
    <t>This correction includes the cost of bad debt.</t>
  </si>
  <si>
    <t>Based on assumption by ACM on fixed/variable costs in the Caribbean Netherlands</t>
  </si>
  <si>
    <t>In June 2017, ACM determined the usage tariffs, in decision number ACM/17/028952. The data reflects a full year. However, in the calculation of the corrections only the regulated period (July 1-December 31) will be taken into account. ACM assumes costs were evenly distributed within the year.</t>
  </si>
  <si>
    <t>Unweighted average of the network losses in July to December 2017.</t>
  </si>
  <si>
    <t>Realized kWh is the sum of the monthly production July-December 2017; Realized kVA is calculated as the sumproduct of kVA and the average number of connections in the period July 1-December 31, 2017.</t>
  </si>
  <si>
    <t>Total estimated fixed costs for 2018</t>
  </si>
  <si>
    <t>Calculation volume-effect correction 2017</t>
  </si>
  <si>
    <t>Calculation profit sharing: correction for regular costs 2017</t>
  </si>
  <si>
    <t>Calculation profit sharing: correction for regular costs 2018</t>
  </si>
  <si>
    <t>Variable part of capital costs 2015/2016</t>
  </si>
  <si>
    <t>Net operational costs 2018</t>
  </si>
  <si>
    <t>Variable part of operational costs 2015/2016</t>
  </si>
  <si>
    <t>Net  operational costs 2015</t>
  </si>
  <si>
    <t>Net operational costs 2016</t>
  </si>
  <si>
    <t>Operational costs (excl fuel) 2016</t>
  </si>
  <si>
    <t>Variable part of operational costs 2015 (excl fuel costs)</t>
  </si>
  <si>
    <t>Fixed/variable operational costs</t>
  </si>
  <si>
    <t>Estimated fixed operational costs 2015</t>
  </si>
  <si>
    <t>Estimated variable operational costs 2015</t>
  </si>
  <si>
    <t>Estimated variable operational costs 2015 per unit</t>
  </si>
  <si>
    <t>Net operational costs 2017</t>
  </si>
  <si>
    <t>Variable part of operational costs 2016 (excl fuel costs)</t>
  </si>
  <si>
    <t>Fixed/variable operational costs 2016</t>
  </si>
  <si>
    <t>Estimated fixed operational costs 2016</t>
  </si>
  <si>
    <t>Estimated variable operational costs 2016</t>
  </si>
  <si>
    <t>Estimated variable operational costs 2016 per unit</t>
  </si>
  <si>
    <t>Correction is divided by 2 as it is only applied for July to December 2017. Positive amount indicates realized costs were lower than estimated.</t>
  </si>
  <si>
    <t>ACM/19/035837</t>
  </si>
  <si>
    <t>ACM/UIT/523291
ACM/UIT/523292</t>
  </si>
  <si>
    <t>Beschikking productieprijs elektriciteit 2020 SEC
Beschikking distributietarieven elektriciteit 2020 SEC</t>
  </si>
  <si>
    <t>Berekening profit sharing correcties voor tarieven SEC 2020</t>
  </si>
  <si>
    <t>This file uses information from the OPEX and RAB calculation. The result of this file is used in the tariff calculation</t>
  </si>
  <si>
    <t>E-mail SEC to ACM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</si>
</sst>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0_ ;_ * \-#,##0.0000_ ;_ * &quot;-&quot;??_ ;_ @_ "/>
    <numFmt numFmtId="166" formatCode="0.0%"/>
  </numFmts>
  <fonts count="29"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65">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8" fillId="5" borderId="1">
      <alignment vertical="top"/>
    </xf>
    <xf numFmtId="49" fontId="7" fillId="21" borderId="1">
      <alignment vertical="top"/>
    </xf>
    <xf numFmtId="49" fontId="7" fillId="0" borderId="0">
      <alignment vertical="top"/>
    </xf>
    <xf numFmtId="43" fontId="6" fillId="14" borderId="0">
      <alignment vertical="top"/>
    </xf>
    <xf numFmtId="43" fontId="6" fillId="13" borderId="0">
      <alignment vertical="top"/>
    </xf>
    <xf numFmtId="43" fontId="6" fillId="11" borderId="0">
      <alignment vertical="top"/>
    </xf>
    <xf numFmtId="43" fontId="6" fillId="6" borderId="0">
      <alignment vertical="top"/>
    </xf>
    <xf numFmtId="43" fontId="6" fillId="8" borderId="0">
      <alignment vertical="top"/>
    </xf>
    <xf numFmtId="43" fontId="6" fillId="15" borderId="0">
      <alignment vertical="top"/>
    </xf>
    <xf numFmtId="49" fontId="10" fillId="0" borderId="0">
      <alignment vertical="top"/>
    </xf>
    <xf numFmtId="49" fontId="9" fillId="0" borderId="0">
      <alignment vertical="top"/>
    </xf>
    <xf numFmtId="0" fontId="15" fillId="17" borderId="3" applyNumberFormat="0" applyAlignment="0" applyProtection="0"/>
    <xf numFmtId="0" fontId="16" fillId="18" borderId="4" applyNumberFormat="0" applyAlignment="0" applyProtection="0"/>
    <xf numFmtId="0" fontId="17" fillId="18" borderId="3" applyNumberFormat="0" applyAlignment="0" applyProtection="0"/>
    <xf numFmtId="0" fontId="18" fillId="0" borderId="5" applyNumberFormat="0" applyFill="0" applyAlignment="0" applyProtection="0"/>
    <xf numFmtId="0" fontId="12" fillId="19" borderId="6" applyNumberFormat="0" applyAlignment="0" applyProtection="0"/>
    <xf numFmtId="0" fontId="14" fillId="20" borderId="7" applyNumberFormat="0" applyFont="0" applyAlignment="0" applyProtection="0"/>
    <xf numFmtId="0" fontId="19"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13"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7" fillId="45" borderId="0" applyNumberFormat="0" applyBorder="0" applyAlignment="0" applyProtection="0"/>
    <xf numFmtId="0" fontId="28" fillId="0" borderId="0" applyNumberFormat="0" applyFill="0" applyBorder="0" applyAlignment="0" applyProtection="0"/>
    <xf numFmtId="49" fontId="20" fillId="0" borderId="0" applyFill="0" applyBorder="0" applyAlignment="0" applyProtection="0"/>
    <xf numFmtId="43" fontId="6" fillId="46" borderId="0" applyNumberFormat="0">
      <alignment vertical="top"/>
    </xf>
    <xf numFmtId="43" fontId="6" fillId="13" borderId="0" applyFont="0" applyFill="0" applyBorder="0" applyAlignment="0" applyProtection="0">
      <alignment vertical="top"/>
    </xf>
    <xf numFmtId="0" fontId="1" fillId="0" borderId="0"/>
  </cellStyleXfs>
  <cellXfs count="77">
    <xf numFmtId="0" fontId="0" fillId="0" borderId="0" xfId="0">
      <alignment vertical="top"/>
    </xf>
    <xf numFmtId="0" fontId="6" fillId="0" borderId="0" xfId="4">
      <alignment vertical="top"/>
    </xf>
    <xf numFmtId="0" fontId="9" fillId="0" borderId="0" xfId="4" applyFont="1">
      <alignment vertical="top"/>
    </xf>
    <xf numFmtId="0" fontId="10" fillId="0" borderId="0" xfId="4" applyFont="1">
      <alignment vertical="top"/>
    </xf>
    <xf numFmtId="0" fontId="6" fillId="0" borderId="2" xfId="4" applyBorder="1">
      <alignment vertical="top"/>
    </xf>
    <xf numFmtId="49" fontId="8" fillId="5" borderId="1" xfId="5">
      <alignment vertical="top"/>
    </xf>
    <xf numFmtId="49" fontId="7" fillId="21" borderId="1" xfId="6">
      <alignment vertical="top"/>
    </xf>
    <xf numFmtId="0" fontId="6" fillId="0" borderId="0" xfId="4" applyFill="1">
      <alignment vertical="top"/>
    </xf>
    <xf numFmtId="0" fontId="6" fillId="0" borderId="2" xfId="4" applyBorder="1" applyAlignment="1">
      <alignment horizontal="left" vertical="top" wrapText="1"/>
    </xf>
    <xf numFmtId="0" fontId="10" fillId="0" borderId="0" xfId="4" applyFont="1" applyFill="1">
      <alignment vertical="top"/>
    </xf>
    <xf numFmtId="0" fontId="6" fillId="7" borderId="0" xfId="4" applyFill="1">
      <alignment vertical="top"/>
    </xf>
    <xf numFmtId="2" fontId="6" fillId="12" borderId="0" xfId="4" applyNumberFormat="1" applyFill="1">
      <alignment vertical="top"/>
    </xf>
    <xf numFmtId="1" fontId="6" fillId="0" borderId="0" xfId="4" applyNumberFormat="1" applyFill="1">
      <alignment vertical="top"/>
    </xf>
    <xf numFmtId="0" fontId="8" fillId="5" borderId="1" xfId="5" applyNumberFormat="1">
      <alignment vertical="top"/>
    </xf>
    <xf numFmtId="0" fontId="13" fillId="0" borderId="0" xfId="4" applyFont="1">
      <alignment vertical="top"/>
    </xf>
    <xf numFmtId="0" fontId="6" fillId="16" borderId="0" xfId="4" applyFill="1">
      <alignment vertical="top"/>
    </xf>
    <xf numFmtId="0" fontId="6" fillId="0" borderId="0" xfId="4" applyFont="1">
      <alignment vertical="top"/>
    </xf>
    <xf numFmtId="49" fontId="6" fillId="21" borderId="2" xfId="6" applyFont="1" applyBorder="1">
      <alignment vertical="top"/>
    </xf>
    <xf numFmtId="0" fontId="6" fillId="0" borderId="2" xfId="4" applyFont="1" applyBorder="1">
      <alignment vertical="top"/>
    </xf>
    <xf numFmtId="49" fontId="10" fillId="0" borderId="0" xfId="14">
      <alignment vertical="top"/>
    </xf>
    <xf numFmtId="49" fontId="7" fillId="0" borderId="0" xfId="7">
      <alignment vertical="top"/>
    </xf>
    <xf numFmtId="49" fontId="9" fillId="0" borderId="0" xfId="15">
      <alignment vertical="top"/>
    </xf>
    <xf numFmtId="0" fontId="6" fillId="0" borderId="2" xfId="4" applyFont="1" applyBorder="1" applyAlignment="1">
      <alignment horizontal="left" vertical="top" wrapText="1"/>
    </xf>
    <xf numFmtId="43" fontId="6" fillId="14" borderId="0" xfId="8">
      <alignment vertical="top"/>
    </xf>
    <xf numFmtId="9" fontId="6" fillId="0" borderId="0" xfId="4" applyNumberFormat="1">
      <alignment vertical="top"/>
    </xf>
    <xf numFmtId="43" fontId="6" fillId="13" borderId="0" xfId="63" applyFill="1">
      <alignment vertical="top"/>
    </xf>
    <xf numFmtId="43" fontId="6" fillId="6" borderId="0" xfId="63" applyFill="1">
      <alignment vertical="top"/>
    </xf>
    <xf numFmtId="43" fontId="6" fillId="15" borderId="0" xfId="63" applyFill="1">
      <alignment vertical="top"/>
    </xf>
    <xf numFmtId="43" fontId="6" fillId="11" borderId="0" xfId="10">
      <alignment vertical="top"/>
    </xf>
    <xf numFmtId="43" fontId="6" fillId="8" borderId="0" xfId="12">
      <alignment vertical="top"/>
    </xf>
    <xf numFmtId="10" fontId="6" fillId="6" borderId="0" xfId="11" applyNumberFormat="1">
      <alignment vertical="top"/>
    </xf>
    <xf numFmtId="164" fontId="6" fillId="6" borderId="0" xfId="11" applyNumberFormat="1">
      <alignment vertical="top"/>
    </xf>
    <xf numFmtId="164" fontId="6" fillId="6" borderId="0" xfId="12" applyNumberFormat="1" applyFill="1">
      <alignment vertical="top"/>
    </xf>
    <xf numFmtId="164" fontId="6" fillId="13" borderId="0" xfId="9" applyNumberFormat="1">
      <alignment vertical="top"/>
    </xf>
    <xf numFmtId="164" fontId="6" fillId="15" borderId="0" xfId="13" applyNumberFormat="1">
      <alignment vertical="top"/>
    </xf>
    <xf numFmtId="49" fontId="6" fillId="0" borderId="0" xfId="7" applyFont="1">
      <alignment vertical="top"/>
    </xf>
    <xf numFmtId="10" fontId="6" fillId="15" borderId="0" xfId="13" applyNumberFormat="1">
      <alignment vertical="top"/>
    </xf>
    <xf numFmtId="165" fontId="6" fillId="6" borderId="0" xfId="11" applyNumberFormat="1">
      <alignment vertical="top"/>
    </xf>
    <xf numFmtId="49" fontId="7" fillId="21" borderId="1" xfId="6">
      <alignment vertical="top"/>
    </xf>
    <xf numFmtId="164" fontId="6" fillId="13" borderId="0" xfId="9" applyNumberFormat="1">
      <alignment vertical="top"/>
    </xf>
    <xf numFmtId="0" fontId="0" fillId="0" borderId="0" xfId="0">
      <alignment vertical="top"/>
    </xf>
    <xf numFmtId="0" fontId="7" fillId="0" borderId="0" xfId="4" applyFont="1">
      <alignment vertical="top"/>
    </xf>
    <xf numFmtId="0" fontId="6" fillId="0" borderId="0" xfId="4">
      <alignment vertical="top"/>
    </xf>
    <xf numFmtId="164" fontId="6" fillId="15" borderId="0" xfId="13" applyNumberFormat="1">
      <alignment vertical="top"/>
    </xf>
    <xf numFmtId="164" fontId="6" fillId="14" borderId="0" xfId="8" applyNumberFormat="1">
      <alignment vertical="top"/>
    </xf>
    <xf numFmtId="49" fontId="7" fillId="21" borderId="1" xfId="6" applyFont="1">
      <alignment vertical="top"/>
    </xf>
    <xf numFmtId="0" fontId="6" fillId="0" borderId="2" xfId="4" applyBorder="1" applyAlignment="1">
      <alignment vertical="top" wrapText="1"/>
    </xf>
    <xf numFmtId="49" fontId="20" fillId="0" borderId="2" xfId="61" applyBorder="1" applyAlignment="1">
      <alignment vertical="top" wrapText="1"/>
    </xf>
    <xf numFmtId="0" fontId="6" fillId="0" borderId="0" xfId="4" applyBorder="1" applyAlignment="1">
      <alignment vertical="top"/>
    </xf>
    <xf numFmtId="0" fontId="0" fillId="0" borderId="2" xfId="0" applyBorder="1" applyAlignment="1">
      <alignment vertical="top" wrapText="1"/>
    </xf>
    <xf numFmtId="0" fontId="0" fillId="0" borderId="2" xfId="0" applyBorder="1">
      <alignment vertical="top"/>
    </xf>
    <xf numFmtId="0" fontId="6" fillId="0" borderId="0" xfId="4" applyFont="1" applyFill="1" applyBorder="1" applyAlignment="1">
      <alignment horizontal="left" vertical="top" wrapText="1"/>
    </xf>
    <xf numFmtId="0" fontId="6" fillId="0" borderId="12" xfId="4" applyBorder="1" applyAlignment="1">
      <alignment horizontal="left" vertical="top" wrapText="1"/>
    </xf>
    <xf numFmtId="0" fontId="6" fillId="0" borderId="0" xfId="4" applyFont="1" applyFill="1" applyBorder="1" applyAlignment="1">
      <alignment horizontal="left" vertical="top"/>
    </xf>
    <xf numFmtId="0" fontId="6" fillId="10" borderId="0" xfId="4" applyFont="1" applyFill="1">
      <alignment vertical="top"/>
    </xf>
    <xf numFmtId="0" fontId="6" fillId="9" borderId="0" xfId="4" applyFont="1" applyFill="1">
      <alignment vertical="top"/>
    </xf>
    <xf numFmtId="0" fontId="6" fillId="13" borderId="0" xfId="4" applyFont="1" applyFill="1">
      <alignment vertical="top"/>
    </xf>
    <xf numFmtId="49" fontId="6" fillId="21" borderId="0" xfId="6" applyFont="1" applyBorder="1">
      <alignment vertical="top"/>
    </xf>
    <xf numFmtId="49" fontId="12" fillId="5" borderId="1" xfId="5" applyFont="1">
      <alignment vertical="top"/>
    </xf>
    <xf numFmtId="0" fontId="6" fillId="46" borderId="0" xfId="62" applyNumberFormat="1">
      <alignment vertical="top"/>
    </xf>
    <xf numFmtId="0" fontId="1" fillId="0" borderId="0" xfId="64" applyAlignment="1">
      <alignment vertical="top"/>
    </xf>
    <xf numFmtId="49" fontId="7" fillId="21" borderId="1" xfId="6" applyAlignment="1">
      <alignment vertical="top" wrapText="1"/>
    </xf>
    <xf numFmtId="10" fontId="6" fillId="46" borderId="0" xfId="62" applyNumberFormat="1">
      <alignment vertical="top"/>
    </xf>
    <xf numFmtId="43" fontId="6" fillId="13" borderId="0" xfId="9" applyNumberFormat="1">
      <alignment vertical="top"/>
    </xf>
    <xf numFmtId="43" fontId="6" fillId="15" borderId="0" xfId="13" applyNumberFormat="1">
      <alignment vertical="top"/>
    </xf>
    <xf numFmtId="164" fontId="6" fillId="46" borderId="0" xfId="62" applyNumberFormat="1">
      <alignment vertical="top"/>
    </xf>
    <xf numFmtId="49" fontId="20" fillId="0" borderId="2" xfId="61" applyBorder="1" applyAlignment="1">
      <alignment vertical="top"/>
    </xf>
    <xf numFmtId="49" fontId="7" fillId="0" borderId="0" xfId="4" applyNumberFormat="1" applyFont="1">
      <alignment vertical="top"/>
    </xf>
    <xf numFmtId="165" fontId="6" fillId="15" borderId="0" xfId="13" applyNumberFormat="1">
      <alignment vertical="top"/>
    </xf>
    <xf numFmtId="165" fontId="6" fillId="13" borderId="0" xfId="9" applyNumberFormat="1">
      <alignment vertical="top"/>
    </xf>
    <xf numFmtId="166" fontId="6" fillId="6" borderId="0" xfId="11" applyNumberFormat="1">
      <alignment vertical="top"/>
    </xf>
    <xf numFmtId="9" fontId="6" fillId="6" borderId="0" xfId="11" applyNumberFormat="1">
      <alignment vertical="top"/>
    </xf>
    <xf numFmtId="166" fontId="6" fillId="15" borderId="0" xfId="13" applyNumberFormat="1">
      <alignment vertical="top"/>
    </xf>
    <xf numFmtId="9" fontId="6" fillId="15" borderId="0" xfId="13" applyNumberFormat="1">
      <alignment vertical="top"/>
    </xf>
    <xf numFmtId="0" fontId="6" fillId="0" borderId="0" xfId="4" applyAlignment="1">
      <alignment horizontal="left" vertical="top" indent="1"/>
    </xf>
    <xf numFmtId="43" fontId="6" fillId="13" borderId="0" xfId="9">
      <alignment vertical="top"/>
    </xf>
    <xf numFmtId="165" fontId="6" fillId="14" borderId="0" xfId="8" applyNumberFormat="1">
      <alignment vertical="top"/>
    </xf>
  </cellXfs>
  <cellStyles count="65">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Input" xfId="11"/>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Standaard" xfId="0" builtinId="0" customBuiltin="1"/>
    <cellStyle name="Standaard 2" xfId="64"/>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FFCCFF"/>
      <color rgb="FFFFFFCC"/>
      <color rgb="FFCCFFCC"/>
      <color rgb="FFCCC8D9"/>
      <color rgb="FFCCFF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twoCellAnchor editAs="oneCell">
    <xdr:from>
      <xdr:col>1</xdr:col>
      <xdr:colOff>66675</xdr:colOff>
      <xdr:row>3</xdr:row>
      <xdr:rowOff>133351</xdr:rowOff>
    </xdr:from>
    <xdr:to>
      <xdr:col>1</xdr:col>
      <xdr:colOff>1905000</xdr:colOff>
      <xdr:row>10</xdr:row>
      <xdr:rowOff>94480</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sites/default/files/old_publication/publicaties/16601_wacc-determination-caribbean-netherlands.pdf" TargetMode="External"/><Relationship Id="rId2" Type="http://schemas.openxmlformats.org/officeDocument/2006/relationships/hyperlink" Target="https://www.acm.nl/nl/publicaties/publicatie/17317/Rekenmodel-bij-beschikking-distributietarieven-elektriciteit-2017-Saba-Caribisch-Nederland" TargetMode="External"/><Relationship Id="rId1" Type="http://schemas.openxmlformats.org/officeDocument/2006/relationships/hyperlink" Target="https://www.acm.nl/sites/default/files/old_publication/publicaties/16390_methodebesluit-caribisch-nederland.pdf" TargetMode="External"/><Relationship Id="rId6" Type="http://schemas.openxmlformats.org/officeDocument/2006/relationships/printerSettings" Target="../printerSettings/printerSettings3.bin"/><Relationship Id="rId5" Type="http://schemas.openxmlformats.org/officeDocument/2006/relationships/hyperlink" Target="https://www.acm.nl/nl/publicaties/rekenmodel-bij-aanpassing-variabel-tarief-elektriciteit-1-juli-2018-saba-caribisch-nederland" TargetMode="External"/><Relationship Id="rId4" Type="http://schemas.openxmlformats.org/officeDocument/2006/relationships/hyperlink" Target="https://www.acm.nl/nl/publicaties/rekenmodel-bij-beschikking-productieprijs-en-distributietarieven-elektriciteit-2018-sec-caribisch-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CCC8D9"/>
  </sheetPr>
  <dimension ref="B2:D31"/>
  <sheetViews>
    <sheetView showGridLines="0" tabSelected="1"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42" customWidth="1"/>
    <col min="2" max="2" width="39.85546875" style="42" customWidth="1"/>
    <col min="3" max="3" width="81.140625" style="42" customWidth="1"/>
    <col min="4" max="16384" width="9.140625" style="42"/>
  </cols>
  <sheetData>
    <row r="2" spans="2:3" s="5" customFormat="1" ht="18" x14ac:dyDescent="0.2">
      <c r="B2" s="5" t="s">
        <v>18</v>
      </c>
    </row>
    <row r="6" spans="2:3" x14ac:dyDescent="0.2">
      <c r="B6" s="16"/>
    </row>
    <row r="13" spans="2:3" s="38" customFormat="1" x14ac:dyDescent="0.2">
      <c r="B13" s="38" t="s">
        <v>19</v>
      </c>
    </row>
    <row r="14" spans="2:3" s="7" customFormat="1" x14ac:dyDescent="0.2"/>
    <row r="15" spans="2:3" x14ac:dyDescent="0.2">
      <c r="B15" s="22" t="s">
        <v>20</v>
      </c>
      <c r="C15" s="8" t="s">
        <v>352</v>
      </c>
    </row>
    <row r="16" spans="2:3" x14ac:dyDescent="0.2">
      <c r="B16" s="22" t="s">
        <v>21</v>
      </c>
      <c r="C16" s="8" t="s">
        <v>355</v>
      </c>
    </row>
    <row r="17" spans="2:4" ht="25.5" x14ac:dyDescent="0.2">
      <c r="B17" s="22" t="s">
        <v>22</v>
      </c>
      <c r="C17" s="52" t="s">
        <v>354</v>
      </c>
    </row>
    <row r="18" spans="2:4" ht="25.5" x14ac:dyDescent="0.2">
      <c r="B18" s="22" t="s">
        <v>23</v>
      </c>
      <c r="C18" s="52" t="s">
        <v>353</v>
      </c>
    </row>
    <row r="19" spans="2:4" ht="25.5" x14ac:dyDescent="0.2">
      <c r="B19" s="22" t="s">
        <v>24</v>
      </c>
      <c r="C19" s="8" t="s">
        <v>356</v>
      </c>
    </row>
    <row r="20" spans="2:4" x14ac:dyDescent="0.2">
      <c r="B20" s="22" t="s">
        <v>25</v>
      </c>
      <c r="C20" s="8"/>
    </row>
    <row r="23" spans="2:4" s="38" customFormat="1" x14ac:dyDescent="0.2">
      <c r="B23" s="38" t="s">
        <v>26</v>
      </c>
    </row>
    <row r="25" spans="2:4" x14ac:dyDescent="0.2">
      <c r="B25" s="22" t="s">
        <v>27</v>
      </c>
      <c r="C25" s="8" t="s">
        <v>31</v>
      </c>
    </row>
    <row r="26" spans="2:4" x14ac:dyDescent="0.2">
      <c r="B26" s="22" t="s">
        <v>29</v>
      </c>
      <c r="C26" s="8" t="s">
        <v>31</v>
      </c>
    </row>
    <row r="27" spans="2:4" ht="25.5" x14ac:dyDescent="0.2">
      <c r="B27" s="22" t="s">
        <v>30</v>
      </c>
      <c r="C27" s="8" t="s">
        <v>31</v>
      </c>
    </row>
    <row r="28" spans="2:4" x14ac:dyDescent="0.2">
      <c r="B28" s="22" t="s">
        <v>32</v>
      </c>
      <c r="C28" s="8" t="s">
        <v>28</v>
      </c>
    </row>
    <row r="29" spans="2:4" x14ac:dyDescent="0.2">
      <c r="B29" s="22" t="s">
        <v>25</v>
      </c>
      <c r="C29" s="8"/>
    </row>
    <row r="31" spans="2:4" x14ac:dyDescent="0.2">
      <c r="B31" s="53" t="s">
        <v>33</v>
      </c>
      <c r="C31" s="51"/>
      <c r="D31"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tabColor rgb="FFCCFFCC"/>
  </sheetPr>
  <dimension ref="A2:L30"/>
  <sheetViews>
    <sheetView showGridLines="0" zoomScale="85" zoomScaleNormal="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4.5703125" style="42" customWidth="1"/>
    <col min="2" max="2" width="50.7109375" style="1" customWidth="1"/>
    <col min="3" max="3" width="13.7109375" style="1" customWidth="1"/>
    <col min="4" max="4" width="2.7109375" style="42" customWidth="1"/>
    <col min="5" max="5" width="13.7109375" style="42" customWidth="1"/>
    <col min="6" max="6" width="2.7109375" style="42" customWidth="1"/>
    <col min="7" max="8" width="21.7109375" style="1" customWidth="1"/>
    <col min="9" max="9" width="2.7109375" style="1" customWidth="1"/>
    <col min="10" max="10" width="30.7109375" style="1" customWidth="1"/>
    <col min="11" max="11" width="2.7109375" style="1" customWidth="1"/>
    <col min="12" max="12" width="30.7109375" style="1" customWidth="1"/>
    <col min="13" max="13" width="2.7109375" style="1" customWidth="1"/>
    <col min="14" max="28" width="13.7109375" style="1" customWidth="1"/>
    <col min="29" max="16384" width="9.140625" style="1"/>
  </cols>
  <sheetData>
    <row r="2" spans="1:12" s="13" customFormat="1" ht="18" x14ac:dyDescent="0.2">
      <c r="B2" s="13" t="s">
        <v>91</v>
      </c>
    </row>
    <row r="4" spans="1:12" x14ac:dyDescent="0.2">
      <c r="B4" s="20" t="s">
        <v>2</v>
      </c>
    </row>
    <row r="5" spans="1:12" x14ac:dyDescent="0.2">
      <c r="B5" s="16" t="s">
        <v>145</v>
      </c>
      <c r="H5" s="14"/>
    </row>
    <row r="7" spans="1:12" s="6" customFormat="1" x14ac:dyDescent="0.2">
      <c r="A7" s="38"/>
      <c r="B7" s="6" t="s">
        <v>7</v>
      </c>
      <c r="C7" s="6" t="s">
        <v>11</v>
      </c>
      <c r="D7" s="38"/>
      <c r="E7" s="38" t="s">
        <v>8</v>
      </c>
      <c r="F7" s="38"/>
      <c r="G7" s="38" t="s">
        <v>163</v>
      </c>
      <c r="H7" s="38" t="s">
        <v>164</v>
      </c>
      <c r="J7" s="6" t="s">
        <v>9</v>
      </c>
      <c r="L7" s="6" t="s">
        <v>10</v>
      </c>
    </row>
    <row r="8" spans="1:12" x14ac:dyDescent="0.2">
      <c r="D8" s="74"/>
    </row>
    <row r="9" spans="1:12" s="6" customFormat="1" x14ac:dyDescent="0.2">
      <c r="A9" s="38"/>
      <c r="B9" s="6" t="s">
        <v>76</v>
      </c>
      <c r="D9" s="38"/>
      <c r="E9" s="38"/>
      <c r="F9" s="38"/>
    </row>
    <row r="11" spans="1:12" x14ac:dyDescent="0.2">
      <c r="B11" s="20" t="s">
        <v>3</v>
      </c>
    </row>
    <row r="12" spans="1:12" x14ac:dyDescent="0.2">
      <c r="B12" s="42" t="s">
        <v>247</v>
      </c>
      <c r="C12" s="42" t="s">
        <v>74</v>
      </c>
      <c r="G12" s="32">
        <v>2358701.5026176842</v>
      </c>
      <c r="H12" s="32">
        <v>4102160.9495653794</v>
      </c>
      <c r="J12" s="1" t="s">
        <v>316</v>
      </c>
    </row>
    <row r="13" spans="1:12" x14ac:dyDescent="0.2">
      <c r="B13" s="1" t="s">
        <v>202</v>
      </c>
      <c r="C13" s="42" t="s">
        <v>74</v>
      </c>
      <c r="G13" s="31">
        <v>108713.37749530109</v>
      </c>
      <c r="H13" s="31">
        <v>261453.63522031394</v>
      </c>
      <c r="J13" s="1" t="s">
        <v>317</v>
      </c>
    </row>
    <row r="15" spans="1:12" x14ac:dyDescent="0.2">
      <c r="B15" s="20" t="s">
        <v>5</v>
      </c>
      <c r="J15" s="14"/>
    </row>
    <row r="16" spans="1:12" x14ac:dyDescent="0.2">
      <c r="B16" s="1" t="s">
        <v>203</v>
      </c>
      <c r="C16" s="1" t="s">
        <v>74</v>
      </c>
      <c r="G16" s="32">
        <v>1185041.7250000001</v>
      </c>
      <c r="H16" s="32">
        <v>895985.57500000019</v>
      </c>
      <c r="J16" s="16" t="s">
        <v>315</v>
      </c>
      <c r="L16" s="19"/>
    </row>
    <row r="17" spans="1:12" x14ac:dyDescent="0.2">
      <c r="B17" s="1" t="s">
        <v>204</v>
      </c>
      <c r="C17" s="1" t="s">
        <v>74</v>
      </c>
      <c r="G17" s="32">
        <v>40425.840000000004</v>
      </c>
      <c r="H17" s="32">
        <v>118086.8</v>
      </c>
      <c r="J17" s="16" t="s">
        <v>314</v>
      </c>
      <c r="L17" s="42"/>
    </row>
    <row r="18" spans="1:12" s="42" customFormat="1" x14ac:dyDescent="0.2">
      <c r="B18" s="42" t="s">
        <v>335</v>
      </c>
      <c r="C18" s="42" t="s">
        <v>74</v>
      </c>
      <c r="G18" s="39">
        <f>G16-G17</f>
        <v>1144615.885</v>
      </c>
      <c r="H18" s="39">
        <f>H16-H17</f>
        <v>777898.77500000014</v>
      </c>
      <c r="J18" s="16"/>
    </row>
    <row r="20" spans="1:12" s="6" customFormat="1" x14ac:dyDescent="0.2">
      <c r="A20" s="38"/>
      <c r="B20" s="6" t="s">
        <v>77</v>
      </c>
      <c r="D20" s="38"/>
      <c r="E20" s="38"/>
      <c r="F20" s="38"/>
    </row>
    <row r="22" spans="1:12" s="42" customFormat="1" x14ac:dyDescent="0.2">
      <c r="B22" s="41" t="s">
        <v>82</v>
      </c>
    </row>
    <row r="23" spans="1:12" s="21" customFormat="1" x14ac:dyDescent="0.2">
      <c r="B23" s="21" t="s">
        <v>83</v>
      </c>
      <c r="C23" s="21" t="s">
        <v>84</v>
      </c>
      <c r="G23" s="21" t="s">
        <v>12</v>
      </c>
      <c r="H23" s="21" t="s">
        <v>86</v>
      </c>
    </row>
    <row r="24" spans="1:12" s="42" customFormat="1" x14ac:dyDescent="0.2">
      <c r="B24" s="42" t="s">
        <v>87</v>
      </c>
      <c r="C24" s="42" t="s">
        <v>84</v>
      </c>
      <c r="G24" s="31">
        <v>8816170.5500000007</v>
      </c>
      <c r="H24" s="31">
        <v>10972.046153846151</v>
      </c>
      <c r="J24" s="42" t="s">
        <v>323</v>
      </c>
    </row>
    <row r="25" spans="1:12" s="42" customFormat="1" x14ac:dyDescent="0.2"/>
    <row r="26" spans="1:12" s="42" customFormat="1" x14ac:dyDescent="0.2">
      <c r="B26" s="42" t="s">
        <v>280</v>
      </c>
      <c r="C26" s="42" t="s">
        <v>4</v>
      </c>
      <c r="G26" s="59"/>
      <c r="H26" s="30">
        <v>6.2122645755758307E-2</v>
      </c>
      <c r="J26" s="42" t="s">
        <v>205</v>
      </c>
    </row>
    <row r="27" spans="1:12" s="42" customFormat="1" x14ac:dyDescent="0.2"/>
    <row r="30" spans="1:12" x14ac:dyDescent="0.2">
      <c r="G30" s="42"/>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15"/>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49"/>
  <sheetViews>
    <sheetView showGridLines="0" zoomScale="85" zoomScaleNormal="85" workbookViewId="0">
      <pane xSplit="3" ySplit="10" topLeftCell="D11" activePane="bottomRight" state="frozen"/>
      <selection pane="topRight"/>
      <selection pane="bottomLeft"/>
      <selection pane="bottomRight" activeCell="D11" sqref="D11"/>
    </sheetView>
  </sheetViews>
  <sheetFormatPr defaultRowHeight="12.75" x14ac:dyDescent="0.2"/>
  <cols>
    <col min="1" max="1" width="4.5703125" style="42" customWidth="1"/>
    <col min="2" max="2" width="50.7109375" style="42" customWidth="1"/>
    <col min="3" max="3" width="13.7109375" style="42" customWidth="1"/>
    <col min="4" max="4" width="2.7109375" style="42" customWidth="1"/>
    <col min="5" max="5" width="13.7109375" style="42" customWidth="1"/>
    <col min="6" max="6" width="2.7109375" style="42" customWidth="1"/>
    <col min="7" max="7" width="21.7109375" style="42" customWidth="1"/>
    <col min="8" max="8" width="21.7109375" style="40" customWidth="1"/>
    <col min="9" max="9" width="2.7109375" style="42" customWidth="1"/>
    <col min="10" max="10" width="30.7109375" style="42" customWidth="1"/>
    <col min="11" max="11" width="2.7109375" style="42" customWidth="1"/>
    <col min="12" max="21" width="12.5703125" style="42" customWidth="1"/>
    <col min="22" max="24" width="2.7109375" style="42" customWidth="1"/>
    <col min="25" max="39" width="13.7109375" style="42" customWidth="1"/>
    <col min="40" max="16384" width="9.140625" style="42"/>
  </cols>
  <sheetData>
    <row r="2" spans="2:10" s="13" customFormat="1" ht="18" x14ac:dyDescent="0.2">
      <c r="B2" s="13" t="s">
        <v>207</v>
      </c>
    </row>
    <row r="4" spans="2:10" x14ac:dyDescent="0.2">
      <c r="B4" s="20" t="s">
        <v>14</v>
      </c>
    </row>
    <row r="5" spans="2:10" x14ac:dyDescent="0.2">
      <c r="B5" s="16" t="s">
        <v>206</v>
      </c>
      <c r="G5" s="14"/>
    </row>
    <row r="6" spans="2:10" x14ac:dyDescent="0.2">
      <c r="B6" s="16"/>
      <c r="G6" s="14"/>
    </row>
    <row r="7" spans="2:10" x14ac:dyDescent="0.2">
      <c r="B7" s="21" t="s">
        <v>35</v>
      </c>
      <c r="G7" s="14"/>
    </row>
    <row r="8" spans="2:10" x14ac:dyDescent="0.2">
      <c r="B8" s="21" t="s">
        <v>221</v>
      </c>
      <c r="G8" s="14"/>
    </row>
    <row r="10" spans="2:10" s="38" customFormat="1" x14ac:dyDescent="0.2">
      <c r="B10" s="38" t="s">
        <v>7</v>
      </c>
      <c r="C10" s="38" t="s">
        <v>11</v>
      </c>
      <c r="E10" s="38" t="s">
        <v>8</v>
      </c>
      <c r="G10" s="38" t="s">
        <v>163</v>
      </c>
      <c r="H10" s="38" t="s">
        <v>164</v>
      </c>
      <c r="J10" s="38" t="s">
        <v>10</v>
      </c>
    </row>
    <row r="12" spans="2:10" s="38" customFormat="1" x14ac:dyDescent="0.2">
      <c r="B12" s="38" t="s">
        <v>90</v>
      </c>
    </row>
    <row r="13" spans="2:10" x14ac:dyDescent="0.2">
      <c r="H13" s="42"/>
    </row>
    <row r="14" spans="2:10" x14ac:dyDescent="0.2">
      <c r="B14" s="42" t="s">
        <v>126</v>
      </c>
      <c r="C14" s="42" t="s">
        <v>4</v>
      </c>
      <c r="E14" s="36">
        <f>Parameters!E25</f>
        <v>6.5699999999999995E-2</v>
      </c>
      <c r="H14" s="42"/>
    </row>
    <row r="15" spans="2:10" x14ac:dyDescent="0.2">
      <c r="H15" s="42"/>
    </row>
    <row r="16" spans="2:10" x14ac:dyDescent="0.2">
      <c r="B16" s="20" t="s">
        <v>15</v>
      </c>
      <c r="H16" s="42"/>
    </row>
    <row r="17" spans="2:10" x14ac:dyDescent="0.2">
      <c r="B17" s="42" t="s">
        <v>172</v>
      </c>
      <c r="C17" s="42" t="s">
        <v>106</v>
      </c>
      <c r="G17" s="65"/>
      <c r="H17" s="43">
        <f>'Estimation for 2017'!H12</f>
        <v>4564551.8810105976</v>
      </c>
    </row>
    <row r="18" spans="2:10" x14ac:dyDescent="0.2">
      <c r="B18" s="42" t="s">
        <v>171</v>
      </c>
      <c r="C18" s="42" t="s">
        <v>106</v>
      </c>
      <c r="G18" s="65"/>
      <c r="H18" s="43">
        <f>'Estimation for 2017'!H13</f>
        <v>260432.89016613548</v>
      </c>
    </row>
    <row r="19" spans="2:10" x14ac:dyDescent="0.2">
      <c r="B19" s="42" t="s">
        <v>217</v>
      </c>
      <c r="C19" s="42" t="s">
        <v>106</v>
      </c>
      <c r="G19" s="65"/>
      <c r="H19" s="43">
        <f>'Estimation for 2017'!H16</f>
        <v>998063.60443378333</v>
      </c>
    </row>
    <row r="20" spans="2:10" x14ac:dyDescent="0.2">
      <c r="B20" s="42" t="s">
        <v>212</v>
      </c>
      <c r="C20" s="42" t="s">
        <v>106</v>
      </c>
      <c r="G20" s="65"/>
      <c r="H20" s="43">
        <f>'Estimation for 2017'!H17</f>
        <v>106423.62946065055</v>
      </c>
    </row>
    <row r="21" spans="2:10" x14ac:dyDescent="0.2">
      <c r="H21" s="42"/>
    </row>
    <row r="22" spans="2:10" x14ac:dyDescent="0.2">
      <c r="B22" s="42" t="s">
        <v>340</v>
      </c>
      <c r="C22" s="42" t="s">
        <v>4</v>
      </c>
      <c r="G22" s="62"/>
      <c r="H22" s="73">
        <f>Parameters!H35</f>
        <v>0</v>
      </c>
    </row>
    <row r="23" spans="2:10" x14ac:dyDescent="0.2">
      <c r="B23" s="42" t="s">
        <v>222</v>
      </c>
      <c r="C23" s="42" t="s">
        <v>4</v>
      </c>
      <c r="G23" s="62"/>
      <c r="H23" s="73">
        <f>Parameters!H36</f>
        <v>0</v>
      </c>
      <c r="J23" s="42" t="s">
        <v>213</v>
      </c>
    </row>
    <row r="24" spans="2:10" x14ac:dyDescent="0.2">
      <c r="H24" s="42"/>
    </row>
    <row r="25" spans="2:10" x14ac:dyDescent="0.2">
      <c r="B25" s="41" t="s">
        <v>82</v>
      </c>
      <c r="H25" s="42"/>
    </row>
    <row r="26" spans="2:10" s="21" customFormat="1" x14ac:dyDescent="0.2">
      <c r="B26" s="21" t="s">
        <v>83</v>
      </c>
      <c r="C26" s="21" t="s">
        <v>84</v>
      </c>
      <c r="G26" s="21" t="s">
        <v>12</v>
      </c>
      <c r="H26" s="21" t="s">
        <v>86</v>
      </c>
    </row>
    <row r="27" spans="2:10" x14ac:dyDescent="0.2">
      <c r="B27" s="42" t="s">
        <v>116</v>
      </c>
      <c r="C27" s="42" t="s">
        <v>84</v>
      </c>
      <c r="G27" s="65"/>
      <c r="H27" s="43">
        <f>'Estimation for 2017'!H24</f>
        <v>12726.999999999998</v>
      </c>
    </row>
    <row r="28" spans="2:10" x14ac:dyDescent="0.2">
      <c r="B28" s="40"/>
      <c r="C28" s="40"/>
      <c r="D28" s="40"/>
      <c r="E28" s="40"/>
      <c r="F28" s="40"/>
      <c r="H28" s="42"/>
    </row>
    <row r="29" spans="2:10" s="38" customFormat="1" x14ac:dyDescent="0.2">
      <c r="B29" s="38" t="s">
        <v>219</v>
      </c>
    </row>
    <row r="31" spans="2:10" x14ac:dyDescent="0.2">
      <c r="B31" s="41" t="s">
        <v>341</v>
      </c>
    </row>
    <row r="32" spans="2:10" x14ac:dyDescent="0.2">
      <c r="B32" s="42" t="s">
        <v>342</v>
      </c>
      <c r="C32" s="42" t="s">
        <v>106</v>
      </c>
      <c r="G32" s="65"/>
      <c r="H32" s="39">
        <f>H19*(1-H22)-H20</f>
        <v>891639.97497313283</v>
      </c>
    </row>
    <row r="33" spans="2:8" x14ac:dyDescent="0.2">
      <c r="B33" s="42" t="s">
        <v>343</v>
      </c>
      <c r="C33" s="42" t="s">
        <v>106</v>
      </c>
      <c r="G33" s="65"/>
      <c r="H33" s="39">
        <f>H19*H22</f>
        <v>0</v>
      </c>
    </row>
    <row r="34" spans="2:8" x14ac:dyDescent="0.2">
      <c r="B34" s="42" t="s">
        <v>344</v>
      </c>
      <c r="C34" s="42" t="s">
        <v>231</v>
      </c>
      <c r="G34" s="65"/>
      <c r="H34" s="63">
        <f>H33/H27</f>
        <v>0</v>
      </c>
    </row>
    <row r="35" spans="2:8" x14ac:dyDescent="0.2">
      <c r="H35" s="42"/>
    </row>
    <row r="36" spans="2:8" x14ac:dyDescent="0.2">
      <c r="B36" s="41" t="s">
        <v>223</v>
      </c>
      <c r="H36" s="42"/>
    </row>
    <row r="37" spans="2:8" x14ac:dyDescent="0.2">
      <c r="B37" s="42" t="s">
        <v>214</v>
      </c>
      <c r="C37" s="42" t="s">
        <v>106</v>
      </c>
      <c r="G37" s="65"/>
      <c r="H37" s="39">
        <f>$E$14*H17+H18</f>
        <v>560323.94874853175</v>
      </c>
    </row>
    <row r="38" spans="2:8" x14ac:dyDescent="0.2">
      <c r="B38" s="42" t="s">
        <v>224</v>
      </c>
      <c r="C38" s="42" t="s">
        <v>106</v>
      </c>
      <c r="G38" s="65"/>
      <c r="H38" s="39">
        <f>H37*(1-H23)</f>
        <v>560323.94874853175</v>
      </c>
    </row>
    <row r="39" spans="2:8" x14ac:dyDescent="0.2">
      <c r="B39" s="42" t="s">
        <v>225</v>
      </c>
      <c r="C39" s="42" t="s">
        <v>106</v>
      </c>
      <c r="G39" s="65"/>
      <c r="H39" s="39">
        <f>H37*H23</f>
        <v>0</v>
      </c>
    </row>
    <row r="40" spans="2:8" x14ac:dyDescent="0.2">
      <c r="B40" s="42" t="s">
        <v>226</v>
      </c>
      <c r="C40" s="42" t="s">
        <v>231</v>
      </c>
      <c r="G40" s="65"/>
      <c r="H40" s="63">
        <f>H39/H27</f>
        <v>0</v>
      </c>
    </row>
    <row r="42" spans="2:8" x14ac:dyDescent="0.2">
      <c r="B42" s="41" t="s">
        <v>154</v>
      </c>
      <c r="H42" s="42"/>
    </row>
    <row r="43" spans="2:8" x14ac:dyDescent="0.2">
      <c r="B43" s="42" t="s">
        <v>215</v>
      </c>
      <c r="C43" s="42" t="s">
        <v>106</v>
      </c>
      <c r="G43" s="65"/>
      <c r="H43" s="44">
        <f>H32+H38</f>
        <v>1451963.9237216646</v>
      </c>
    </row>
    <row r="44" spans="2:8" x14ac:dyDescent="0.2">
      <c r="B44" s="42" t="s">
        <v>216</v>
      </c>
      <c r="C44" s="42" t="s">
        <v>231</v>
      </c>
      <c r="G44" s="65"/>
      <c r="H44" s="44">
        <f>H34+H40</f>
        <v>0</v>
      </c>
    </row>
    <row r="45" spans="2:8" x14ac:dyDescent="0.2">
      <c r="H45" s="42"/>
    </row>
    <row r="46" spans="2:8" x14ac:dyDescent="0.2">
      <c r="H46" s="42"/>
    </row>
    <row r="47" spans="2:8" x14ac:dyDescent="0.2">
      <c r="H47" s="42"/>
    </row>
    <row r="48" spans="2:8" x14ac:dyDescent="0.2">
      <c r="H48" s="42"/>
    </row>
    <row r="49" spans="8:8" x14ac:dyDescent="0.2">
      <c r="H49" s="4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22"/>
  <sheetViews>
    <sheetView showGridLines="0" zoomScale="85" zoomScaleNormal="85" workbookViewId="0">
      <pane xSplit="3" ySplit="7" topLeftCell="D8" activePane="bottomRight" state="frozen"/>
      <selection pane="topRight"/>
      <selection pane="bottomLeft"/>
      <selection pane="bottomRight" activeCell="D8" sqref="D8"/>
    </sheetView>
  </sheetViews>
  <sheetFormatPr defaultRowHeight="12.75" x14ac:dyDescent="0.2"/>
  <cols>
    <col min="1" max="1" width="4.5703125" style="42" customWidth="1"/>
    <col min="2" max="2" width="50.7109375" style="42" customWidth="1"/>
    <col min="3" max="3" width="13.7109375" style="42" customWidth="1"/>
    <col min="4" max="4" width="2.7109375" style="42" customWidth="1"/>
    <col min="5" max="5" width="13.7109375" style="42" customWidth="1"/>
    <col min="6" max="6" width="2.7109375" style="42" customWidth="1"/>
    <col min="7" max="7" width="21.7109375" style="42" customWidth="1"/>
    <col min="8" max="8" width="21.7109375" style="40" customWidth="1"/>
    <col min="9" max="9" width="2.7109375" style="42" customWidth="1"/>
    <col min="10" max="10" width="30.7109375" style="42" customWidth="1"/>
    <col min="11" max="11" width="2.7109375" style="42" customWidth="1"/>
    <col min="12" max="21" width="12.5703125" style="42" customWidth="1"/>
    <col min="22" max="24" width="2.7109375" style="42" customWidth="1"/>
    <col min="25" max="39" width="13.7109375" style="42" customWidth="1"/>
    <col min="40" max="16384" width="9.140625" style="42"/>
  </cols>
  <sheetData>
    <row r="2" spans="2:10" s="13" customFormat="1" ht="18" x14ac:dyDescent="0.2">
      <c r="B2" s="13" t="s">
        <v>331</v>
      </c>
    </row>
    <row r="4" spans="2:10" x14ac:dyDescent="0.2">
      <c r="B4" s="20" t="s">
        <v>14</v>
      </c>
    </row>
    <row r="5" spans="2:10" x14ac:dyDescent="0.2">
      <c r="B5" s="16" t="s">
        <v>236</v>
      </c>
      <c r="G5" s="14"/>
    </row>
    <row r="7" spans="2:10" s="38" customFormat="1" x14ac:dyDescent="0.2">
      <c r="B7" s="38" t="s">
        <v>7</v>
      </c>
      <c r="C7" s="38" t="s">
        <v>11</v>
      </c>
      <c r="E7" s="38" t="s">
        <v>8</v>
      </c>
      <c r="G7" s="38" t="s">
        <v>163</v>
      </c>
      <c r="H7" s="38" t="s">
        <v>164</v>
      </c>
      <c r="J7" s="38" t="s">
        <v>10</v>
      </c>
    </row>
    <row r="9" spans="2:10" s="38" customFormat="1" x14ac:dyDescent="0.2">
      <c r="B9" s="38" t="s">
        <v>240</v>
      </c>
    </row>
    <row r="11" spans="2:10" x14ac:dyDescent="0.2">
      <c r="B11" s="42" t="s">
        <v>237</v>
      </c>
      <c r="C11" s="42" t="s">
        <v>106</v>
      </c>
      <c r="G11" s="65"/>
      <c r="H11" s="43">
        <f>'Fixed-variable costs 2015'!H43</f>
        <v>1451963.9237216646</v>
      </c>
      <c r="J11" s="42" t="s">
        <v>238</v>
      </c>
    </row>
    <row r="13" spans="2:10" x14ac:dyDescent="0.2">
      <c r="B13" s="41" t="s">
        <v>88</v>
      </c>
      <c r="H13" s="42"/>
    </row>
    <row r="14" spans="2:10" s="21" customFormat="1" x14ac:dyDescent="0.2">
      <c r="B14" s="21" t="s">
        <v>83</v>
      </c>
      <c r="C14" s="21" t="s">
        <v>84</v>
      </c>
      <c r="G14" s="21" t="s">
        <v>12</v>
      </c>
      <c r="H14" s="21" t="s">
        <v>86</v>
      </c>
    </row>
    <row r="15" spans="2:10" x14ac:dyDescent="0.2">
      <c r="B15" s="42" t="s">
        <v>116</v>
      </c>
      <c r="C15" s="42" t="s">
        <v>84</v>
      </c>
      <c r="G15" s="65"/>
      <c r="H15" s="43">
        <f>'Estimation for 2017'!H24</f>
        <v>12726.999999999998</v>
      </c>
    </row>
    <row r="16" spans="2:10" x14ac:dyDescent="0.2">
      <c r="B16" s="42" t="s">
        <v>239</v>
      </c>
      <c r="C16" s="42" t="s">
        <v>84</v>
      </c>
      <c r="G16" s="65"/>
      <c r="H16" s="43">
        <f>'Realization of 2017'!H25</f>
        <v>10380.699999999999</v>
      </c>
    </row>
    <row r="18" spans="2:10" s="38" customFormat="1" x14ac:dyDescent="0.2">
      <c r="B18" s="38" t="s">
        <v>249</v>
      </c>
    </row>
    <row r="20" spans="2:10" x14ac:dyDescent="0.2">
      <c r="B20" s="20" t="s">
        <v>241</v>
      </c>
    </row>
    <row r="21" spans="2:10" x14ac:dyDescent="0.2">
      <c r="B21" s="42" t="s">
        <v>242</v>
      </c>
      <c r="C21" s="42" t="s">
        <v>106</v>
      </c>
      <c r="G21" s="65"/>
      <c r="H21" s="39">
        <f>H11/H15*H16</f>
        <v>1184285.527066668</v>
      </c>
    </row>
    <row r="22" spans="2:10" x14ac:dyDescent="0.2">
      <c r="B22" s="35" t="s">
        <v>208</v>
      </c>
      <c r="C22" s="42" t="s">
        <v>106</v>
      </c>
      <c r="G22" s="65"/>
      <c r="H22" s="44">
        <f>(H11-H21)/2</f>
        <v>133839.19832749828</v>
      </c>
      <c r="J22" s="42" t="s">
        <v>295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45"/>
  <sheetViews>
    <sheetView showGridLines="0" zoomScale="85" zoomScaleNormal="85" workbookViewId="0">
      <pane xSplit="3" ySplit="7" topLeftCell="D8" activePane="bottomRight" state="frozen"/>
      <selection pane="topRight"/>
      <selection pane="bottomLeft"/>
      <selection pane="bottomRight" activeCell="D8" sqref="D8"/>
    </sheetView>
  </sheetViews>
  <sheetFormatPr defaultRowHeight="12.75" x14ac:dyDescent="0.2"/>
  <cols>
    <col min="1" max="1" width="4.5703125" style="42" customWidth="1"/>
    <col min="2" max="2" width="50.7109375" style="42" customWidth="1"/>
    <col min="3" max="3" width="13.7109375" style="42" customWidth="1"/>
    <col min="4" max="4" width="2.7109375" style="42" customWidth="1"/>
    <col min="5" max="5" width="13.7109375" style="42" customWidth="1"/>
    <col min="6" max="6" width="2.7109375" style="42" customWidth="1"/>
    <col min="7" max="8" width="21.7109375" style="42" customWidth="1"/>
    <col min="9" max="9" width="2.7109375" style="42" customWidth="1"/>
    <col min="10" max="10" width="30.7109375" style="42" customWidth="1"/>
    <col min="11" max="14" width="12.5703125" style="42" customWidth="1"/>
    <col min="15" max="17" width="2.7109375" style="42" customWidth="1"/>
    <col min="18" max="32" width="13.7109375" style="42" customWidth="1"/>
    <col min="33" max="16384" width="9.140625" style="42"/>
  </cols>
  <sheetData>
    <row r="2" spans="2:10" s="13" customFormat="1" ht="18" x14ac:dyDescent="0.2">
      <c r="B2" s="13" t="s">
        <v>332</v>
      </c>
    </row>
    <row r="4" spans="2:10" x14ac:dyDescent="0.2">
      <c r="B4" s="20" t="s">
        <v>14</v>
      </c>
    </row>
    <row r="5" spans="2:10" x14ac:dyDescent="0.2">
      <c r="B5" s="16" t="s">
        <v>235</v>
      </c>
      <c r="G5" s="14"/>
      <c r="H5" s="14"/>
    </row>
    <row r="7" spans="2:10" s="38" customFormat="1" x14ac:dyDescent="0.2">
      <c r="B7" s="38" t="s">
        <v>7</v>
      </c>
      <c r="C7" s="38" t="s">
        <v>11</v>
      </c>
      <c r="E7" s="38" t="s">
        <v>8</v>
      </c>
      <c r="G7" s="38" t="s">
        <v>163</v>
      </c>
      <c r="H7" s="38" t="s">
        <v>164</v>
      </c>
      <c r="J7" s="38" t="s">
        <v>10</v>
      </c>
    </row>
    <row r="9" spans="2:10" s="38" customFormat="1" x14ac:dyDescent="0.2">
      <c r="B9" s="38" t="s">
        <v>17</v>
      </c>
    </row>
    <row r="10" spans="2:10" x14ac:dyDescent="0.2">
      <c r="B10" s="20"/>
    </row>
    <row r="11" spans="2:10" x14ac:dyDescent="0.2">
      <c r="B11" s="20" t="s">
        <v>121</v>
      </c>
    </row>
    <row r="12" spans="2:10" x14ac:dyDescent="0.2">
      <c r="B12" s="42" t="s">
        <v>126</v>
      </c>
      <c r="C12" s="42" t="s">
        <v>4</v>
      </c>
      <c r="E12" s="36">
        <f>Parameters!E25</f>
        <v>6.5699999999999995E-2</v>
      </c>
    </row>
    <row r="13" spans="2:10" x14ac:dyDescent="0.2">
      <c r="B13" s="42" t="s">
        <v>70</v>
      </c>
      <c r="C13" s="42" t="s">
        <v>4</v>
      </c>
      <c r="E13" s="72">
        <f>Parameters!E17</f>
        <v>-4.0000000000000001E-3</v>
      </c>
    </row>
    <row r="14" spans="2:10" x14ac:dyDescent="0.2">
      <c r="B14" s="42" t="s">
        <v>71</v>
      </c>
      <c r="C14" s="42" t="s">
        <v>4</v>
      </c>
      <c r="E14" s="72">
        <f>Parameters!E18</f>
        <v>2E-3</v>
      </c>
    </row>
    <row r="15" spans="2:10" x14ac:dyDescent="0.2">
      <c r="B15" s="42" t="s">
        <v>69</v>
      </c>
      <c r="C15" s="42" t="s">
        <v>4</v>
      </c>
      <c r="E15" s="73">
        <f>Parameters!E31</f>
        <v>0.5</v>
      </c>
    </row>
    <row r="17" spans="2:10" x14ac:dyDescent="0.2">
      <c r="B17" s="20" t="s">
        <v>246</v>
      </c>
      <c r="J17" s="42" t="s">
        <v>238</v>
      </c>
    </row>
    <row r="18" spans="2:10" x14ac:dyDescent="0.2">
      <c r="B18" s="42" t="s">
        <v>244</v>
      </c>
      <c r="C18" s="42" t="s">
        <v>231</v>
      </c>
      <c r="G18" s="65"/>
      <c r="H18" s="64">
        <f>'Fixed-variable costs 2015'!H44</f>
        <v>0</v>
      </c>
    </row>
    <row r="19" spans="2:10" x14ac:dyDescent="0.2">
      <c r="B19" s="42" t="s">
        <v>243</v>
      </c>
      <c r="C19" s="42" t="s">
        <v>106</v>
      </c>
      <c r="G19" s="65"/>
      <c r="H19" s="43">
        <f>'Fixed-variable costs 2015'!H43</f>
        <v>1451963.9237216646</v>
      </c>
    </row>
    <row r="21" spans="2:10" x14ac:dyDescent="0.2">
      <c r="B21" s="20" t="s">
        <v>245</v>
      </c>
    </row>
    <row r="22" spans="2:10" x14ac:dyDescent="0.2">
      <c r="B22" s="42" t="s">
        <v>184</v>
      </c>
      <c r="C22" s="42" t="s">
        <v>111</v>
      </c>
      <c r="G22" s="65"/>
      <c r="H22" s="43">
        <f>'Realization of 2017'!H12</f>
        <v>4308786.8547856938</v>
      </c>
    </row>
    <row r="23" spans="2:10" x14ac:dyDescent="0.2">
      <c r="B23" s="42" t="s">
        <v>185</v>
      </c>
      <c r="C23" s="42" t="s">
        <v>111</v>
      </c>
      <c r="G23" s="65"/>
      <c r="H23" s="43">
        <f>'Realization of 2017'!H13</f>
        <v>261389.78688614065</v>
      </c>
    </row>
    <row r="24" spans="2:10" x14ac:dyDescent="0.2">
      <c r="B24" s="42" t="s">
        <v>345</v>
      </c>
      <c r="C24" s="42" t="s">
        <v>111</v>
      </c>
      <c r="G24" s="65"/>
      <c r="H24" s="43">
        <f>'Realization of 2017'!H19</f>
        <v>765277.80490894767</v>
      </c>
    </row>
    <row r="26" spans="2:10" x14ac:dyDescent="0.2">
      <c r="B26" s="41" t="s">
        <v>82</v>
      </c>
    </row>
    <row r="27" spans="2:10" s="21" customFormat="1" x14ac:dyDescent="0.2">
      <c r="B27" s="21" t="s">
        <v>83</v>
      </c>
      <c r="C27" s="21" t="s">
        <v>84</v>
      </c>
      <c r="G27" s="21" t="s">
        <v>12</v>
      </c>
      <c r="H27" s="21" t="s">
        <v>86</v>
      </c>
    </row>
    <row r="28" spans="2:10" x14ac:dyDescent="0.2">
      <c r="B28" s="42" t="s">
        <v>239</v>
      </c>
      <c r="C28" s="42" t="s">
        <v>84</v>
      </c>
      <c r="G28" s="65"/>
      <c r="H28" s="43">
        <f>'Realization of 2017'!H25</f>
        <v>10380.699999999999</v>
      </c>
    </row>
    <row r="30" spans="2:10" s="38" customFormat="1" x14ac:dyDescent="0.2">
      <c r="B30" s="38" t="s">
        <v>248</v>
      </c>
    </row>
    <row r="32" spans="2:10" x14ac:dyDescent="0.2">
      <c r="B32" s="20" t="s">
        <v>135</v>
      </c>
    </row>
    <row r="33" spans="2:10" x14ac:dyDescent="0.2">
      <c r="B33" s="42" t="s">
        <v>244</v>
      </c>
      <c r="C33" s="42" t="s">
        <v>233</v>
      </c>
      <c r="G33" s="65"/>
      <c r="H33" s="63">
        <f>(1+$E$13)*(1+$E$14)*H18</f>
        <v>0</v>
      </c>
    </row>
    <row r="34" spans="2:10" x14ac:dyDescent="0.2">
      <c r="B34" s="42" t="s">
        <v>243</v>
      </c>
      <c r="C34" s="42" t="s">
        <v>111</v>
      </c>
      <c r="G34" s="65"/>
      <c r="H34" s="39">
        <f>(1+$E$13)*(1+$E$14)*H19</f>
        <v>1449048.3801628314</v>
      </c>
    </row>
    <row r="35" spans="2:10" x14ac:dyDescent="0.2">
      <c r="B35" s="42" t="s">
        <v>262</v>
      </c>
      <c r="C35" s="42" t="s">
        <v>111</v>
      </c>
      <c r="G35" s="65"/>
      <c r="H35" s="39">
        <f>H28*H33+H34</f>
        <v>1449048.3801628314</v>
      </c>
    </row>
    <row r="37" spans="2:10" x14ac:dyDescent="0.2">
      <c r="B37" s="20" t="s">
        <v>136</v>
      </c>
    </row>
    <row r="38" spans="2:10" x14ac:dyDescent="0.2">
      <c r="B38" s="42" t="s">
        <v>250</v>
      </c>
      <c r="C38" s="42" t="s">
        <v>111</v>
      </c>
      <c r="G38" s="65"/>
      <c r="H38" s="39">
        <f>(H22*$E$12)+H23</f>
        <v>544477.08324556076</v>
      </c>
    </row>
    <row r="39" spans="2:10" x14ac:dyDescent="0.2">
      <c r="B39" s="42" t="s">
        <v>251</v>
      </c>
      <c r="C39" s="42" t="s">
        <v>111</v>
      </c>
      <c r="G39" s="65"/>
      <c r="H39" s="43">
        <f>H24</f>
        <v>765277.80490894767</v>
      </c>
    </row>
    <row r="40" spans="2:10" x14ac:dyDescent="0.2">
      <c r="B40" s="42" t="s">
        <v>137</v>
      </c>
      <c r="C40" s="42" t="s">
        <v>111</v>
      </c>
      <c r="G40" s="65"/>
      <c r="H40" s="39">
        <f>H38+H39</f>
        <v>1309754.8881545085</v>
      </c>
    </row>
    <row r="42" spans="2:10" x14ac:dyDescent="0.2">
      <c r="B42" s="20" t="s">
        <v>16</v>
      </c>
    </row>
    <row r="43" spans="2:10" x14ac:dyDescent="0.2">
      <c r="B43" s="42" t="s">
        <v>252</v>
      </c>
      <c r="C43" s="42" t="s">
        <v>111</v>
      </c>
      <c r="G43" s="65"/>
      <c r="H43" s="39">
        <f>(H35-H40)/2</f>
        <v>69646.746004161425</v>
      </c>
      <c r="J43" s="42" t="s">
        <v>351</v>
      </c>
    </row>
    <row r="45" spans="2:10" x14ac:dyDescent="0.2">
      <c r="B45" s="16" t="s">
        <v>254</v>
      </c>
      <c r="C45" s="42" t="s">
        <v>111</v>
      </c>
      <c r="G45" s="65"/>
      <c r="H45" s="44">
        <f>$E$15*H43*(-1)</f>
        <v>-34823.373002080712</v>
      </c>
      <c r="J45" s="42" t="s">
        <v>302</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40"/>
  <sheetViews>
    <sheetView showGridLines="0" zoomScale="85" zoomScaleNormal="85" workbookViewId="0">
      <pane xSplit="3" ySplit="7" topLeftCell="D8" activePane="bottomRight" state="frozen"/>
      <selection pane="topRight"/>
      <selection pane="bottomLeft"/>
      <selection pane="bottomRight" activeCell="D8" sqref="D8"/>
    </sheetView>
  </sheetViews>
  <sheetFormatPr defaultRowHeight="12.75" x14ac:dyDescent="0.2"/>
  <cols>
    <col min="1" max="1" width="4.5703125" style="42" customWidth="1"/>
    <col min="2" max="2" width="50.7109375" style="42" customWidth="1"/>
    <col min="3" max="3" width="13.7109375" style="42" customWidth="1"/>
    <col min="4" max="4" width="2.7109375" style="42" customWidth="1"/>
    <col min="5" max="5" width="13.7109375" style="42" customWidth="1"/>
    <col min="6" max="6" width="2.7109375" style="42" customWidth="1"/>
    <col min="7" max="7" width="21.7109375" style="42" customWidth="1"/>
    <col min="8" max="8" width="21.7109375" style="40" customWidth="1"/>
    <col min="9" max="9" width="2.7109375" style="42" customWidth="1"/>
    <col min="10" max="10" width="30.7109375" style="42" customWidth="1"/>
    <col min="11" max="11" width="2.7109375" style="42" customWidth="1"/>
    <col min="12" max="21" width="12.5703125" style="42" customWidth="1"/>
    <col min="22" max="24" width="2.7109375" style="42" customWidth="1"/>
    <col min="25" max="39" width="13.7109375" style="42" customWidth="1"/>
    <col min="40" max="16384" width="9.140625" style="42"/>
  </cols>
  <sheetData>
    <row r="2" spans="2:10" s="13" customFormat="1" ht="18" x14ac:dyDescent="0.2">
      <c r="B2" s="13" t="s">
        <v>264</v>
      </c>
    </row>
    <row r="4" spans="2:10" x14ac:dyDescent="0.2">
      <c r="B4" s="20" t="s">
        <v>14</v>
      </c>
    </row>
    <row r="5" spans="2:10" x14ac:dyDescent="0.2">
      <c r="B5" s="16" t="s">
        <v>265</v>
      </c>
      <c r="G5" s="14"/>
    </row>
    <row r="6" spans="2:10" x14ac:dyDescent="0.2">
      <c r="B6" s="16"/>
    </row>
    <row r="7" spans="2:10" s="38" customFormat="1" x14ac:dyDescent="0.2">
      <c r="B7" s="38" t="s">
        <v>7</v>
      </c>
      <c r="C7" s="38" t="s">
        <v>11</v>
      </c>
      <c r="E7" s="38" t="s">
        <v>8</v>
      </c>
      <c r="G7" s="38" t="s">
        <v>163</v>
      </c>
      <c r="H7" s="38" t="s">
        <v>164</v>
      </c>
      <c r="J7" s="38" t="s">
        <v>10</v>
      </c>
    </row>
    <row r="9" spans="2:10" s="38" customFormat="1" x14ac:dyDescent="0.2">
      <c r="B9" s="38" t="s">
        <v>90</v>
      </c>
    </row>
    <row r="10" spans="2:10" x14ac:dyDescent="0.2">
      <c r="H10" s="42"/>
    </row>
    <row r="11" spans="2:10" x14ac:dyDescent="0.2">
      <c r="B11" s="41" t="s">
        <v>121</v>
      </c>
      <c r="H11" s="42"/>
    </row>
    <row r="12" spans="2:10" x14ac:dyDescent="0.2">
      <c r="B12" s="42" t="s">
        <v>69</v>
      </c>
      <c r="C12" s="42" t="s">
        <v>4</v>
      </c>
      <c r="E12" s="73">
        <f>Parameters!E31</f>
        <v>0.5</v>
      </c>
      <c r="H12" s="42"/>
    </row>
    <row r="13" spans="2:10" x14ac:dyDescent="0.2">
      <c r="H13" s="42"/>
    </row>
    <row r="14" spans="2:10" x14ac:dyDescent="0.2">
      <c r="B14" s="67" t="s">
        <v>120</v>
      </c>
      <c r="H14" s="42"/>
    </row>
    <row r="15" spans="2:10" x14ac:dyDescent="0.2">
      <c r="B15" s="42" t="s">
        <v>304</v>
      </c>
      <c r="C15" s="42" t="s">
        <v>13</v>
      </c>
      <c r="G15" s="68">
        <f>'Estimation for 2017'!G28</f>
        <v>0.29773016808525521</v>
      </c>
      <c r="H15" s="59"/>
    </row>
    <row r="16" spans="2:10" x14ac:dyDescent="0.2">
      <c r="B16" s="42" t="s">
        <v>267</v>
      </c>
      <c r="C16" s="42" t="s">
        <v>12</v>
      </c>
      <c r="G16" s="43">
        <f>'Realization of 2017'!G25</f>
        <v>4697826</v>
      </c>
      <c r="H16" s="59"/>
    </row>
    <row r="17" spans="2:10" x14ac:dyDescent="0.2">
      <c r="H17" s="42"/>
    </row>
    <row r="18" spans="2:10" x14ac:dyDescent="0.2">
      <c r="B18" s="42" t="s">
        <v>276</v>
      </c>
      <c r="C18" s="42" t="s">
        <v>4</v>
      </c>
      <c r="G18" s="59"/>
      <c r="H18" s="36">
        <f>'Estimation for 2017'!H26</f>
        <v>7.1800000000000003E-2</v>
      </c>
    </row>
    <row r="19" spans="2:10" x14ac:dyDescent="0.2">
      <c r="B19" s="42" t="s">
        <v>277</v>
      </c>
      <c r="C19" s="42" t="s">
        <v>4</v>
      </c>
      <c r="G19" s="59"/>
      <c r="H19" s="36">
        <f>'Realization of 2017'!H27</f>
        <v>6.2333333333333331E-2</v>
      </c>
    </row>
    <row r="20" spans="2:10" x14ac:dyDescent="0.2">
      <c r="H20" s="42"/>
    </row>
    <row r="21" spans="2:10" s="38" customFormat="1" x14ac:dyDescent="0.2">
      <c r="B21" s="38" t="s">
        <v>274</v>
      </c>
    </row>
    <row r="22" spans="2:10" x14ac:dyDescent="0.2">
      <c r="H22" s="42"/>
    </row>
    <row r="23" spans="2:10" x14ac:dyDescent="0.2">
      <c r="B23" s="42" t="s">
        <v>268</v>
      </c>
      <c r="C23" s="42" t="s">
        <v>111</v>
      </c>
      <c r="G23" s="59"/>
      <c r="H23" s="39">
        <f>$G$15*$G$16*H18</f>
        <v>100425.54886737726</v>
      </c>
    </row>
    <row r="24" spans="2:10" x14ac:dyDescent="0.2">
      <c r="B24" s="42" t="s">
        <v>269</v>
      </c>
      <c r="C24" s="42" t="s">
        <v>111</v>
      </c>
      <c r="G24" s="59"/>
      <c r="H24" s="39">
        <f>$G$15*$G$16*H19</f>
        <v>87184.668701019255</v>
      </c>
    </row>
    <row r="25" spans="2:10" x14ac:dyDescent="0.2">
      <c r="H25" s="42"/>
    </row>
    <row r="26" spans="2:10" x14ac:dyDescent="0.2">
      <c r="B26" s="42" t="s">
        <v>272</v>
      </c>
      <c r="C26" s="42" t="s">
        <v>111</v>
      </c>
      <c r="G26" s="59"/>
      <c r="H26" s="39">
        <f>H23-H24</f>
        <v>13240.880166358009</v>
      </c>
      <c r="J26" s="42" t="s">
        <v>284</v>
      </c>
    </row>
    <row r="27" spans="2:10" x14ac:dyDescent="0.2">
      <c r="H27" s="42"/>
    </row>
    <row r="28" spans="2:10" x14ac:dyDescent="0.2">
      <c r="B28" s="42" t="s">
        <v>270</v>
      </c>
      <c r="C28" s="42" t="s">
        <v>111</v>
      </c>
      <c r="G28" s="59"/>
      <c r="H28" s="44">
        <f>E12*H26*(-1)</f>
        <v>-6620.4400831790044</v>
      </c>
      <c r="J28" s="42" t="s">
        <v>156</v>
      </c>
    </row>
    <row r="29" spans="2:10" x14ac:dyDescent="0.2">
      <c r="H29" s="42"/>
    </row>
    <row r="30" spans="2:10" x14ac:dyDescent="0.2">
      <c r="H30" s="42"/>
    </row>
    <row r="31" spans="2:10" x14ac:dyDescent="0.2">
      <c r="H31" s="42"/>
    </row>
    <row r="32" spans="2:10" x14ac:dyDescent="0.2">
      <c r="H32" s="42"/>
    </row>
    <row r="33" spans="8:8" x14ac:dyDescent="0.2">
      <c r="H33" s="42"/>
    </row>
    <row r="34" spans="8:8" x14ac:dyDescent="0.2">
      <c r="H34" s="42"/>
    </row>
    <row r="35" spans="8:8" x14ac:dyDescent="0.2">
      <c r="H35" s="42"/>
    </row>
    <row r="36" spans="8:8" x14ac:dyDescent="0.2">
      <c r="H36" s="42"/>
    </row>
    <row r="37" spans="8:8" x14ac:dyDescent="0.2">
      <c r="H37" s="42"/>
    </row>
    <row r="38" spans="8:8" ht="12.75" customHeight="1" x14ac:dyDescent="0.2">
      <c r="H38" s="42"/>
    </row>
    <row r="39" spans="8:8" ht="12.75" customHeight="1" x14ac:dyDescent="0.2">
      <c r="H39" s="42"/>
    </row>
    <row r="40" spans="8:8" ht="12.75" customHeight="1" x14ac:dyDescent="0.2">
      <c r="H40" s="4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theme="0" tint="-4.9989318521683403E-2"/>
  </sheetPr>
  <dimension ref="A1"/>
  <sheetViews>
    <sheetView showGridLines="0" zoomScale="85" zoomScaleNormal="85" workbookViewId="0"/>
  </sheetViews>
  <sheetFormatPr defaultRowHeight="12.75" x14ac:dyDescent="0.2"/>
  <cols>
    <col min="1" max="16384" width="9.140625" style="15"/>
  </cols>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44"/>
  <sheetViews>
    <sheetView showGridLines="0" zoomScale="85" zoomScaleNormal="85" workbookViewId="0">
      <pane xSplit="3" ySplit="10" topLeftCell="D11" activePane="bottomRight" state="frozen"/>
      <selection pane="topRight"/>
      <selection pane="bottomLeft"/>
      <selection pane="bottomRight" activeCell="D11" sqref="D11"/>
    </sheetView>
  </sheetViews>
  <sheetFormatPr defaultRowHeight="12.75" x14ac:dyDescent="0.2"/>
  <cols>
    <col min="1" max="1" width="4.5703125" style="42" customWidth="1"/>
    <col min="2" max="2" width="50.7109375" style="42" customWidth="1"/>
    <col min="3" max="3" width="15.5703125" style="42" customWidth="1"/>
    <col min="4" max="4" width="2.7109375" style="42" customWidth="1"/>
    <col min="5" max="5" width="13.7109375" style="42" customWidth="1"/>
    <col min="6" max="6" width="2.7109375" style="42" customWidth="1"/>
    <col min="7" max="7" width="21.7109375" style="42" customWidth="1"/>
    <col min="8" max="8" width="21.7109375" style="40" customWidth="1"/>
    <col min="9" max="9" width="2.7109375" style="42" customWidth="1"/>
    <col min="10" max="10" width="30.7109375" style="42" customWidth="1"/>
    <col min="11" max="11" width="2.7109375" style="42" customWidth="1"/>
    <col min="12" max="21" width="12.5703125" style="42" customWidth="1"/>
    <col min="22" max="24" width="2.7109375" style="42" customWidth="1"/>
    <col min="25" max="39" width="13.7109375" style="42" customWidth="1"/>
    <col min="40" max="16384" width="9.140625" style="42"/>
  </cols>
  <sheetData>
    <row r="2" spans="2:10" s="13" customFormat="1" ht="18" x14ac:dyDescent="0.2">
      <c r="B2" s="13" t="s">
        <v>209</v>
      </c>
    </row>
    <row r="4" spans="2:10" x14ac:dyDescent="0.2">
      <c r="B4" s="20" t="s">
        <v>14</v>
      </c>
    </row>
    <row r="5" spans="2:10" x14ac:dyDescent="0.2">
      <c r="B5" s="16" t="s">
        <v>150</v>
      </c>
      <c r="G5" s="14"/>
    </row>
    <row r="6" spans="2:10" x14ac:dyDescent="0.2">
      <c r="B6" s="16"/>
      <c r="G6" s="14"/>
    </row>
    <row r="7" spans="2:10" x14ac:dyDescent="0.2">
      <c r="B7" s="21" t="s">
        <v>35</v>
      </c>
      <c r="G7" s="14"/>
    </row>
    <row r="8" spans="2:10" x14ac:dyDescent="0.2">
      <c r="B8" s="21" t="s">
        <v>221</v>
      </c>
      <c r="G8" s="14"/>
    </row>
    <row r="10" spans="2:10" s="38" customFormat="1" x14ac:dyDescent="0.2">
      <c r="B10" s="38" t="s">
        <v>7</v>
      </c>
      <c r="C10" s="38" t="s">
        <v>11</v>
      </c>
      <c r="E10" s="38" t="s">
        <v>8</v>
      </c>
      <c r="G10" s="38" t="s">
        <v>163</v>
      </c>
      <c r="H10" s="38" t="s">
        <v>164</v>
      </c>
      <c r="J10" s="38" t="s">
        <v>10</v>
      </c>
    </row>
    <row r="12" spans="2:10" s="38" customFormat="1" x14ac:dyDescent="0.2">
      <c r="B12" s="38" t="s">
        <v>90</v>
      </c>
    </row>
    <row r="13" spans="2:10" x14ac:dyDescent="0.2">
      <c r="H13" s="42"/>
    </row>
    <row r="14" spans="2:10" x14ac:dyDescent="0.2">
      <c r="B14" s="42" t="s">
        <v>92</v>
      </c>
      <c r="C14" s="42" t="s">
        <v>4</v>
      </c>
      <c r="E14" s="36">
        <f>Parameters!E26</f>
        <v>6.4899999999999999E-2</v>
      </c>
      <c r="H14" s="42"/>
    </row>
    <row r="15" spans="2:10" x14ac:dyDescent="0.2">
      <c r="H15" s="42"/>
    </row>
    <row r="16" spans="2:10" x14ac:dyDescent="0.2">
      <c r="B16" s="20" t="s">
        <v>15</v>
      </c>
      <c r="H16" s="42"/>
    </row>
    <row r="17" spans="2:10" x14ac:dyDescent="0.2">
      <c r="B17" s="42" t="s">
        <v>291</v>
      </c>
      <c r="C17" s="42" t="s">
        <v>6</v>
      </c>
      <c r="G17" s="43">
        <f>'Estimation for 2018'!G13</f>
        <v>2492025.2571670981</v>
      </c>
      <c r="H17" s="43">
        <f>'Estimation for 2018'!H13</f>
        <v>4492657.4866718343</v>
      </c>
    </row>
    <row r="18" spans="2:10" x14ac:dyDescent="0.2">
      <c r="B18" s="42" t="s">
        <v>290</v>
      </c>
      <c r="C18" s="42" t="s">
        <v>6</v>
      </c>
      <c r="G18" s="43">
        <f>'Estimation for 2018'!G14</f>
        <v>99088.816283100299</v>
      </c>
      <c r="H18" s="43">
        <f>'Estimation for 2018'!H14</f>
        <v>262052.17433876442</v>
      </c>
    </row>
    <row r="19" spans="2:10" x14ac:dyDescent="0.2">
      <c r="B19" s="42" t="s">
        <v>218</v>
      </c>
      <c r="C19" s="42" t="s">
        <v>6</v>
      </c>
      <c r="G19" s="43">
        <f>'Estimation for 2018'!G17</f>
        <v>1048870.6807063497</v>
      </c>
      <c r="H19" s="43">
        <f>'Estimation for 2018'!H17</f>
        <v>866028.58929365012</v>
      </c>
    </row>
    <row r="20" spans="2:10" x14ac:dyDescent="0.2">
      <c r="B20" s="42" t="s">
        <v>289</v>
      </c>
      <c r="C20" s="42" t="s">
        <v>6</v>
      </c>
      <c r="G20" s="43">
        <f>'Estimation for 2018'!G18</f>
        <v>15705.707750846292</v>
      </c>
      <c r="H20" s="43">
        <f>'Estimation for 2018'!H18</f>
        <v>110539.2407959539</v>
      </c>
    </row>
    <row r="21" spans="2:10" x14ac:dyDescent="0.2">
      <c r="H21" s="42"/>
    </row>
    <row r="22" spans="2:10" x14ac:dyDescent="0.2">
      <c r="B22" s="42" t="s">
        <v>346</v>
      </c>
      <c r="C22" s="42" t="s">
        <v>4</v>
      </c>
      <c r="G22" s="73">
        <f>Parameters!G35</f>
        <v>0.25</v>
      </c>
      <c r="H22" s="73">
        <f>Parameters!H35</f>
        <v>0</v>
      </c>
    </row>
    <row r="23" spans="2:10" x14ac:dyDescent="0.2">
      <c r="B23" s="42" t="s">
        <v>292</v>
      </c>
      <c r="C23" s="42" t="s">
        <v>4</v>
      </c>
      <c r="G23" s="73">
        <f>Parameters!G36</f>
        <v>0</v>
      </c>
      <c r="H23" s="73">
        <f>Parameters!H36</f>
        <v>0</v>
      </c>
      <c r="J23" s="42" t="s">
        <v>213</v>
      </c>
    </row>
    <row r="24" spans="2:10" x14ac:dyDescent="0.2">
      <c r="H24" s="42"/>
    </row>
    <row r="25" spans="2:10" x14ac:dyDescent="0.2">
      <c r="B25" s="41" t="s">
        <v>82</v>
      </c>
      <c r="H25" s="42"/>
    </row>
    <row r="26" spans="2:10" s="21" customFormat="1" x14ac:dyDescent="0.2">
      <c r="B26" s="21" t="s">
        <v>83</v>
      </c>
      <c r="C26" s="21" t="s">
        <v>84</v>
      </c>
      <c r="G26" s="21" t="s">
        <v>12</v>
      </c>
      <c r="H26" s="21" t="s">
        <v>86</v>
      </c>
    </row>
    <row r="27" spans="2:10" x14ac:dyDescent="0.2">
      <c r="B27" s="42" t="s">
        <v>85</v>
      </c>
      <c r="C27" s="42" t="s">
        <v>84</v>
      </c>
      <c r="G27" s="43">
        <f>'Estimation for 2018'!G25</f>
        <v>9464730</v>
      </c>
      <c r="H27" s="43">
        <f>'Estimation for 2018'!H25</f>
        <v>10818.9</v>
      </c>
    </row>
    <row r="28" spans="2:10" x14ac:dyDescent="0.2">
      <c r="B28" s="40"/>
      <c r="C28" s="40"/>
      <c r="D28" s="40"/>
      <c r="E28" s="40"/>
      <c r="F28" s="40"/>
      <c r="H28" s="42"/>
    </row>
    <row r="29" spans="2:10" s="38" customFormat="1" x14ac:dyDescent="0.2">
      <c r="B29" s="38" t="s">
        <v>220</v>
      </c>
    </row>
    <row r="31" spans="2:10" x14ac:dyDescent="0.2">
      <c r="B31" s="41" t="s">
        <v>347</v>
      </c>
    </row>
    <row r="32" spans="2:10" x14ac:dyDescent="0.2">
      <c r="B32" s="42" t="s">
        <v>348</v>
      </c>
      <c r="C32" s="42" t="s">
        <v>6</v>
      </c>
      <c r="G32" s="39">
        <f>G19*(1-G22)-G20</f>
        <v>770947.30277891597</v>
      </c>
      <c r="H32" s="39">
        <f>H19*(1-H22)-H20</f>
        <v>755489.34849769622</v>
      </c>
    </row>
    <row r="33" spans="2:8" x14ac:dyDescent="0.2">
      <c r="B33" s="42" t="s">
        <v>349</v>
      </c>
      <c r="C33" s="42" t="s">
        <v>6</v>
      </c>
      <c r="G33" s="39">
        <f>G19*G22</f>
        <v>262217.67017658742</v>
      </c>
      <c r="H33" s="39">
        <f>H19*H22</f>
        <v>0</v>
      </c>
    </row>
    <row r="34" spans="2:8" x14ac:dyDescent="0.2">
      <c r="B34" s="42" t="s">
        <v>350</v>
      </c>
      <c r="C34" s="42" t="s">
        <v>232</v>
      </c>
      <c r="G34" s="69">
        <f>G33/G27</f>
        <v>2.7704717427394908E-2</v>
      </c>
      <c r="H34" s="75">
        <f>H33/H27</f>
        <v>0</v>
      </c>
    </row>
    <row r="36" spans="2:8" x14ac:dyDescent="0.2">
      <c r="B36" s="41" t="s">
        <v>285</v>
      </c>
    </row>
    <row r="37" spans="2:8" x14ac:dyDescent="0.2">
      <c r="B37" s="42" t="s">
        <v>227</v>
      </c>
      <c r="C37" s="42" t="s">
        <v>6</v>
      </c>
      <c r="G37" s="39">
        <f>$E$14*G17+G18</f>
        <v>260821.25547324499</v>
      </c>
      <c r="H37" s="39">
        <f>$E$14*H17+H18</f>
        <v>553625.64522376645</v>
      </c>
    </row>
    <row r="38" spans="2:8" x14ac:dyDescent="0.2">
      <c r="B38" s="42" t="s">
        <v>228</v>
      </c>
      <c r="C38" s="42" t="s">
        <v>6</v>
      </c>
      <c r="G38" s="39">
        <f>G37*(1-G23)</f>
        <v>260821.25547324499</v>
      </c>
      <c r="H38" s="39">
        <f>H37*(1-H23)</f>
        <v>553625.64522376645</v>
      </c>
    </row>
    <row r="39" spans="2:8" x14ac:dyDescent="0.2">
      <c r="B39" s="42" t="s">
        <v>229</v>
      </c>
      <c r="C39" s="42" t="s">
        <v>6</v>
      </c>
      <c r="G39" s="39">
        <f>G37*G23</f>
        <v>0</v>
      </c>
      <c r="H39" s="39">
        <f>H37*H23</f>
        <v>0</v>
      </c>
    </row>
    <row r="40" spans="2:8" x14ac:dyDescent="0.2">
      <c r="B40" s="42" t="s">
        <v>230</v>
      </c>
      <c r="C40" s="42" t="s">
        <v>232</v>
      </c>
      <c r="G40" s="63">
        <f>G39/G27</f>
        <v>0</v>
      </c>
      <c r="H40" s="63">
        <f>H39/H27</f>
        <v>0</v>
      </c>
    </row>
    <row r="42" spans="2:8" x14ac:dyDescent="0.2">
      <c r="B42" s="41" t="s">
        <v>286</v>
      </c>
    </row>
    <row r="43" spans="2:8" x14ac:dyDescent="0.2">
      <c r="B43" s="42" t="s">
        <v>287</v>
      </c>
      <c r="C43" s="42" t="s">
        <v>6</v>
      </c>
      <c r="G43" s="44">
        <f>G32+G38</f>
        <v>1031768.5582521609</v>
      </c>
      <c r="H43" s="44">
        <f>H32+H38</f>
        <v>1309114.9937214628</v>
      </c>
    </row>
    <row r="44" spans="2:8" x14ac:dyDescent="0.2">
      <c r="B44" s="42" t="s">
        <v>288</v>
      </c>
      <c r="C44" s="42" t="s">
        <v>232</v>
      </c>
      <c r="G44" s="76">
        <f>G34+G40</f>
        <v>2.7704717427394908E-2</v>
      </c>
      <c r="H44" s="76">
        <f>H34+H40</f>
        <v>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FFFFCC"/>
  </sheetPr>
  <dimension ref="A2:J22"/>
  <sheetViews>
    <sheetView showGridLines="0" zoomScale="85" zoomScaleNormal="85" workbookViewId="0">
      <pane xSplit="3" ySplit="7" topLeftCell="D8" activePane="bottomRight" state="frozen"/>
      <selection pane="topRight"/>
      <selection pane="bottomLeft"/>
      <selection pane="bottomRight" activeCell="D8" sqref="D8"/>
    </sheetView>
  </sheetViews>
  <sheetFormatPr defaultRowHeight="12.75" x14ac:dyDescent="0.2"/>
  <cols>
    <col min="1" max="1" width="4.5703125" style="42" customWidth="1"/>
    <col min="2" max="2" width="50.7109375" style="1" customWidth="1"/>
    <col min="3" max="3" width="13.7109375" style="1" customWidth="1"/>
    <col min="4" max="4" width="2.7109375" style="42" customWidth="1"/>
    <col min="5" max="5" width="13.7109375" style="42" customWidth="1"/>
    <col min="6" max="6" width="2.7109375" style="1" customWidth="1"/>
    <col min="7" max="7" width="21.7109375" style="1" customWidth="1"/>
    <col min="8" max="8" width="21.7109375" customWidth="1"/>
    <col min="9" max="9" width="2.7109375" style="1" customWidth="1"/>
    <col min="10" max="10" width="30.7109375" style="1" customWidth="1"/>
    <col min="11" max="11" width="2.7109375" style="1" customWidth="1"/>
    <col min="12" max="21" width="12.5703125" style="1" customWidth="1"/>
    <col min="22" max="24" width="2.7109375" style="1" customWidth="1"/>
    <col min="25" max="39" width="13.7109375" style="1" customWidth="1"/>
    <col min="40" max="16384" width="9.140625" style="1"/>
  </cols>
  <sheetData>
    <row r="2" spans="1:10" s="13" customFormat="1" ht="18" x14ac:dyDescent="0.2">
      <c r="B2" s="13" t="s">
        <v>297</v>
      </c>
    </row>
    <row r="4" spans="1:10" x14ac:dyDescent="0.2">
      <c r="B4" s="20" t="s">
        <v>14</v>
      </c>
    </row>
    <row r="5" spans="1:10" x14ac:dyDescent="0.2">
      <c r="B5" s="16" t="s">
        <v>299</v>
      </c>
      <c r="G5" s="14"/>
    </row>
    <row r="7" spans="1:10" s="6" customFormat="1" x14ac:dyDescent="0.2">
      <c r="A7" s="38"/>
      <c r="B7" s="6" t="s">
        <v>7</v>
      </c>
      <c r="C7" s="6" t="s">
        <v>11</v>
      </c>
      <c r="D7" s="38"/>
      <c r="E7" s="38" t="s">
        <v>8</v>
      </c>
      <c r="G7" s="38" t="s">
        <v>163</v>
      </c>
      <c r="H7" s="38" t="s">
        <v>164</v>
      </c>
      <c r="J7" s="6" t="s">
        <v>10</v>
      </c>
    </row>
    <row r="9" spans="1:10" s="6" customFormat="1" x14ac:dyDescent="0.2">
      <c r="A9" s="38"/>
      <c r="B9" s="6" t="s">
        <v>298</v>
      </c>
      <c r="D9" s="38"/>
      <c r="E9" s="38"/>
    </row>
    <row r="11" spans="1:10" s="42" customFormat="1" x14ac:dyDescent="0.2">
      <c r="B11" s="42" t="s">
        <v>330</v>
      </c>
      <c r="C11" s="42" t="s">
        <v>6</v>
      </c>
      <c r="G11" s="43">
        <f>'Fixed-variable costs 2016'!G43</f>
        <v>1031768.5582521609</v>
      </c>
      <c r="H11" s="43">
        <f>'Fixed-variable costs 2016'!H43</f>
        <v>1309114.9937214628</v>
      </c>
    </row>
    <row r="13" spans="1:10" s="42" customFormat="1" x14ac:dyDescent="0.2">
      <c r="B13" s="41" t="s">
        <v>88</v>
      </c>
    </row>
    <row r="14" spans="1:10" s="21" customFormat="1" x14ac:dyDescent="0.2">
      <c r="B14" s="21" t="s">
        <v>83</v>
      </c>
      <c r="C14" s="21" t="s">
        <v>84</v>
      </c>
      <c r="G14" s="21" t="s">
        <v>12</v>
      </c>
      <c r="H14" s="21" t="s">
        <v>86</v>
      </c>
    </row>
    <row r="15" spans="1:10" s="42" customFormat="1" x14ac:dyDescent="0.2">
      <c r="B15" s="42" t="s">
        <v>85</v>
      </c>
      <c r="C15" s="42" t="s">
        <v>84</v>
      </c>
      <c r="G15" s="43">
        <f>'Estimation for 2018'!G25</f>
        <v>9464730</v>
      </c>
      <c r="H15" s="43">
        <f>'Estimation for 2018'!H25</f>
        <v>10818.9</v>
      </c>
    </row>
    <row r="16" spans="1:10" s="42" customFormat="1" x14ac:dyDescent="0.2">
      <c r="B16" s="42" t="s">
        <v>87</v>
      </c>
      <c r="C16" s="42" t="s">
        <v>84</v>
      </c>
      <c r="G16" s="43">
        <f>'Realization of 2018'!G24</f>
        <v>8816170.5500000007</v>
      </c>
      <c r="H16" s="43">
        <f>'Realization of 2018'!H24</f>
        <v>10972.046153846151</v>
      </c>
    </row>
    <row r="18" spans="1:10" s="6" customFormat="1" x14ac:dyDescent="0.2">
      <c r="A18" s="38"/>
      <c r="B18" s="6" t="s">
        <v>297</v>
      </c>
      <c r="D18" s="38"/>
      <c r="E18" s="38"/>
    </row>
    <row r="20" spans="1:10" x14ac:dyDescent="0.2">
      <c r="B20" s="20" t="s">
        <v>294</v>
      </c>
    </row>
    <row r="21" spans="1:10" x14ac:dyDescent="0.2">
      <c r="B21" s="1" t="s">
        <v>293</v>
      </c>
      <c r="C21" s="1" t="s">
        <v>6</v>
      </c>
      <c r="G21" s="33">
        <f>G11/G15*G16</f>
        <v>961067.83581556589</v>
      </c>
      <c r="H21" s="39">
        <f>H11/H15*H16</f>
        <v>1327646.0760154827</v>
      </c>
    </row>
    <row r="22" spans="1:10" x14ac:dyDescent="0.2">
      <c r="B22" s="35" t="s">
        <v>210</v>
      </c>
      <c r="C22" s="1" t="s">
        <v>6</v>
      </c>
      <c r="G22" s="44">
        <f>G11-G21</f>
        <v>70700.72243659501</v>
      </c>
      <c r="H22" s="44">
        <f>H11-H21</f>
        <v>-18531.08229401987</v>
      </c>
      <c r="J22" s="42" t="s">
        <v>296</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FFFFCC"/>
  </sheetPr>
  <dimension ref="A2:J45"/>
  <sheetViews>
    <sheetView showGridLines="0" zoomScale="85" zoomScaleNormal="85" workbookViewId="0">
      <pane xSplit="3" ySplit="7" topLeftCell="D8" activePane="bottomRight" state="frozen"/>
      <selection pane="topRight"/>
      <selection pane="bottomLeft"/>
      <selection pane="bottomRight" activeCell="D8" sqref="D8"/>
    </sheetView>
  </sheetViews>
  <sheetFormatPr defaultRowHeight="12.75" x14ac:dyDescent="0.2"/>
  <cols>
    <col min="1" max="1" width="4.5703125" style="42" customWidth="1"/>
    <col min="2" max="2" width="50.7109375" style="1" customWidth="1"/>
    <col min="3" max="3" width="13.7109375" style="1" customWidth="1"/>
    <col min="4" max="4" width="2.7109375" style="42" customWidth="1"/>
    <col min="5" max="5" width="13.7109375" style="42" customWidth="1"/>
    <col min="6" max="6" width="2.7109375" style="1" customWidth="1"/>
    <col min="7" max="7" width="21.7109375" style="1" customWidth="1"/>
    <col min="8" max="8" width="21.7109375" style="42" customWidth="1"/>
    <col min="9" max="9" width="2.7109375" style="1" customWidth="1"/>
    <col min="10" max="10" width="30.7109375" style="1" customWidth="1"/>
    <col min="11" max="14" width="12.5703125" style="1" customWidth="1"/>
    <col min="15" max="17" width="2.7109375" style="1" customWidth="1"/>
    <col min="18" max="32" width="13.7109375" style="1" customWidth="1"/>
    <col min="33" max="16384" width="9.140625" style="1"/>
  </cols>
  <sheetData>
    <row r="2" spans="1:10" s="13" customFormat="1" ht="18" x14ac:dyDescent="0.2">
      <c r="B2" s="13" t="s">
        <v>333</v>
      </c>
    </row>
    <row r="4" spans="1:10" x14ac:dyDescent="0.2">
      <c r="B4" s="20" t="s">
        <v>14</v>
      </c>
    </row>
    <row r="5" spans="1:10" x14ac:dyDescent="0.2">
      <c r="B5" s="16" t="s">
        <v>151</v>
      </c>
      <c r="G5" s="14"/>
      <c r="H5" s="14"/>
    </row>
    <row r="7" spans="1:10" s="6" customFormat="1" x14ac:dyDescent="0.2">
      <c r="A7" s="38"/>
      <c r="B7" s="6" t="s">
        <v>7</v>
      </c>
      <c r="C7" s="6" t="s">
        <v>11</v>
      </c>
      <c r="D7" s="38"/>
      <c r="E7" s="38" t="s">
        <v>8</v>
      </c>
      <c r="G7" s="38" t="s">
        <v>163</v>
      </c>
      <c r="H7" s="38" t="s">
        <v>164</v>
      </c>
      <c r="J7" s="6" t="s">
        <v>10</v>
      </c>
    </row>
    <row r="9" spans="1:10" s="6" customFormat="1" x14ac:dyDescent="0.2">
      <c r="A9" s="38"/>
      <c r="B9" s="6" t="s">
        <v>17</v>
      </c>
      <c r="D9" s="38"/>
      <c r="E9" s="38"/>
      <c r="H9" s="38"/>
    </row>
    <row r="10" spans="1:10" x14ac:dyDescent="0.2">
      <c r="B10" s="20"/>
    </row>
    <row r="11" spans="1:10" x14ac:dyDescent="0.2">
      <c r="B11" s="20" t="s">
        <v>121</v>
      </c>
    </row>
    <row r="12" spans="1:10" x14ac:dyDescent="0.2">
      <c r="B12" s="1" t="s">
        <v>92</v>
      </c>
      <c r="C12" s="1" t="s">
        <v>4</v>
      </c>
      <c r="E12" s="36">
        <f>Parameters!E26</f>
        <v>6.4899999999999999E-2</v>
      </c>
    </row>
    <row r="13" spans="1:10" x14ac:dyDescent="0.2">
      <c r="B13" s="1" t="s">
        <v>71</v>
      </c>
      <c r="C13" s="1" t="s">
        <v>4</v>
      </c>
      <c r="E13" s="72">
        <f>Parameters!E18</f>
        <v>2E-3</v>
      </c>
    </row>
    <row r="14" spans="1:10" x14ac:dyDescent="0.2">
      <c r="B14" s="42" t="s">
        <v>79</v>
      </c>
      <c r="C14" s="1" t="s">
        <v>4</v>
      </c>
      <c r="E14" s="72">
        <f>Parameters!E19</f>
        <v>-1.3000000000000001E-2</v>
      </c>
    </row>
    <row r="15" spans="1:10" x14ac:dyDescent="0.2">
      <c r="B15" s="1" t="s">
        <v>69</v>
      </c>
      <c r="C15" s="1" t="s">
        <v>4</v>
      </c>
      <c r="E15" s="73">
        <f>Parameters!E31</f>
        <v>0.5</v>
      </c>
    </row>
    <row r="17" spans="1:10" x14ac:dyDescent="0.2">
      <c r="B17" s="20" t="s">
        <v>255</v>
      </c>
      <c r="J17" s="42" t="s">
        <v>238</v>
      </c>
    </row>
    <row r="18" spans="1:10" x14ac:dyDescent="0.2">
      <c r="B18" s="42" t="s">
        <v>256</v>
      </c>
      <c r="C18" s="42" t="s">
        <v>232</v>
      </c>
      <c r="G18" s="64">
        <f>'Fixed-variable costs 2016'!G44</f>
        <v>2.7704717427394908E-2</v>
      </c>
      <c r="H18" s="64">
        <f>'Fixed-variable costs 2016'!H44</f>
        <v>0</v>
      </c>
    </row>
    <row r="19" spans="1:10" x14ac:dyDescent="0.2">
      <c r="B19" s="42" t="s">
        <v>257</v>
      </c>
      <c r="C19" s="42" t="s">
        <v>6</v>
      </c>
      <c r="G19" s="43">
        <f>'Fixed-variable costs 2016'!G43</f>
        <v>1031768.5582521609</v>
      </c>
      <c r="H19" s="43">
        <f>'Fixed-variable costs 2016'!H43</f>
        <v>1309114.9937214628</v>
      </c>
    </row>
    <row r="21" spans="1:10" x14ac:dyDescent="0.2">
      <c r="B21" s="20" t="s">
        <v>300</v>
      </c>
    </row>
    <row r="22" spans="1:10" x14ac:dyDescent="0.2">
      <c r="B22" s="42" t="s">
        <v>247</v>
      </c>
      <c r="C22" s="42" t="s">
        <v>74</v>
      </c>
      <c r="G22" s="34">
        <f>'Realization of 2018'!G12</f>
        <v>2358701.5026176842</v>
      </c>
      <c r="H22" s="43">
        <f>'Realization of 2018'!H12</f>
        <v>4102160.9495653794</v>
      </c>
    </row>
    <row r="23" spans="1:10" x14ac:dyDescent="0.2">
      <c r="B23" s="1" t="s">
        <v>202</v>
      </c>
      <c r="C23" s="1" t="s">
        <v>74</v>
      </c>
      <c r="G23" s="34">
        <f>'Realization of 2018'!G13</f>
        <v>108713.37749530109</v>
      </c>
      <c r="H23" s="43">
        <f>'Realization of 2018'!H13</f>
        <v>261453.63522031394</v>
      </c>
    </row>
    <row r="24" spans="1:10" x14ac:dyDescent="0.2">
      <c r="B24" s="42" t="s">
        <v>335</v>
      </c>
      <c r="C24" s="42" t="s">
        <v>74</v>
      </c>
      <c r="G24" s="34">
        <f>'Realization of 2018'!G18</f>
        <v>1144615.885</v>
      </c>
      <c r="H24" s="43">
        <f>'Realization of 2018'!H18</f>
        <v>777898.77500000014</v>
      </c>
    </row>
    <row r="25" spans="1:10" s="42" customFormat="1" x14ac:dyDescent="0.2"/>
    <row r="26" spans="1:10" s="42" customFormat="1" x14ac:dyDescent="0.2">
      <c r="B26" s="41" t="s">
        <v>82</v>
      </c>
    </row>
    <row r="27" spans="1:10" s="21" customFormat="1" x14ac:dyDescent="0.2">
      <c r="B27" s="21" t="s">
        <v>83</v>
      </c>
      <c r="C27" s="21" t="s">
        <v>84</v>
      </c>
      <c r="G27" s="21" t="s">
        <v>12</v>
      </c>
      <c r="H27" s="21" t="s">
        <v>86</v>
      </c>
    </row>
    <row r="28" spans="1:10" s="42" customFormat="1" x14ac:dyDescent="0.2">
      <c r="B28" s="42" t="s">
        <v>87</v>
      </c>
      <c r="C28" s="42" t="s">
        <v>84</v>
      </c>
      <c r="G28" s="43">
        <f>'Realization of 2018'!G24</f>
        <v>8816170.5500000007</v>
      </c>
      <c r="H28" s="43">
        <f>'Realization of 2018'!H24</f>
        <v>10972.046153846151</v>
      </c>
    </row>
    <row r="30" spans="1:10" s="6" customFormat="1" x14ac:dyDescent="0.2">
      <c r="A30" s="38"/>
      <c r="B30" s="6" t="s">
        <v>261</v>
      </c>
      <c r="D30" s="38"/>
      <c r="E30" s="38"/>
      <c r="H30" s="38"/>
    </row>
    <row r="32" spans="1:10" x14ac:dyDescent="0.2">
      <c r="B32" s="20" t="s">
        <v>78</v>
      </c>
    </row>
    <row r="33" spans="2:10" x14ac:dyDescent="0.2">
      <c r="B33" s="42" t="s">
        <v>256</v>
      </c>
      <c r="C33" s="42" t="s">
        <v>234</v>
      </c>
      <c r="G33" s="69">
        <f>(1+$E$13)*(1+$E$14)*G18</f>
        <v>2.7399245213040452E-2</v>
      </c>
      <c r="H33" s="63">
        <f>(1+$E$13)*(1+$E$14)*H18</f>
        <v>0</v>
      </c>
    </row>
    <row r="34" spans="2:10" x14ac:dyDescent="0.2">
      <c r="B34" s="42" t="s">
        <v>257</v>
      </c>
      <c r="C34" s="42" t="s">
        <v>74</v>
      </c>
      <c r="G34" s="39">
        <f>(1+$E$13)*(1+$E$14)*G19</f>
        <v>1020392.2781288726</v>
      </c>
      <c r="H34" s="39">
        <f>(1+$E$13)*(1+$E$14)*H19</f>
        <v>1294680.69180069</v>
      </c>
    </row>
    <row r="35" spans="2:10" x14ac:dyDescent="0.2">
      <c r="B35" s="42" t="s">
        <v>263</v>
      </c>
      <c r="C35" s="1" t="s">
        <v>74</v>
      </c>
      <c r="G35" s="33">
        <f>G28*G33+G34</f>
        <v>1261948.6968683084</v>
      </c>
      <c r="H35" s="39">
        <f>H28*H33+H34</f>
        <v>1294680.69180069</v>
      </c>
      <c r="J35" s="42"/>
    </row>
    <row r="37" spans="2:10" x14ac:dyDescent="0.2">
      <c r="B37" s="20" t="s">
        <v>80</v>
      </c>
    </row>
    <row r="38" spans="2:10" x14ac:dyDescent="0.2">
      <c r="B38" s="42" t="s">
        <v>258</v>
      </c>
      <c r="C38" s="1" t="s">
        <v>74</v>
      </c>
      <c r="G38" s="33">
        <f>(G22*$E$12)+G23</f>
        <v>261793.1050151888</v>
      </c>
      <c r="H38" s="39">
        <f>(H22*$E$12)+H23</f>
        <v>527683.88084710704</v>
      </c>
    </row>
    <row r="39" spans="2:10" s="42" customFormat="1" x14ac:dyDescent="0.2">
      <c r="B39" s="42" t="s">
        <v>259</v>
      </c>
      <c r="C39" s="42" t="s">
        <v>74</v>
      </c>
      <c r="G39" s="43">
        <f>G24</f>
        <v>1144615.885</v>
      </c>
      <c r="H39" s="43">
        <f>H24</f>
        <v>777898.77500000014</v>
      </c>
    </row>
    <row r="40" spans="2:10" x14ac:dyDescent="0.2">
      <c r="B40" s="1" t="s">
        <v>81</v>
      </c>
      <c r="C40" s="1" t="s">
        <v>74</v>
      </c>
      <c r="G40" s="39">
        <f>G38+G39</f>
        <v>1406408.9900151887</v>
      </c>
      <c r="H40" s="39">
        <f>H38+H39</f>
        <v>1305582.6558471071</v>
      </c>
      <c r="J40" s="42"/>
    </row>
    <row r="42" spans="2:10" x14ac:dyDescent="0.2">
      <c r="B42" s="20" t="s">
        <v>16</v>
      </c>
    </row>
    <row r="43" spans="2:10" x14ac:dyDescent="0.2">
      <c r="B43" s="42" t="s">
        <v>253</v>
      </c>
      <c r="C43" s="1" t="s">
        <v>74</v>
      </c>
      <c r="G43" s="39">
        <f>G35-G40</f>
        <v>-144460.29314688034</v>
      </c>
      <c r="H43" s="39">
        <f>H35-H40</f>
        <v>-10901.964046417037</v>
      </c>
      <c r="J43" s="1" t="s">
        <v>260</v>
      </c>
    </row>
    <row r="44" spans="2:10" s="42" customFormat="1" x14ac:dyDescent="0.2"/>
    <row r="45" spans="2:10" x14ac:dyDescent="0.2">
      <c r="B45" s="16" t="s">
        <v>211</v>
      </c>
      <c r="C45" s="1" t="s">
        <v>74</v>
      </c>
      <c r="G45" s="44">
        <f>$E$15*G43*(-1)</f>
        <v>72230.146573440172</v>
      </c>
      <c r="H45" s="44">
        <f>$E$15*H43*(-1)</f>
        <v>5450.9820232085185</v>
      </c>
      <c r="J45" s="1" t="s">
        <v>301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rgb="FFCCC8D9"/>
  </sheetPr>
  <dimension ref="B2:H36"/>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42" customWidth="1"/>
    <col min="2" max="2" width="19.140625" style="42" customWidth="1"/>
    <col min="3" max="3" width="20.7109375" style="42" customWidth="1"/>
    <col min="4" max="4" width="56.85546875" style="42" customWidth="1"/>
    <col min="5" max="5" width="29.85546875" style="42" customWidth="1"/>
    <col min="6" max="6" width="24.7109375" style="42" customWidth="1"/>
    <col min="7" max="7" width="37.28515625" style="42" customWidth="1"/>
    <col min="8" max="16384" width="9.140625" style="42"/>
  </cols>
  <sheetData>
    <row r="2" spans="2:8" s="5" customFormat="1" ht="18" x14ac:dyDescent="0.2">
      <c r="B2" s="5" t="s">
        <v>34</v>
      </c>
    </row>
    <row r="4" spans="2:8" s="38" customFormat="1" x14ac:dyDescent="0.2">
      <c r="B4" s="38" t="s">
        <v>35</v>
      </c>
    </row>
    <row r="6" spans="2:8" x14ac:dyDescent="0.2">
      <c r="B6" s="16" t="s">
        <v>107</v>
      </c>
    </row>
    <row r="7" spans="2:8" x14ac:dyDescent="0.2">
      <c r="B7" s="42" t="s">
        <v>108</v>
      </c>
      <c r="H7" s="24"/>
    </row>
    <row r="8" spans="2:8" x14ac:dyDescent="0.2">
      <c r="B8" s="42" t="s">
        <v>109</v>
      </c>
      <c r="H8" s="24"/>
    </row>
    <row r="9" spans="2:8" x14ac:dyDescent="0.2">
      <c r="B9" s="42" t="s">
        <v>110</v>
      </c>
    </row>
    <row r="11" spans="2:8" s="38" customFormat="1" x14ac:dyDescent="0.2">
      <c r="B11" s="38" t="s">
        <v>36</v>
      </c>
    </row>
    <row r="12" spans="2:8" x14ac:dyDescent="0.2">
      <c r="C12" s="7"/>
    </row>
    <row r="13" spans="2:8" x14ac:dyDescent="0.2">
      <c r="B13" s="20" t="s">
        <v>37</v>
      </c>
      <c r="C13" s="7"/>
      <c r="D13" s="20" t="s">
        <v>38</v>
      </c>
      <c r="F13" s="9"/>
    </row>
    <row r="14" spans="2:8" x14ac:dyDescent="0.2">
      <c r="C14" s="7"/>
    </row>
    <row r="15" spans="2:8" x14ac:dyDescent="0.2">
      <c r="B15" s="26">
        <v>123</v>
      </c>
      <c r="C15" s="7"/>
      <c r="D15" s="16" t="s">
        <v>39</v>
      </c>
    </row>
    <row r="16" spans="2:8" x14ac:dyDescent="0.2">
      <c r="B16" s="27">
        <f>B15</f>
        <v>123</v>
      </c>
      <c r="C16" s="7"/>
      <c r="D16" s="42" t="s">
        <v>40</v>
      </c>
    </row>
    <row r="17" spans="2:6" x14ac:dyDescent="0.2">
      <c r="B17" s="25">
        <f>B16+B15</f>
        <v>246</v>
      </c>
      <c r="C17" s="7"/>
      <c r="D17" s="42" t="s">
        <v>41</v>
      </c>
    </row>
    <row r="18" spans="2:6" x14ac:dyDescent="0.2">
      <c r="B18" s="23">
        <f>B16+B17</f>
        <v>369</v>
      </c>
      <c r="C18" s="7"/>
      <c r="D18" s="16" t="s">
        <v>42</v>
      </c>
      <c r="E18" s="9"/>
      <c r="F18" s="3"/>
    </row>
    <row r="19" spans="2:6" x14ac:dyDescent="0.2">
      <c r="B19" s="10"/>
      <c r="C19" s="7"/>
      <c r="D19" s="16" t="s">
        <v>43</v>
      </c>
      <c r="E19" s="9"/>
    </row>
    <row r="20" spans="2:6" x14ac:dyDescent="0.2">
      <c r="B20" s="7"/>
      <c r="C20" s="7"/>
    </row>
    <row r="21" spans="2:6" x14ac:dyDescent="0.2">
      <c r="B21" s="21" t="s">
        <v>44</v>
      </c>
      <c r="C21" s="7"/>
    </row>
    <row r="22" spans="2:6" x14ac:dyDescent="0.2">
      <c r="B22" s="28">
        <f>B18+16</f>
        <v>385</v>
      </c>
      <c r="C22" s="7"/>
      <c r="D22" s="42" t="s">
        <v>45</v>
      </c>
    </row>
    <row r="23" spans="2:6" x14ac:dyDescent="0.2">
      <c r="B23" s="29">
        <f>B16*PI()</f>
        <v>386.41589639154455</v>
      </c>
      <c r="C23" s="12"/>
      <c r="D23" s="42" t="s">
        <v>46</v>
      </c>
    </row>
    <row r="24" spans="2:6" x14ac:dyDescent="0.2">
      <c r="B24" s="12"/>
      <c r="C24" s="12"/>
    </row>
    <row r="26" spans="2:6" x14ac:dyDescent="0.2">
      <c r="B26" s="20" t="s">
        <v>47</v>
      </c>
    </row>
    <row r="27" spans="2:6" x14ac:dyDescent="0.2">
      <c r="B27" s="41"/>
    </row>
    <row r="28" spans="2:6" x14ac:dyDescent="0.2">
      <c r="B28" s="21" t="s">
        <v>48</v>
      </c>
    </row>
    <row r="29" spans="2:6" x14ac:dyDescent="0.2">
      <c r="B29" s="54" t="s">
        <v>49</v>
      </c>
      <c r="C29" s="7"/>
      <c r="D29" s="16" t="s">
        <v>50</v>
      </c>
    </row>
    <row r="30" spans="2:6" x14ac:dyDescent="0.2">
      <c r="B30" s="55" t="s">
        <v>0</v>
      </c>
      <c r="C30" s="7"/>
      <c r="D30" s="16" t="s">
        <v>51</v>
      </c>
    </row>
    <row r="31" spans="2:6" x14ac:dyDescent="0.2">
      <c r="B31" s="56" t="s">
        <v>52</v>
      </c>
      <c r="C31" s="7"/>
      <c r="D31" s="16" t="s">
        <v>53</v>
      </c>
    </row>
    <row r="32" spans="2:6" x14ac:dyDescent="0.2">
      <c r="B32" s="11" t="s">
        <v>52</v>
      </c>
      <c r="C32" s="7"/>
      <c r="D32" s="16" t="s">
        <v>54</v>
      </c>
    </row>
    <row r="33" spans="2:4" x14ac:dyDescent="0.2">
      <c r="C33" s="7"/>
      <c r="D33" s="16"/>
    </row>
    <row r="34" spans="2:4" x14ac:dyDescent="0.2">
      <c r="B34" s="21" t="s">
        <v>55</v>
      </c>
      <c r="C34" s="7"/>
      <c r="D34" s="16"/>
    </row>
    <row r="35" spans="2:4" x14ac:dyDescent="0.2">
      <c r="B35" s="15" t="s">
        <v>1</v>
      </c>
      <c r="C35" s="7"/>
      <c r="D35" s="16" t="s">
        <v>56</v>
      </c>
    </row>
    <row r="36" spans="2:4" x14ac:dyDescent="0.2">
      <c r="B36" s="57" t="s">
        <v>57</v>
      </c>
      <c r="D36" s="16" t="s">
        <v>58</v>
      </c>
    </row>
  </sheetData>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42"/>
  <sheetViews>
    <sheetView showGridLines="0" zoomScale="85" zoomScaleNormal="85" workbookViewId="0">
      <pane xSplit="3" ySplit="7" topLeftCell="D8" activePane="bottomRight" state="frozen"/>
      <selection pane="topRight"/>
      <selection pane="bottomLeft"/>
      <selection pane="bottomRight" activeCell="D8" sqref="D8"/>
    </sheetView>
  </sheetViews>
  <sheetFormatPr defaultRowHeight="12.75" x14ac:dyDescent="0.2"/>
  <cols>
    <col min="1" max="1" width="4.5703125" style="42" customWidth="1"/>
    <col min="2" max="2" width="50.7109375" style="42" customWidth="1"/>
    <col min="3" max="3" width="13.7109375" style="42" customWidth="1"/>
    <col min="4" max="4" width="2.7109375" style="42" customWidth="1"/>
    <col min="5" max="5" width="13.7109375" style="42" customWidth="1"/>
    <col min="6" max="6" width="2.7109375" style="42" customWidth="1"/>
    <col min="7" max="7" width="21.7109375" style="42" customWidth="1"/>
    <col min="8" max="8" width="21.7109375" style="40" customWidth="1"/>
    <col min="9" max="9" width="2.7109375" style="42" customWidth="1"/>
    <col min="10" max="10" width="30.7109375" style="42" customWidth="1"/>
    <col min="11" max="11" width="2.7109375" style="42" customWidth="1"/>
    <col min="12" max="21" width="12.5703125" style="42" customWidth="1"/>
    <col min="22" max="24" width="2.7109375" style="42" customWidth="1"/>
    <col min="25" max="39" width="13.7109375" style="42" customWidth="1"/>
    <col min="40" max="16384" width="9.140625" style="42"/>
  </cols>
  <sheetData>
    <row r="2" spans="2:10" s="13" customFormat="1" ht="18" x14ac:dyDescent="0.2">
      <c r="B2" s="13" t="s">
        <v>266</v>
      </c>
    </row>
    <row r="4" spans="2:10" x14ac:dyDescent="0.2">
      <c r="B4" s="20" t="s">
        <v>14</v>
      </c>
    </row>
    <row r="5" spans="2:10" x14ac:dyDescent="0.2">
      <c r="B5" s="16" t="s">
        <v>303</v>
      </c>
      <c r="G5" s="14"/>
    </row>
    <row r="7" spans="2:10" s="38" customFormat="1" x14ac:dyDescent="0.2">
      <c r="B7" s="38" t="s">
        <v>7</v>
      </c>
      <c r="C7" s="38" t="s">
        <v>11</v>
      </c>
      <c r="E7" s="38" t="s">
        <v>8</v>
      </c>
      <c r="G7" s="38" t="s">
        <v>163</v>
      </c>
      <c r="H7" s="38" t="s">
        <v>164</v>
      </c>
      <c r="J7" s="38" t="s">
        <v>10</v>
      </c>
    </row>
    <row r="9" spans="2:10" s="38" customFormat="1" x14ac:dyDescent="0.2">
      <c r="B9" s="38" t="s">
        <v>90</v>
      </c>
    </row>
    <row r="10" spans="2:10" x14ac:dyDescent="0.2">
      <c r="H10" s="42"/>
    </row>
    <row r="11" spans="2:10" x14ac:dyDescent="0.2">
      <c r="B11" s="41" t="s">
        <v>121</v>
      </c>
      <c r="H11" s="42"/>
    </row>
    <row r="12" spans="2:10" x14ac:dyDescent="0.2">
      <c r="B12" s="42" t="s">
        <v>69</v>
      </c>
      <c r="C12" s="42" t="s">
        <v>4</v>
      </c>
      <c r="E12" s="73">
        <f>Parameters!E31</f>
        <v>0.5</v>
      </c>
      <c r="H12" s="42"/>
    </row>
    <row r="13" spans="2:10" x14ac:dyDescent="0.2">
      <c r="H13" s="42"/>
    </row>
    <row r="14" spans="2:10" x14ac:dyDescent="0.2">
      <c r="B14" s="67" t="s">
        <v>283</v>
      </c>
      <c r="H14" s="42"/>
    </row>
    <row r="15" spans="2:10" x14ac:dyDescent="0.2">
      <c r="B15" s="42" t="s">
        <v>305</v>
      </c>
      <c r="C15" s="42" t="s">
        <v>13</v>
      </c>
      <c r="G15" s="68">
        <f>'Estimation for 2018'!G29</f>
        <v>0.33996093451090609</v>
      </c>
      <c r="H15" s="59"/>
    </row>
    <row r="16" spans="2:10" x14ac:dyDescent="0.2">
      <c r="B16" s="42" t="s">
        <v>306</v>
      </c>
      <c r="C16" s="42" t="s">
        <v>13</v>
      </c>
      <c r="G16" s="68">
        <f>'Estimation for 2018'!G30</f>
        <v>0.35679625938644499</v>
      </c>
      <c r="H16" s="59"/>
    </row>
    <row r="17" spans="2:10" x14ac:dyDescent="0.2">
      <c r="B17" s="42" t="s">
        <v>278</v>
      </c>
      <c r="C17" s="42" t="s">
        <v>13</v>
      </c>
      <c r="G17" s="69">
        <f>(G15+G16)/2</f>
        <v>0.34837859694867557</v>
      </c>
      <c r="H17" s="59"/>
      <c r="J17" s="42" t="s">
        <v>162</v>
      </c>
    </row>
    <row r="18" spans="2:10" x14ac:dyDescent="0.2">
      <c r="B18" s="42" t="s">
        <v>87</v>
      </c>
      <c r="C18" s="42" t="s">
        <v>12</v>
      </c>
      <c r="G18" s="43">
        <f>'Realization of 2018'!G24</f>
        <v>8816170.5500000007</v>
      </c>
      <c r="H18" s="59"/>
    </row>
    <row r="19" spans="2:10" x14ac:dyDescent="0.2">
      <c r="H19" s="42"/>
    </row>
    <row r="20" spans="2:10" x14ac:dyDescent="0.2">
      <c r="B20" s="42" t="s">
        <v>279</v>
      </c>
      <c r="C20" s="42" t="s">
        <v>4</v>
      </c>
      <c r="G20" s="59"/>
      <c r="H20" s="36">
        <f>'Estimation for 2018'!H27</f>
        <v>6.0144714937807577E-2</v>
      </c>
    </row>
    <row r="21" spans="2:10" x14ac:dyDescent="0.2">
      <c r="B21" s="42" t="s">
        <v>280</v>
      </c>
      <c r="C21" s="42" t="s">
        <v>4</v>
      </c>
      <c r="G21" s="59"/>
      <c r="H21" s="36">
        <f>'Realization of 2018'!H26</f>
        <v>6.2122645755758307E-2</v>
      </c>
    </row>
    <row r="22" spans="2:10" x14ac:dyDescent="0.2">
      <c r="H22" s="42"/>
    </row>
    <row r="23" spans="2:10" s="38" customFormat="1" x14ac:dyDescent="0.2">
      <c r="B23" s="38" t="s">
        <v>275</v>
      </c>
    </row>
    <row r="24" spans="2:10" x14ac:dyDescent="0.2">
      <c r="H24" s="42"/>
    </row>
    <row r="25" spans="2:10" x14ac:dyDescent="0.2">
      <c r="B25" s="42" t="s">
        <v>281</v>
      </c>
      <c r="C25" s="42" t="s">
        <v>74</v>
      </c>
      <c r="G25" s="59"/>
      <c r="H25" s="39">
        <f>$G$17*$G$18*H20</f>
        <v>184726.38001344432</v>
      </c>
    </row>
    <row r="26" spans="2:10" x14ac:dyDescent="0.2">
      <c r="B26" s="42" t="s">
        <v>282</v>
      </c>
      <c r="C26" s="42" t="s">
        <v>74</v>
      </c>
      <c r="G26" s="59"/>
      <c r="H26" s="39">
        <f>$G$17*$G$18*H21</f>
        <v>190801.32775066255</v>
      </c>
    </row>
    <row r="27" spans="2:10" x14ac:dyDescent="0.2">
      <c r="H27" s="42"/>
    </row>
    <row r="28" spans="2:10" x14ac:dyDescent="0.2">
      <c r="B28" s="42" t="s">
        <v>273</v>
      </c>
      <c r="C28" s="42" t="s">
        <v>74</v>
      </c>
      <c r="G28" s="59"/>
      <c r="H28" s="39">
        <f>H25-H26</f>
        <v>-6074.94773721823</v>
      </c>
      <c r="J28" s="42" t="s">
        <v>260</v>
      </c>
    </row>
    <row r="29" spans="2:10" x14ac:dyDescent="0.2">
      <c r="H29" s="42"/>
    </row>
    <row r="30" spans="2:10" x14ac:dyDescent="0.2">
      <c r="B30" s="42" t="s">
        <v>271</v>
      </c>
      <c r="C30" s="42" t="s">
        <v>74</v>
      </c>
      <c r="G30" s="59"/>
      <c r="H30" s="44">
        <f>E12*H28*(-1)</f>
        <v>3037.473868609115</v>
      </c>
      <c r="J30" s="42" t="s">
        <v>155</v>
      </c>
    </row>
    <row r="31" spans="2:10" x14ac:dyDescent="0.2">
      <c r="H31" s="42"/>
    </row>
    <row r="32" spans="2:10" x14ac:dyDescent="0.2">
      <c r="H32" s="42"/>
    </row>
    <row r="33" spans="8:8" x14ac:dyDescent="0.2">
      <c r="H33" s="42"/>
    </row>
    <row r="34" spans="8:8" x14ac:dyDescent="0.2">
      <c r="H34" s="42"/>
    </row>
    <row r="35" spans="8:8" x14ac:dyDescent="0.2">
      <c r="H35" s="42"/>
    </row>
    <row r="36" spans="8:8" x14ac:dyDescent="0.2">
      <c r="H36" s="42"/>
    </row>
    <row r="37" spans="8:8" x14ac:dyDescent="0.2">
      <c r="H37" s="42"/>
    </row>
    <row r="38" spans="8:8" x14ac:dyDescent="0.2">
      <c r="H38" s="42"/>
    </row>
    <row r="39" spans="8:8" x14ac:dyDescent="0.2">
      <c r="H39" s="42"/>
    </row>
    <row r="40" spans="8:8" ht="12.75" customHeight="1" x14ac:dyDescent="0.2">
      <c r="H40" s="42"/>
    </row>
    <row r="41" spans="8:8" ht="12.75" customHeight="1" x14ac:dyDescent="0.2">
      <c r="H41" s="42"/>
    </row>
    <row r="42" spans="8:8" ht="12.75" customHeight="1" x14ac:dyDescent="0.2">
      <c r="H42" s="4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theme="0" tint="-0.249977111117893"/>
  </sheetPr>
  <dimension ref="B2:K31"/>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1" customWidth="1"/>
    <col min="2" max="2" width="7.5703125" style="1" customWidth="1"/>
    <col min="3" max="3" width="35.140625" style="1" customWidth="1"/>
    <col min="4" max="4" width="54.42578125" style="1" customWidth="1"/>
    <col min="5" max="5" width="118.28515625" style="1" customWidth="1"/>
    <col min="6" max="6" width="4.5703125" style="1" customWidth="1"/>
    <col min="7" max="7" width="43.42578125" style="1" customWidth="1"/>
    <col min="8" max="8" width="28.7109375" style="1" customWidth="1"/>
    <col min="9" max="9" width="18.42578125" style="1" customWidth="1"/>
    <col min="10" max="11" width="58.42578125" style="1" customWidth="1"/>
    <col min="12" max="16384" width="9.140625" style="1"/>
  </cols>
  <sheetData>
    <row r="2" spans="2:11" s="5" customFormat="1" ht="18" x14ac:dyDescent="0.2">
      <c r="B2" s="5" t="s">
        <v>59</v>
      </c>
    </row>
    <row r="3" spans="2:11" s="42" customFormat="1" x14ac:dyDescent="0.2"/>
    <row r="4" spans="2:11" s="38" customFormat="1" x14ac:dyDescent="0.2">
      <c r="B4" s="38" t="s">
        <v>60</v>
      </c>
    </row>
    <row r="5" spans="2:11" s="42" customFormat="1" x14ac:dyDescent="0.2"/>
    <row r="6" spans="2:11" s="42" customFormat="1" x14ac:dyDescent="0.2">
      <c r="B6" s="2" t="s">
        <v>148</v>
      </c>
    </row>
    <row r="7" spans="2:11" s="42" customFormat="1" x14ac:dyDescent="0.2">
      <c r="B7" s="2" t="s">
        <v>61</v>
      </c>
    </row>
    <row r="8" spans="2:11" x14ac:dyDescent="0.2">
      <c r="G8" s="42"/>
      <c r="H8" s="42"/>
      <c r="I8" s="42"/>
      <c r="J8" s="42"/>
      <c r="K8" s="42"/>
    </row>
    <row r="9" spans="2:11" s="42" customFormat="1" x14ac:dyDescent="0.2">
      <c r="B9" s="58" t="s">
        <v>28</v>
      </c>
      <c r="C9" s="58" t="s">
        <v>62</v>
      </c>
      <c r="D9" s="58" t="s">
        <v>63</v>
      </c>
      <c r="E9" s="58" t="s">
        <v>64</v>
      </c>
    </row>
    <row r="10" spans="2:11" s="42" customFormat="1" x14ac:dyDescent="0.2">
      <c r="B10" s="17"/>
      <c r="C10" s="17" t="s">
        <v>65</v>
      </c>
      <c r="D10" s="17" t="s">
        <v>66</v>
      </c>
      <c r="E10" s="17" t="s">
        <v>67</v>
      </c>
    </row>
    <row r="11" spans="2:11" ht="25.5" x14ac:dyDescent="0.2">
      <c r="B11" s="18">
        <v>1</v>
      </c>
      <c r="C11" s="46" t="s">
        <v>99</v>
      </c>
      <c r="D11" s="46" t="s">
        <v>165</v>
      </c>
      <c r="E11" s="47" t="s">
        <v>142</v>
      </c>
      <c r="G11" s="42"/>
      <c r="H11" s="42"/>
      <c r="I11" s="42"/>
      <c r="J11" s="42"/>
      <c r="K11" s="42"/>
    </row>
    <row r="12" spans="2:11" ht="25.5" x14ac:dyDescent="0.2">
      <c r="B12" s="4">
        <v>2</v>
      </c>
      <c r="C12" s="4" t="s">
        <v>139</v>
      </c>
      <c r="D12" s="46" t="s">
        <v>140</v>
      </c>
      <c r="E12" s="66" t="s">
        <v>141</v>
      </c>
      <c r="G12" s="42"/>
      <c r="H12" s="42"/>
      <c r="I12" s="42"/>
      <c r="J12" s="42"/>
      <c r="K12" s="42"/>
    </row>
    <row r="13" spans="2:11" s="42" customFormat="1" x14ac:dyDescent="0.2">
      <c r="B13" s="4">
        <v>3</v>
      </c>
      <c r="C13" s="4" t="s">
        <v>161</v>
      </c>
      <c r="D13" s="46" t="s">
        <v>158</v>
      </c>
      <c r="E13" s="66" t="s">
        <v>157</v>
      </c>
    </row>
    <row r="14" spans="2:11" s="42" customFormat="1" x14ac:dyDescent="0.2">
      <c r="B14" s="4">
        <v>4</v>
      </c>
      <c r="C14" s="4" t="s">
        <v>102</v>
      </c>
      <c r="D14" s="46" t="s">
        <v>144</v>
      </c>
      <c r="E14" s="66" t="s">
        <v>117</v>
      </c>
    </row>
    <row r="15" spans="2:11" s="42" customFormat="1" x14ac:dyDescent="0.2">
      <c r="B15" s="4">
        <v>5</v>
      </c>
      <c r="C15" s="50" t="s">
        <v>122</v>
      </c>
      <c r="D15" s="4" t="s">
        <v>124</v>
      </c>
      <c r="E15" s="66"/>
    </row>
    <row r="16" spans="2:11" s="42" customFormat="1" x14ac:dyDescent="0.2">
      <c r="B16" s="4">
        <v>6</v>
      </c>
      <c r="C16" s="50" t="s">
        <v>123</v>
      </c>
      <c r="D16" s="4" t="s">
        <v>125</v>
      </c>
      <c r="E16" s="66"/>
    </row>
    <row r="17" spans="2:11" x14ac:dyDescent="0.2">
      <c r="B17" s="4">
        <v>7</v>
      </c>
      <c r="C17" s="4" t="s">
        <v>103</v>
      </c>
      <c r="D17" s="46" t="s">
        <v>104</v>
      </c>
      <c r="E17" s="4"/>
      <c r="G17" s="42"/>
      <c r="H17" s="42"/>
      <c r="I17" s="42"/>
      <c r="J17" s="42"/>
      <c r="K17" s="42"/>
    </row>
    <row r="18" spans="2:11" x14ac:dyDescent="0.2">
      <c r="B18" s="4">
        <v>8</v>
      </c>
      <c r="C18" s="4" t="s">
        <v>89</v>
      </c>
      <c r="D18" s="46" t="s">
        <v>72</v>
      </c>
      <c r="E18" s="4"/>
      <c r="G18" s="42"/>
      <c r="H18" s="42"/>
      <c r="I18" s="42"/>
      <c r="J18" s="42"/>
      <c r="K18" s="42"/>
    </row>
    <row r="19" spans="2:11" s="42" customFormat="1" x14ac:dyDescent="0.2">
      <c r="B19" s="4">
        <v>9</v>
      </c>
      <c r="C19" s="4" t="s">
        <v>101</v>
      </c>
      <c r="D19" s="4" t="s">
        <v>130</v>
      </c>
      <c r="E19" s="66" t="s">
        <v>129</v>
      </c>
    </row>
    <row r="20" spans="2:11" ht="14.25" customHeight="1" x14ac:dyDescent="0.2">
      <c r="B20" s="4">
        <v>10</v>
      </c>
      <c r="C20" s="4" t="s">
        <v>118</v>
      </c>
      <c r="D20" s="4" t="s">
        <v>127</v>
      </c>
      <c r="E20" s="66" t="s">
        <v>128</v>
      </c>
      <c r="G20" s="42"/>
      <c r="H20" s="42"/>
      <c r="I20" s="42"/>
      <c r="J20" s="42"/>
      <c r="K20" s="42"/>
    </row>
    <row r="21" spans="2:11" x14ac:dyDescent="0.2">
      <c r="B21" s="4">
        <v>11</v>
      </c>
      <c r="C21" s="49" t="s">
        <v>119</v>
      </c>
      <c r="D21" s="4" t="s">
        <v>357</v>
      </c>
      <c r="E21" s="66"/>
      <c r="G21" s="42"/>
      <c r="H21" s="42"/>
      <c r="I21" s="42"/>
      <c r="J21" s="42"/>
      <c r="K21" s="42"/>
    </row>
    <row r="22" spans="2:11" x14ac:dyDescent="0.2">
      <c r="B22" s="4">
        <v>12</v>
      </c>
      <c r="C22" s="4" t="s">
        <v>105</v>
      </c>
      <c r="D22" s="4" t="s">
        <v>357</v>
      </c>
      <c r="E22" s="4"/>
      <c r="G22" s="42"/>
      <c r="H22" s="42"/>
      <c r="I22" s="42"/>
      <c r="J22" s="42"/>
      <c r="K22" s="42"/>
    </row>
    <row r="23" spans="2:11" x14ac:dyDescent="0.2">
      <c r="B23" s="4">
        <v>13</v>
      </c>
      <c r="C23" s="49" t="s">
        <v>324</v>
      </c>
      <c r="D23" s="46" t="s">
        <v>357</v>
      </c>
      <c r="E23" s="4"/>
      <c r="G23" s="42"/>
      <c r="H23" s="42"/>
      <c r="I23" s="42"/>
      <c r="J23" s="42"/>
      <c r="K23" s="42"/>
    </row>
    <row r="24" spans="2:11" x14ac:dyDescent="0.2">
      <c r="E24" s="42"/>
      <c r="G24" s="42"/>
      <c r="H24" s="42"/>
      <c r="I24" s="42"/>
      <c r="J24" s="42"/>
      <c r="K24" s="42"/>
    </row>
    <row r="25" spans="2:11" x14ac:dyDescent="0.2">
      <c r="D25" s="42"/>
      <c r="E25" s="42"/>
      <c r="G25" s="42"/>
      <c r="H25" s="42"/>
      <c r="I25" s="42"/>
      <c r="J25" s="42"/>
      <c r="K25" s="42"/>
    </row>
    <row r="28" spans="2:11" s="42" customFormat="1" x14ac:dyDescent="0.2"/>
    <row r="29" spans="2:11" s="42" customFormat="1" x14ac:dyDescent="0.2"/>
    <row r="30" spans="2:11" s="42" customFormat="1" x14ac:dyDescent="0.2"/>
    <row r="31" spans="2:11" s="42" customFormat="1" x14ac:dyDescent="0.2"/>
  </sheetData>
  <hyperlinks>
    <hyperlink ref="E12" r:id="rId1"/>
    <hyperlink ref="E14" r:id="rId2"/>
    <hyperlink ref="E11" r:id="rId3"/>
    <hyperlink ref="E19" r:id="rId4"/>
    <hyperlink ref="E20" r:id="rId5"/>
  </hyperlinks>
  <pageMargins left="0.75" right="0.75" top="1" bottom="1" header="0.5" footer="0.5"/>
  <pageSetup paperSize="9" orientation="portrait"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CCFFFF"/>
  </sheetPr>
  <dimension ref="A2:J61"/>
  <sheetViews>
    <sheetView showGridLines="0" zoomScale="85" zoomScaleNormal="85" workbookViewId="0">
      <pane xSplit="3" ySplit="8" topLeftCell="D9" activePane="bottomRight" state="frozen"/>
      <selection activeCell="Q51" sqref="Q51"/>
      <selection pane="topRight" activeCell="Q51" sqref="Q51"/>
      <selection pane="bottomLeft" activeCell="Q51" sqref="Q51"/>
      <selection pane="bottomRight" activeCell="D9" sqref="D9"/>
    </sheetView>
  </sheetViews>
  <sheetFormatPr defaultRowHeight="12.75" x14ac:dyDescent="0.2"/>
  <cols>
    <col min="1" max="1" width="2.7109375" style="42" customWidth="1"/>
    <col min="2" max="2" width="54.7109375" style="1" customWidth="1"/>
    <col min="3" max="3" width="13.7109375" style="1" customWidth="1"/>
    <col min="4" max="4" width="2.7109375" style="1" customWidth="1"/>
    <col min="5" max="5" width="13.7109375" style="1" customWidth="1"/>
    <col min="6" max="6" width="2.7109375" style="1" customWidth="1"/>
    <col min="7" max="8" width="21.7109375" style="1" customWidth="1"/>
    <col min="9" max="9" width="2.7109375" style="1" customWidth="1"/>
    <col min="10" max="18" width="12.5703125" style="1" customWidth="1"/>
    <col min="19" max="21" width="2.7109375" style="1" customWidth="1"/>
    <col min="22" max="36" width="13.7109375" style="1" customWidth="1"/>
    <col min="37" max="16384" width="9.140625" style="1"/>
  </cols>
  <sheetData>
    <row r="2" spans="1:10" s="13" customFormat="1" ht="18" x14ac:dyDescent="0.2">
      <c r="A2" s="5"/>
      <c r="B2" s="13" t="s">
        <v>49</v>
      </c>
    </row>
    <row r="4" spans="1:10" x14ac:dyDescent="0.2">
      <c r="B4" s="20" t="s">
        <v>68</v>
      </c>
    </row>
    <row r="5" spans="1:10" x14ac:dyDescent="0.2">
      <c r="B5" s="16" t="s">
        <v>313</v>
      </c>
      <c r="E5" s="14"/>
    </row>
    <row r="7" spans="1:10" s="38" customFormat="1" x14ac:dyDescent="0.2">
      <c r="B7" s="38" t="s">
        <v>7</v>
      </c>
      <c r="C7" s="38" t="s">
        <v>11</v>
      </c>
      <c r="E7" s="38" t="s">
        <v>8</v>
      </c>
      <c r="G7" s="38" t="s">
        <v>163</v>
      </c>
      <c r="H7" s="38" t="s">
        <v>164</v>
      </c>
      <c r="J7" s="38" t="s">
        <v>10</v>
      </c>
    </row>
    <row r="9" spans="1:10" s="38" customFormat="1" x14ac:dyDescent="0.2">
      <c r="B9" s="38" t="s">
        <v>73</v>
      </c>
    </row>
    <row r="11" spans="1:10" s="42" customFormat="1" x14ac:dyDescent="0.2">
      <c r="B11" s="42" t="s">
        <v>70</v>
      </c>
      <c r="C11" s="42" t="s">
        <v>4</v>
      </c>
      <c r="E11" s="36">
        <f>Parameters!E17</f>
        <v>-4.0000000000000001E-3</v>
      </c>
    </row>
    <row r="12" spans="1:10" s="42" customFormat="1" x14ac:dyDescent="0.2">
      <c r="B12" s="42" t="s">
        <v>71</v>
      </c>
      <c r="C12" s="42" t="s">
        <v>4</v>
      </c>
      <c r="E12" s="36">
        <f>Parameters!E18</f>
        <v>2E-3</v>
      </c>
    </row>
    <row r="13" spans="1:10" s="42" customFormat="1" x14ac:dyDescent="0.2">
      <c r="B13" s="42" t="s">
        <v>79</v>
      </c>
      <c r="C13" s="42" t="s">
        <v>4</v>
      </c>
      <c r="E13" s="36">
        <f>Parameters!E19</f>
        <v>-1.3000000000000001E-2</v>
      </c>
    </row>
    <row r="14" spans="1:10" s="42" customFormat="1" x14ac:dyDescent="0.2">
      <c r="B14" s="42" t="s">
        <v>96</v>
      </c>
      <c r="C14" s="42" t="s">
        <v>4</v>
      </c>
      <c r="E14" s="36">
        <f>Parameters!E20</f>
        <v>4.3999999999999997E-2</v>
      </c>
    </row>
    <row r="15" spans="1:10" s="42" customFormat="1" x14ac:dyDescent="0.2">
      <c r="B15" s="42" t="s">
        <v>160</v>
      </c>
      <c r="C15" s="42" t="s">
        <v>4</v>
      </c>
      <c r="E15" s="36">
        <f>Parameters!E21</f>
        <v>3.0000000000000001E-3</v>
      </c>
    </row>
    <row r="16" spans="1:10" s="42" customFormat="1" x14ac:dyDescent="0.2"/>
    <row r="17" spans="2:10" s="42" customFormat="1" x14ac:dyDescent="0.2">
      <c r="B17" s="41" t="s">
        <v>132</v>
      </c>
    </row>
    <row r="18" spans="2:10" s="42" customFormat="1" x14ac:dyDescent="0.2">
      <c r="B18" s="42" t="s">
        <v>133</v>
      </c>
      <c r="C18" s="42" t="s">
        <v>106</v>
      </c>
      <c r="G18" s="59"/>
      <c r="H18" s="43">
        <f>'Volume-effect 2017'!H22</f>
        <v>133839.19832749828</v>
      </c>
    </row>
    <row r="19" spans="2:10" s="42" customFormat="1" x14ac:dyDescent="0.2">
      <c r="B19" s="42" t="s">
        <v>166</v>
      </c>
      <c r="C19" s="42" t="s">
        <v>111</v>
      </c>
      <c r="G19" s="65"/>
      <c r="H19" s="43">
        <f>'Profit sharing 2017'!H45</f>
        <v>-34823.373002080712</v>
      </c>
      <c r="J19" s="42" t="s">
        <v>325</v>
      </c>
    </row>
    <row r="20" spans="2:10" s="42" customFormat="1" x14ac:dyDescent="0.2">
      <c r="B20" s="42" t="s">
        <v>167</v>
      </c>
      <c r="C20" s="42" t="s">
        <v>111</v>
      </c>
      <c r="G20" s="65"/>
      <c r="H20" s="43">
        <f>'Network loss 2017'!H28</f>
        <v>-6620.4400831790044</v>
      </c>
    </row>
    <row r="21" spans="2:10" s="42" customFormat="1" x14ac:dyDescent="0.2"/>
    <row r="22" spans="2:10" s="42" customFormat="1" x14ac:dyDescent="0.2">
      <c r="B22" s="42" t="s">
        <v>133</v>
      </c>
      <c r="C22" s="42" t="s">
        <v>307</v>
      </c>
      <c r="G22" s="59"/>
      <c r="H22" s="44">
        <f>(1+$E$11)*(1+$E$12)*(1+$E$13)*(1+$E$14)*(1+$E$15)*H18</f>
        <v>138047.63503857746</v>
      </c>
      <c r="J22" s="42" t="s">
        <v>310</v>
      </c>
    </row>
    <row r="23" spans="2:10" s="42" customFormat="1" x14ac:dyDescent="0.2">
      <c r="B23" s="42" t="s">
        <v>166</v>
      </c>
      <c r="C23" s="42" t="s">
        <v>307</v>
      </c>
      <c r="G23" s="65"/>
      <c r="H23" s="44">
        <f>(1+$E$13)*(1+$E$14)*(1+$E$15)*H19</f>
        <v>-35990.627531575388</v>
      </c>
      <c r="J23" s="42" t="s">
        <v>309</v>
      </c>
    </row>
    <row r="24" spans="2:10" s="42" customFormat="1" x14ac:dyDescent="0.2">
      <c r="B24" s="42" t="s">
        <v>167</v>
      </c>
      <c r="C24" s="42" t="s">
        <v>307</v>
      </c>
      <c r="G24" s="65"/>
      <c r="H24" s="44">
        <f>(1+$E$13)*(1+$E$14)*(1+$E$15)*H20</f>
        <v>-6842.3524945320651</v>
      </c>
      <c r="J24" s="42" t="s">
        <v>308</v>
      </c>
    </row>
    <row r="25" spans="2:10" s="42" customFormat="1" x14ac:dyDescent="0.2"/>
    <row r="26" spans="2:10" s="42" customFormat="1" x14ac:dyDescent="0.2">
      <c r="B26" s="41" t="s">
        <v>134</v>
      </c>
    </row>
    <row r="27" spans="2:10" s="42" customFormat="1" x14ac:dyDescent="0.2">
      <c r="B27" s="42" t="s">
        <v>133</v>
      </c>
      <c r="C27" s="42" t="s">
        <v>6</v>
      </c>
      <c r="G27" s="43">
        <f>'Volume-effect 2018'!G22</f>
        <v>70700.72243659501</v>
      </c>
      <c r="H27" s="43">
        <f>'Volume-effect 2018'!H22</f>
        <v>-18531.08229401987</v>
      </c>
    </row>
    <row r="28" spans="2:10" s="42" customFormat="1" x14ac:dyDescent="0.2">
      <c r="B28" s="42" t="s">
        <v>166</v>
      </c>
      <c r="C28" s="42" t="s">
        <v>74</v>
      </c>
      <c r="G28" s="43">
        <f>'Profit sharing 2018'!G45</f>
        <v>72230.146573440172</v>
      </c>
      <c r="H28" s="43">
        <f>'Profit sharing 2018'!H45</f>
        <v>5450.9820232085185</v>
      </c>
      <c r="J28" s="42" t="s">
        <v>325</v>
      </c>
    </row>
    <row r="29" spans="2:10" s="42" customFormat="1" x14ac:dyDescent="0.2">
      <c r="B29" s="42" t="s">
        <v>167</v>
      </c>
      <c r="C29" s="42" t="s">
        <v>74</v>
      </c>
      <c r="G29" s="65"/>
      <c r="H29" s="43">
        <f>'Network loss 2018'!H30</f>
        <v>3037.473868609115</v>
      </c>
    </row>
    <row r="30" spans="2:10" s="42" customFormat="1" x14ac:dyDescent="0.2"/>
    <row r="31" spans="2:10" s="42" customFormat="1" x14ac:dyDescent="0.2">
      <c r="B31" s="42" t="s">
        <v>133</v>
      </c>
      <c r="C31" s="42" t="s">
        <v>307</v>
      </c>
      <c r="G31" s="44">
        <f>(1+$E$12)*(1+$E$13)*(1+$E$14)*(1+$E$15)*G27</f>
        <v>73216.70115101432</v>
      </c>
      <c r="H31" s="44">
        <f>(1+$E$12)*(1+$E$13)*(1+$E$14)*(1+$E$15)*H27</f>
        <v>-19190.535366069016</v>
      </c>
      <c r="J31" s="42" t="s">
        <v>312</v>
      </c>
    </row>
    <row r="32" spans="2:10" s="42" customFormat="1" x14ac:dyDescent="0.2">
      <c r="B32" s="42" t="s">
        <v>166</v>
      </c>
      <c r="C32" s="42" t="s">
        <v>307</v>
      </c>
      <c r="G32" s="44">
        <f>(1+$E$14)*(1+$E$15)*G28</f>
        <v>75634.497841739547</v>
      </c>
      <c r="H32" s="44">
        <f>(1+$E$14)*(1+$E$15)*H28</f>
        <v>5707.8977079263823</v>
      </c>
      <c r="J32" s="42" t="s">
        <v>311</v>
      </c>
    </row>
    <row r="33" spans="2:10" s="42" customFormat="1" x14ac:dyDescent="0.2">
      <c r="B33" s="42" t="s">
        <v>167</v>
      </c>
      <c r="C33" s="42" t="s">
        <v>307</v>
      </c>
      <c r="G33" s="65"/>
      <c r="H33" s="44">
        <f>(1+$E$14)*(1+$E$15)*H29</f>
        <v>3180.6360869843998</v>
      </c>
      <c r="J33" s="42" t="s">
        <v>308</v>
      </c>
    </row>
    <row r="34" spans="2:10" s="42" customFormat="1" x14ac:dyDescent="0.2"/>
    <row r="35" spans="2:10" s="42" customFormat="1" x14ac:dyDescent="0.2"/>
    <row r="36" spans="2:10" s="42" customFormat="1" x14ac:dyDescent="0.2"/>
    <row r="37" spans="2:10" s="42" customFormat="1" x14ac:dyDescent="0.2"/>
    <row r="38" spans="2:10" s="42" customFormat="1" x14ac:dyDescent="0.2"/>
    <row r="39" spans="2:10" s="42" customFormat="1" x14ac:dyDescent="0.2"/>
    <row r="40" spans="2:10" s="42" customFormat="1" x14ac:dyDescent="0.2"/>
    <row r="41" spans="2:10" s="42" customFormat="1" x14ac:dyDescent="0.2"/>
    <row r="42" spans="2:10" s="42" customFormat="1" x14ac:dyDescent="0.2"/>
    <row r="43" spans="2:10" s="42" customFormat="1" x14ac:dyDescent="0.2"/>
    <row r="44" spans="2:10" s="42" customFormat="1" x14ac:dyDescent="0.2"/>
    <row r="45" spans="2:10" s="42" customFormat="1" x14ac:dyDescent="0.2"/>
    <row r="46" spans="2:10" s="42" customFormat="1" x14ac:dyDescent="0.2"/>
    <row r="47" spans="2:10" s="42" customFormat="1" x14ac:dyDescent="0.2"/>
    <row r="48" spans="2:10" s="42" customFormat="1" x14ac:dyDescent="0.2"/>
    <row r="49" s="42" customFormat="1" x14ac:dyDescent="0.2"/>
    <row r="50" s="42" customFormat="1" x14ac:dyDescent="0.2"/>
    <row r="51" s="42" customFormat="1" x14ac:dyDescent="0.2"/>
    <row r="52" s="42" customFormat="1" x14ac:dyDescent="0.2"/>
    <row r="53" s="42" customFormat="1" x14ac:dyDescent="0.2"/>
    <row r="54" s="42" customFormat="1" x14ac:dyDescent="0.2"/>
    <row r="55" s="42" customFormat="1" x14ac:dyDescent="0.2"/>
    <row r="56" s="42" customFormat="1" x14ac:dyDescent="0.2"/>
    <row r="57" s="42" customFormat="1" x14ac:dyDescent="0.2"/>
    <row r="58" s="42" customFormat="1" x14ac:dyDescent="0.2"/>
    <row r="59" s="42" customFormat="1" x14ac:dyDescent="0.2"/>
    <row r="60" s="42" customFormat="1" x14ac:dyDescent="0.2"/>
    <row r="61" s="42" customFormat="1" x14ac:dyDescent="0.2"/>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theme="0" tint="-4.9989318521683403E-2"/>
  </sheetPr>
  <dimension ref="A1"/>
  <sheetViews>
    <sheetView showGridLines="0" zoomScale="85" zoomScaleNormal="85" workbookViewId="0"/>
  </sheetViews>
  <sheetFormatPr defaultRowHeight="12.75" x14ac:dyDescent="0.2"/>
  <cols>
    <col min="1" max="16384" width="9.140625" style="15"/>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L36"/>
  <sheetViews>
    <sheetView showGridLines="0" zoomScale="85" zoomScaleNormal="85" workbookViewId="0">
      <pane xSplit="3" ySplit="13" topLeftCell="D14" activePane="bottomRight" state="frozen"/>
      <selection pane="topRight" activeCell="G1" sqref="G1"/>
      <selection pane="bottomLeft" activeCell="A14" sqref="A14"/>
      <selection pane="bottomRight" activeCell="D14" sqref="D14"/>
    </sheetView>
  </sheetViews>
  <sheetFormatPr defaultRowHeight="12.75" x14ac:dyDescent="0.2"/>
  <cols>
    <col min="1" max="1" width="4.5703125" style="42" customWidth="1"/>
    <col min="2" max="2" width="50.7109375" style="42" customWidth="1"/>
    <col min="3" max="3" width="13.7109375" style="42" customWidth="1"/>
    <col min="4" max="4" width="2.7109375" style="42" customWidth="1"/>
    <col min="5" max="5" width="13.7109375" style="42" customWidth="1"/>
    <col min="6" max="6" width="2.7109375" style="42" customWidth="1"/>
    <col min="7" max="8" width="21.7109375" style="42" customWidth="1"/>
    <col min="9" max="9" width="2.7109375" style="42" customWidth="1"/>
    <col min="10" max="10" width="30.7109375" style="42" customWidth="1"/>
    <col min="11" max="11" width="2.7109375" style="42" customWidth="1"/>
    <col min="12" max="12" width="30.7109375" style="42" customWidth="1"/>
    <col min="13" max="13" width="2.7109375" style="42" customWidth="1"/>
    <col min="14" max="28" width="13.7109375" style="42" customWidth="1"/>
    <col min="29" max="16384" width="9.140625" style="42"/>
  </cols>
  <sheetData>
    <row r="2" spans="1:12" s="13" customFormat="1" ht="18" x14ac:dyDescent="0.2">
      <c r="A2" s="5"/>
      <c r="B2" s="13" t="s">
        <v>121</v>
      </c>
    </row>
    <row r="4" spans="1:12" ht="15" x14ac:dyDescent="0.2">
      <c r="B4" s="20" t="s">
        <v>93</v>
      </c>
      <c r="I4" s="60"/>
    </row>
    <row r="5" spans="1:12" x14ac:dyDescent="0.2">
      <c r="B5" s="16" t="s">
        <v>168</v>
      </c>
      <c r="E5" s="14"/>
    </row>
    <row r="6" spans="1:12" x14ac:dyDescent="0.2">
      <c r="B6" s="16"/>
      <c r="E6" s="14"/>
    </row>
    <row r="7" spans="1:12" x14ac:dyDescent="0.2">
      <c r="B7" s="21" t="s">
        <v>35</v>
      </c>
      <c r="E7" s="14"/>
    </row>
    <row r="8" spans="1:12" x14ac:dyDescent="0.2">
      <c r="B8" s="16" t="s">
        <v>94</v>
      </c>
    </row>
    <row r="9" spans="1:12" x14ac:dyDescent="0.2">
      <c r="B9" s="16" t="s">
        <v>138</v>
      </c>
    </row>
    <row r="11" spans="1:12" x14ac:dyDescent="0.2">
      <c r="B11" s="2" t="s">
        <v>159</v>
      </c>
    </row>
    <row r="13" spans="1:12" s="38" customFormat="1" x14ac:dyDescent="0.2">
      <c r="B13" s="38" t="s">
        <v>38</v>
      </c>
      <c r="C13" s="38" t="s">
        <v>83</v>
      </c>
      <c r="E13" s="38" t="s">
        <v>8</v>
      </c>
      <c r="G13" s="38" t="s">
        <v>163</v>
      </c>
      <c r="H13" s="38" t="s">
        <v>164</v>
      </c>
      <c r="J13" s="38" t="s">
        <v>9</v>
      </c>
      <c r="L13" s="38" t="s">
        <v>10</v>
      </c>
    </row>
    <row r="15" spans="1:12" s="38" customFormat="1" x14ac:dyDescent="0.2">
      <c r="B15" s="38" t="s">
        <v>95</v>
      </c>
    </row>
    <row r="17" spans="2:12" x14ac:dyDescent="0.2">
      <c r="B17" s="42" t="s">
        <v>70</v>
      </c>
      <c r="C17" s="42" t="s">
        <v>4</v>
      </c>
      <c r="E17" s="70">
        <f>-0.4%</f>
        <v>-4.0000000000000001E-3</v>
      </c>
      <c r="J17" s="42" t="s">
        <v>161</v>
      </c>
      <c r="L17" s="16"/>
    </row>
    <row r="18" spans="2:12" x14ac:dyDescent="0.2">
      <c r="B18" s="42" t="s">
        <v>71</v>
      </c>
      <c r="C18" s="42" t="s">
        <v>4</v>
      </c>
      <c r="E18" s="70">
        <v>2E-3</v>
      </c>
      <c r="J18" s="42" t="s">
        <v>161</v>
      </c>
    </row>
    <row r="19" spans="2:12" x14ac:dyDescent="0.2">
      <c r="B19" s="42" t="s">
        <v>79</v>
      </c>
      <c r="C19" s="42" t="s">
        <v>4</v>
      </c>
      <c r="E19" s="70">
        <f>-1.3%</f>
        <v>-1.3000000000000001E-2</v>
      </c>
      <c r="J19" s="42" t="s">
        <v>161</v>
      </c>
    </row>
    <row r="20" spans="2:12" x14ac:dyDescent="0.2">
      <c r="B20" s="42" t="s">
        <v>96</v>
      </c>
      <c r="C20" s="42" t="s">
        <v>4</v>
      </c>
      <c r="E20" s="70">
        <v>4.3999999999999997E-2</v>
      </c>
      <c r="J20" s="42" t="s">
        <v>161</v>
      </c>
    </row>
    <row r="21" spans="2:12" x14ac:dyDescent="0.2">
      <c r="B21" s="42" t="s">
        <v>160</v>
      </c>
      <c r="C21" s="42" t="s">
        <v>4</v>
      </c>
      <c r="E21" s="70">
        <v>3.0000000000000001E-3</v>
      </c>
      <c r="J21" s="42" t="s">
        <v>161</v>
      </c>
    </row>
    <row r="23" spans="2:12" s="38" customFormat="1" x14ac:dyDescent="0.2">
      <c r="B23" s="38" t="s">
        <v>97</v>
      </c>
      <c r="E23" s="61"/>
      <c r="I23" s="61"/>
    </row>
    <row r="25" spans="2:12" x14ac:dyDescent="0.2">
      <c r="B25" s="42" t="s">
        <v>98</v>
      </c>
      <c r="C25" s="42" t="s">
        <v>4</v>
      </c>
      <c r="E25" s="30">
        <v>6.5699999999999995E-2</v>
      </c>
      <c r="J25" s="48" t="s">
        <v>99</v>
      </c>
    </row>
    <row r="26" spans="2:12" x14ac:dyDescent="0.2">
      <c r="B26" s="42" t="s">
        <v>92</v>
      </c>
      <c r="C26" s="42" t="s">
        <v>4</v>
      </c>
      <c r="E26" s="30">
        <v>6.4899999999999999E-2</v>
      </c>
      <c r="J26" s="48" t="s">
        <v>99</v>
      </c>
    </row>
    <row r="27" spans="2:12" x14ac:dyDescent="0.2">
      <c r="B27" s="42" t="s">
        <v>100</v>
      </c>
      <c r="C27" s="42" t="s">
        <v>4</v>
      </c>
      <c r="E27" s="30">
        <v>6.4100000000000004E-2</v>
      </c>
      <c r="J27" s="48" t="s">
        <v>99</v>
      </c>
    </row>
    <row r="29" spans="2:12" s="38" customFormat="1" x14ac:dyDescent="0.2">
      <c r="B29" s="38" t="s">
        <v>16</v>
      </c>
    </row>
    <row r="31" spans="2:12" x14ac:dyDescent="0.2">
      <c r="B31" s="42" t="s">
        <v>69</v>
      </c>
      <c r="C31" s="42" t="s">
        <v>4</v>
      </c>
      <c r="E31" s="71">
        <v>0.5</v>
      </c>
      <c r="J31" s="42" t="s">
        <v>139</v>
      </c>
    </row>
    <row r="33" spans="2:12" s="38" customFormat="1" x14ac:dyDescent="0.2">
      <c r="B33" s="38" t="s">
        <v>153</v>
      </c>
    </row>
    <row r="35" spans="2:12" x14ac:dyDescent="0.2">
      <c r="B35" s="42" t="s">
        <v>336</v>
      </c>
      <c r="C35" s="42" t="s">
        <v>4</v>
      </c>
      <c r="G35" s="71">
        <v>0.25</v>
      </c>
      <c r="H35" s="71">
        <v>0</v>
      </c>
      <c r="L35" s="42" t="s">
        <v>169</v>
      </c>
    </row>
    <row r="36" spans="2:12" x14ac:dyDescent="0.2">
      <c r="B36" s="42" t="s">
        <v>334</v>
      </c>
      <c r="C36" s="42" t="s">
        <v>4</v>
      </c>
      <c r="G36" s="71">
        <v>0</v>
      </c>
      <c r="H36" s="71">
        <v>0</v>
      </c>
      <c r="L36" s="42" t="s">
        <v>326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L28"/>
  <sheetViews>
    <sheetView showGridLines="0" zoomScale="85" zoomScaleNormal="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4.5703125" style="42" customWidth="1"/>
    <col min="2" max="2" width="50.7109375" style="42" customWidth="1"/>
    <col min="3" max="3" width="13.7109375" style="42" customWidth="1"/>
    <col min="4" max="4" width="2.7109375" style="42" customWidth="1"/>
    <col min="5" max="5" width="13.7109375" style="42" customWidth="1"/>
    <col min="6" max="6" width="2.7109375" style="42" customWidth="1"/>
    <col min="7" max="8" width="21.7109375" style="42" customWidth="1"/>
    <col min="9" max="9" width="2.7109375" style="42" customWidth="1"/>
    <col min="10" max="10" width="30.7109375" style="42" customWidth="1"/>
    <col min="11" max="11" width="2.7109375" style="42" customWidth="1"/>
    <col min="12" max="12" width="30.7109375" style="42" customWidth="1"/>
    <col min="13" max="13" width="2.7109375" style="42" customWidth="1"/>
    <col min="14" max="28" width="13.7109375" style="42" customWidth="1"/>
    <col min="29" max="16384" width="9.140625" style="42"/>
  </cols>
  <sheetData>
    <row r="2" spans="1:12" s="13" customFormat="1" ht="18" x14ac:dyDescent="0.2">
      <c r="A2" s="5"/>
      <c r="B2" s="13" t="s">
        <v>170</v>
      </c>
    </row>
    <row r="4" spans="1:12" x14ac:dyDescent="0.2">
      <c r="B4" s="20" t="s">
        <v>2</v>
      </c>
    </row>
    <row r="5" spans="1:12" x14ac:dyDescent="0.2">
      <c r="B5" s="16" t="s">
        <v>327</v>
      </c>
      <c r="H5" s="14"/>
    </row>
    <row r="7" spans="1:12" s="38" customFormat="1" x14ac:dyDescent="0.2">
      <c r="B7" s="38" t="s">
        <v>7</v>
      </c>
      <c r="C7" s="38" t="s">
        <v>11</v>
      </c>
      <c r="E7" s="38" t="s">
        <v>8</v>
      </c>
      <c r="G7" s="38" t="s">
        <v>163</v>
      </c>
      <c r="H7" s="38" t="s">
        <v>164</v>
      </c>
      <c r="J7" s="38" t="s">
        <v>9</v>
      </c>
      <c r="L7" s="38" t="s">
        <v>10</v>
      </c>
    </row>
    <row r="9" spans="1:12" s="38" customFormat="1" x14ac:dyDescent="0.2">
      <c r="B9" s="38" t="s">
        <v>115</v>
      </c>
    </row>
    <row r="11" spans="1:12" x14ac:dyDescent="0.2">
      <c r="B11" s="20" t="s">
        <v>3</v>
      </c>
    </row>
    <row r="12" spans="1:12" x14ac:dyDescent="0.2">
      <c r="B12" s="42" t="s">
        <v>172</v>
      </c>
      <c r="C12" s="42" t="s">
        <v>106</v>
      </c>
      <c r="G12" s="65"/>
      <c r="H12" s="31">
        <v>4564551.8810105976</v>
      </c>
      <c r="J12" s="42" t="s">
        <v>177</v>
      </c>
    </row>
    <row r="13" spans="1:12" x14ac:dyDescent="0.2">
      <c r="B13" s="42" t="s">
        <v>171</v>
      </c>
      <c r="C13" s="42" t="s">
        <v>106</v>
      </c>
      <c r="G13" s="65"/>
      <c r="H13" s="31">
        <v>260432.89016613548</v>
      </c>
      <c r="J13" s="42" t="s">
        <v>178</v>
      </c>
    </row>
    <row r="15" spans="1:12" x14ac:dyDescent="0.2">
      <c r="B15" s="20" t="s">
        <v>5</v>
      </c>
    </row>
    <row r="16" spans="1:12" x14ac:dyDescent="0.2">
      <c r="B16" s="42" t="s">
        <v>173</v>
      </c>
      <c r="C16" s="42" t="s">
        <v>106</v>
      </c>
      <c r="G16" s="65"/>
      <c r="H16" s="31">
        <v>998063.60443378333</v>
      </c>
      <c r="J16" s="42" t="s">
        <v>179</v>
      </c>
    </row>
    <row r="17" spans="2:10" x14ac:dyDescent="0.2">
      <c r="B17" s="42" t="s">
        <v>174</v>
      </c>
      <c r="C17" s="42" t="s">
        <v>106</v>
      </c>
      <c r="G17" s="65"/>
      <c r="H17" s="31">
        <v>106423.62946065055</v>
      </c>
      <c r="J17" s="42" t="s">
        <v>180</v>
      </c>
    </row>
    <row r="18" spans="2:10" x14ac:dyDescent="0.2">
      <c r="B18" s="42" t="s">
        <v>337</v>
      </c>
      <c r="C18" s="42" t="s">
        <v>106</v>
      </c>
      <c r="G18" s="65"/>
      <c r="H18" s="39">
        <f>H16-H17</f>
        <v>891639.97497313283</v>
      </c>
    </row>
    <row r="20" spans="2:10" s="38" customFormat="1" x14ac:dyDescent="0.2">
      <c r="B20" s="45" t="s">
        <v>143</v>
      </c>
    </row>
    <row r="22" spans="2:10" x14ac:dyDescent="0.2">
      <c r="B22" s="41" t="s">
        <v>82</v>
      </c>
    </row>
    <row r="23" spans="2:10" s="21" customFormat="1" x14ac:dyDescent="0.2">
      <c r="B23" s="21" t="s">
        <v>83</v>
      </c>
      <c r="C23" s="21" t="s">
        <v>84</v>
      </c>
      <c r="G23" s="21" t="s">
        <v>12</v>
      </c>
      <c r="H23" s="21" t="s">
        <v>86</v>
      </c>
    </row>
    <row r="24" spans="2:10" x14ac:dyDescent="0.2">
      <c r="B24" s="42" t="s">
        <v>116</v>
      </c>
      <c r="C24" s="42" t="s">
        <v>84</v>
      </c>
      <c r="G24" s="65"/>
      <c r="H24" s="31">
        <v>12726.999999999998</v>
      </c>
      <c r="J24" s="42" t="s">
        <v>181</v>
      </c>
    </row>
    <row r="26" spans="2:10" x14ac:dyDescent="0.2">
      <c r="B26" s="42" t="s">
        <v>276</v>
      </c>
      <c r="C26" s="42" t="s">
        <v>4</v>
      </c>
      <c r="G26" s="59"/>
      <c r="H26" s="30">
        <v>7.1800000000000003E-2</v>
      </c>
      <c r="J26" s="42" t="s">
        <v>182</v>
      </c>
    </row>
    <row r="28" spans="2:10" x14ac:dyDescent="0.2">
      <c r="B28" s="42" t="s">
        <v>176</v>
      </c>
      <c r="C28" s="42" t="s">
        <v>175</v>
      </c>
      <c r="G28" s="37">
        <v>0.29773016808525521</v>
      </c>
      <c r="H28" s="59"/>
      <c r="J28" s="42" t="s">
        <v>183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L27"/>
  <sheetViews>
    <sheetView showGridLines="0" zoomScale="85" zoomScaleNormal="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4.5703125" style="42" customWidth="1"/>
    <col min="2" max="2" width="50.7109375" style="42" customWidth="1"/>
    <col min="3" max="3" width="13.7109375" style="42" customWidth="1"/>
    <col min="4" max="4" width="2.7109375" style="42" customWidth="1"/>
    <col min="5" max="5" width="13.7109375" style="42" customWidth="1"/>
    <col min="6" max="6" width="2.7109375" style="42" customWidth="1"/>
    <col min="7" max="8" width="21.7109375" style="42" customWidth="1"/>
    <col min="9" max="9" width="2.7109375" style="42" customWidth="1"/>
    <col min="10" max="10" width="34.85546875" style="42" customWidth="1"/>
    <col min="11" max="11" width="2.7109375" style="42" customWidth="1"/>
    <col min="12" max="12" width="30.7109375" style="42" customWidth="1"/>
    <col min="13" max="13" width="2.7109375" style="42" customWidth="1"/>
    <col min="14" max="28" width="13.7109375" style="42" customWidth="1"/>
    <col min="29" max="16384" width="9.140625" style="42"/>
  </cols>
  <sheetData>
    <row r="2" spans="2:12" s="13" customFormat="1" ht="18" x14ac:dyDescent="0.2">
      <c r="B2" s="13" t="s">
        <v>113</v>
      </c>
    </row>
    <row r="4" spans="2:12" x14ac:dyDescent="0.2">
      <c r="B4" s="20" t="s">
        <v>2</v>
      </c>
    </row>
    <row r="5" spans="2:12" x14ac:dyDescent="0.2">
      <c r="B5" s="16" t="s">
        <v>146</v>
      </c>
      <c r="H5" s="14"/>
    </row>
    <row r="7" spans="2:12" s="38" customFormat="1" x14ac:dyDescent="0.2">
      <c r="B7" s="38" t="s">
        <v>7</v>
      </c>
      <c r="C7" s="38" t="s">
        <v>11</v>
      </c>
      <c r="E7" s="38" t="s">
        <v>8</v>
      </c>
      <c r="G7" s="38" t="s">
        <v>163</v>
      </c>
      <c r="H7" s="38" t="s">
        <v>164</v>
      </c>
      <c r="J7" s="38" t="s">
        <v>9</v>
      </c>
      <c r="L7" s="38" t="s">
        <v>10</v>
      </c>
    </row>
    <row r="9" spans="2:12" s="38" customFormat="1" x14ac:dyDescent="0.2">
      <c r="B9" s="38" t="s">
        <v>114</v>
      </c>
    </row>
    <row r="11" spans="2:12" x14ac:dyDescent="0.2">
      <c r="B11" s="20" t="s">
        <v>3</v>
      </c>
    </row>
    <row r="12" spans="2:12" x14ac:dyDescent="0.2">
      <c r="B12" s="42" t="s">
        <v>184</v>
      </c>
      <c r="C12" s="42" t="s">
        <v>111</v>
      </c>
      <c r="G12" s="65"/>
      <c r="H12" s="32">
        <v>4308786.8547856938</v>
      </c>
      <c r="J12" s="42" t="s">
        <v>321</v>
      </c>
    </row>
    <row r="13" spans="2:12" x14ac:dyDescent="0.2">
      <c r="B13" s="42" t="s">
        <v>185</v>
      </c>
      <c r="C13" s="42" t="s">
        <v>111</v>
      </c>
      <c r="G13" s="65"/>
      <c r="H13" s="31">
        <v>261389.78688614065</v>
      </c>
      <c r="J13" s="42" t="s">
        <v>322</v>
      </c>
    </row>
    <row r="15" spans="2:12" x14ac:dyDescent="0.2">
      <c r="B15" s="20" t="s">
        <v>5</v>
      </c>
      <c r="J15" s="14"/>
    </row>
    <row r="16" spans="2:12" x14ac:dyDescent="0.2">
      <c r="B16" s="42" t="s">
        <v>186</v>
      </c>
      <c r="C16" s="42" t="s">
        <v>111</v>
      </c>
      <c r="G16" s="65"/>
      <c r="H16" s="32">
        <v>841251.95494533773</v>
      </c>
      <c r="J16" s="16" t="s">
        <v>318</v>
      </c>
      <c r="L16" s="19"/>
    </row>
    <row r="17" spans="2:12" x14ac:dyDescent="0.2">
      <c r="B17" s="42" t="s">
        <v>187</v>
      </c>
      <c r="C17" s="42" t="s">
        <v>111</v>
      </c>
      <c r="G17" s="65"/>
      <c r="H17" s="32">
        <v>46.26</v>
      </c>
      <c r="J17" s="16" t="s">
        <v>319</v>
      </c>
      <c r="L17" s="19"/>
    </row>
    <row r="18" spans="2:12" x14ac:dyDescent="0.2">
      <c r="B18" s="42" t="s">
        <v>188</v>
      </c>
      <c r="C18" s="42" t="s">
        <v>111</v>
      </c>
      <c r="G18" s="65"/>
      <c r="H18" s="32">
        <v>76020.410036390022</v>
      </c>
      <c r="J18" s="16" t="s">
        <v>320</v>
      </c>
    </row>
    <row r="19" spans="2:12" x14ac:dyDescent="0.2">
      <c r="B19" s="42" t="s">
        <v>345</v>
      </c>
      <c r="C19" s="42" t="s">
        <v>111</v>
      </c>
      <c r="G19" s="65"/>
      <c r="H19" s="39">
        <f>H16+H17-H18</f>
        <v>765277.80490894767</v>
      </c>
      <c r="J19" s="16"/>
    </row>
    <row r="21" spans="2:12" s="38" customFormat="1" x14ac:dyDescent="0.2">
      <c r="B21" s="38" t="s">
        <v>112</v>
      </c>
    </row>
    <row r="23" spans="2:12" x14ac:dyDescent="0.2">
      <c r="B23" s="41" t="s">
        <v>82</v>
      </c>
    </row>
    <row r="24" spans="2:12" s="21" customFormat="1" x14ac:dyDescent="0.2">
      <c r="B24" s="21" t="s">
        <v>83</v>
      </c>
      <c r="C24" s="21" t="s">
        <v>84</v>
      </c>
      <c r="G24" s="21" t="s">
        <v>12</v>
      </c>
      <c r="H24" s="21" t="s">
        <v>86</v>
      </c>
    </row>
    <row r="25" spans="2:12" x14ac:dyDescent="0.2">
      <c r="B25" s="42" t="s">
        <v>152</v>
      </c>
      <c r="C25" s="42" t="s">
        <v>84</v>
      </c>
      <c r="G25" s="31">
        <v>4697826</v>
      </c>
      <c r="H25" s="31">
        <v>10380.699999999999</v>
      </c>
      <c r="J25" s="42" t="s">
        <v>131</v>
      </c>
      <c r="L25" s="42" t="s">
        <v>329</v>
      </c>
    </row>
    <row r="27" spans="2:12" x14ac:dyDescent="0.2">
      <c r="B27" s="42" t="s">
        <v>277</v>
      </c>
      <c r="C27" s="42" t="s">
        <v>4</v>
      </c>
      <c r="G27" s="59"/>
      <c r="H27" s="30">
        <v>6.2333333333333331E-2</v>
      </c>
      <c r="J27" s="42" t="s">
        <v>189</v>
      </c>
      <c r="L27" s="42" t="s">
        <v>328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CCFFCC"/>
  </sheetPr>
  <dimension ref="A2:L30"/>
  <sheetViews>
    <sheetView showGridLines="0" zoomScale="85" zoomScaleNormal="85" workbookViewId="0">
      <pane xSplit="3" ySplit="8" topLeftCell="D9" activePane="bottomRight" state="frozen"/>
      <selection pane="topRight" activeCell="D1" sqref="D1"/>
      <selection pane="bottomLeft" activeCell="A8" sqref="A8"/>
      <selection pane="bottomRight" activeCell="D9" sqref="D9"/>
    </sheetView>
  </sheetViews>
  <sheetFormatPr defaultRowHeight="12.75" x14ac:dyDescent="0.2"/>
  <cols>
    <col min="1" max="1" width="4.5703125" style="42" customWidth="1"/>
    <col min="2" max="2" width="50.7109375" style="1" customWidth="1"/>
    <col min="3" max="3" width="13.7109375" style="1" customWidth="1"/>
    <col min="4" max="4" width="2.7109375" style="1" customWidth="1"/>
    <col min="5" max="5" width="13.7109375" style="42" customWidth="1"/>
    <col min="6" max="6" width="2.7109375" style="42" customWidth="1"/>
    <col min="7" max="7" width="21.7109375" style="42" customWidth="1"/>
    <col min="8" max="8" width="21.7109375" style="1" customWidth="1"/>
    <col min="9" max="9" width="2.7109375" style="1" customWidth="1"/>
    <col min="10" max="10" width="30.7109375" style="1" customWidth="1"/>
    <col min="11" max="11" width="2.7109375" style="1" customWidth="1"/>
    <col min="12" max="12" width="30.7109375" style="1" customWidth="1"/>
    <col min="13" max="13" width="2.7109375" style="1" customWidth="1"/>
    <col min="14" max="28" width="13.7109375" style="1" customWidth="1"/>
    <col min="29" max="16384" width="9.140625" style="1"/>
  </cols>
  <sheetData>
    <row r="2" spans="1:12" s="13" customFormat="1" ht="18" x14ac:dyDescent="0.2">
      <c r="B2" s="13" t="s">
        <v>190</v>
      </c>
    </row>
    <row r="4" spans="1:12" x14ac:dyDescent="0.2">
      <c r="B4" s="20" t="s">
        <v>2</v>
      </c>
    </row>
    <row r="5" spans="1:12" x14ac:dyDescent="0.2">
      <c r="B5" s="16" t="s">
        <v>147</v>
      </c>
      <c r="H5" s="14"/>
    </row>
    <row r="6" spans="1:12" s="42" customFormat="1" x14ac:dyDescent="0.2">
      <c r="B6" s="16" t="s">
        <v>191</v>
      </c>
      <c r="H6" s="14"/>
    </row>
    <row r="8" spans="1:12" s="6" customFormat="1" x14ac:dyDescent="0.2">
      <c r="A8" s="38"/>
      <c r="B8" s="6" t="s">
        <v>7</v>
      </c>
      <c r="C8" s="6" t="s">
        <v>11</v>
      </c>
      <c r="E8" s="6" t="s">
        <v>8</v>
      </c>
      <c r="F8" s="38"/>
      <c r="G8" s="38" t="s">
        <v>163</v>
      </c>
      <c r="H8" s="38" t="s">
        <v>164</v>
      </c>
      <c r="J8" s="6" t="s">
        <v>9</v>
      </c>
      <c r="L8" s="6" t="s">
        <v>10</v>
      </c>
    </row>
    <row r="10" spans="1:12" s="6" customFormat="1" x14ac:dyDescent="0.2">
      <c r="A10" s="38"/>
      <c r="B10" s="6" t="s">
        <v>75</v>
      </c>
      <c r="E10" s="38"/>
      <c r="F10" s="38"/>
      <c r="G10" s="38"/>
    </row>
    <row r="12" spans="1:12" x14ac:dyDescent="0.2">
      <c r="B12" s="20" t="s">
        <v>3</v>
      </c>
    </row>
    <row r="13" spans="1:12" x14ac:dyDescent="0.2">
      <c r="B13" s="1" t="s">
        <v>291</v>
      </c>
      <c r="C13" s="42" t="s">
        <v>6</v>
      </c>
      <c r="G13" s="31">
        <v>2492025.2571670981</v>
      </c>
      <c r="H13" s="31">
        <v>4492657.4866718343</v>
      </c>
      <c r="J13" s="42" t="s">
        <v>192</v>
      </c>
    </row>
    <row r="14" spans="1:12" x14ac:dyDescent="0.2">
      <c r="B14" s="1" t="s">
        <v>290</v>
      </c>
      <c r="C14" s="42" t="s">
        <v>6</v>
      </c>
      <c r="G14" s="31">
        <v>99088.816283100299</v>
      </c>
      <c r="H14" s="31">
        <v>262052.17433876442</v>
      </c>
      <c r="J14" s="42" t="s">
        <v>193</v>
      </c>
    </row>
    <row r="16" spans="1:12" x14ac:dyDescent="0.2">
      <c r="B16" s="20" t="s">
        <v>5</v>
      </c>
    </row>
    <row r="17" spans="1:10" x14ac:dyDescent="0.2">
      <c r="B17" s="1" t="s">
        <v>339</v>
      </c>
      <c r="C17" s="1" t="s">
        <v>6</v>
      </c>
      <c r="G17" s="31">
        <v>1048870.6807063497</v>
      </c>
      <c r="H17" s="31">
        <v>866028.58929365012</v>
      </c>
      <c r="J17" s="42" t="s">
        <v>194</v>
      </c>
    </row>
    <row r="18" spans="1:10" x14ac:dyDescent="0.2">
      <c r="B18" s="1" t="s">
        <v>289</v>
      </c>
      <c r="C18" s="1" t="s">
        <v>6</v>
      </c>
      <c r="G18" s="31">
        <v>15705.707750846292</v>
      </c>
      <c r="H18" s="31">
        <v>110539.2407959539</v>
      </c>
      <c r="J18" s="42" t="s">
        <v>195</v>
      </c>
    </row>
    <row r="19" spans="1:10" x14ac:dyDescent="0.2">
      <c r="B19" s="1" t="s">
        <v>338</v>
      </c>
      <c r="C19" s="1" t="s">
        <v>6</v>
      </c>
      <c r="G19" s="39">
        <f>G17-G18</f>
        <v>1033164.9729555034</v>
      </c>
      <c r="H19" s="39">
        <f>H17-H18</f>
        <v>755489.34849769622</v>
      </c>
    </row>
    <row r="21" spans="1:10" s="6" customFormat="1" x14ac:dyDescent="0.2">
      <c r="A21" s="45"/>
      <c r="B21" s="45" t="s">
        <v>149</v>
      </c>
      <c r="E21" s="38"/>
      <c r="F21" s="38"/>
      <c r="G21" s="38"/>
    </row>
    <row r="23" spans="1:10" s="42" customFormat="1" x14ac:dyDescent="0.2">
      <c r="B23" s="41" t="s">
        <v>82</v>
      </c>
    </row>
    <row r="24" spans="1:10" s="21" customFormat="1" x14ac:dyDescent="0.2">
      <c r="B24" s="21" t="s">
        <v>83</v>
      </c>
      <c r="C24" s="21" t="s">
        <v>84</v>
      </c>
      <c r="G24" s="21" t="s">
        <v>12</v>
      </c>
      <c r="H24" s="21" t="s">
        <v>86</v>
      </c>
    </row>
    <row r="25" spans="1:10" s="42" customFormat="1" x14ac:dyDescent="0.2">
      <c r="B25" s="42" t="s">
        <v>85</v>
      </c>
      <c r="C25" s="42" t="s">
        <v>84</v>
      </c>
      <c r="G25" s="31">
        <v>9464730</v>
      </c>
      <c r="H25" s="31">
        <v>10818.9</v>
      </c>
      <c r="J25" s="42" t="s">
        <v>196</v>
      </c>
    </row>
    <row r="26" spans="1:10" s="42" customFormat="1" x14ac:dyDescent="0.2"/>
    <row r="27" spans="1:10" s="42" customFormat="1" x14ac:dyDescent="0.2">
      <c r="B27" s="42" t="s">
        <v>279</v>
      </c>
      <c r="C27" s="42" t="s">
        <v>4</v>
      </c>
      <c r="G27" s="59"/>
      <c r="H27" s="30">
        <v>6.0144714937807577E-2</v>
      </c>
      <c r="J27" s="42" t="s">
        <v>197</v>
      </c>
    </row>
    <row r="28" spans="1:10" x14ac:dyDescent="0.2">
      <c r="J28" s="42"/>
    </row>
    <row r="29" spans="1:10" x14ac:dyDescent="0.2">
      <c r="B29" s="1" t="s">
        <v>200</v>
      </c>
      <c r="C29" s="1" t="s">
        <v>13</v>
      </c>
      <c r="G29" s="37">
        <v>0.33996093451090609</v>
      </c>
      <c r="H29" s="59"/>
      <c r="J29" s="42" t="s">
        <v>198</v>
      </c>
    </row>
    <row r="30" spans="1:10" x14ac:dyDescent="0.2">
      <c r="B30" s="42" t="s">
        <v>201</v>
      </c>
      <c r="C30" s="42" t="s">
        <v>13</v>
      </c>
      <c r="G30" s="37">
        <v>0.35679625938644499</v>
      </c>
      <c r="H30" s="59"/>
      <c r="J30" s="42" t="s">
        <v>199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purl.org/dc/dcmitype/"/>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20</vt:i4>
      </vt:variant>
    </vt:vector>
  </HeadingPairs>
  <TitlesOfParts>
    <vt:vector size="20" baseType="lpstr">
      <vt:lpstr>Title page</vt:lpstr>
      <vt:lpstr>Explanation</vt:lpstr>
      <vt:lpstr>Sources and applications</vt:lpstr>
      <vt:lpstr>Result</vt:lpstr>
      <vt:lpstr>Input --&gt;</vt:lpstr>
      <vt:lpstr>Parameters</vt:lpstr>
      <vt:lpstr>Estimation for 2017</vt:lpstr>
      <vt:lpstr>Realization of 2017</vt:lpstr>
      <vt:lpstr>Estimation for 2018</vt:lpstr>
      <vt:lpstr>Realization of 2018</vt:lpstr>
      <vt:lpstr>Calculations 2017 --&gt;</vt:lpstr>
      <vt:lpstr>Fixed-variable costs 2015</vt:lpstr>
      <vt:lpstr>Volume-effect 2017</vt:lpstr>
      <vt:lpstr>Profit sharing 2017</vt:lpstr>
      <vt:lpstr>Network loss 2017</vt:lpstr>
      <vt:lpstr>Calculations 2018 --&gt;</vt:lpstr>
      <vt:lpstr>Fixed-variable costs 2016</vt:lpstr>
      <vt:lpstr>Volume-effect 2018</vt:lpstr>
      <vt:lpstr>Profit sharing 2018</vt:lpstr>
      <vt:lpstr>Network loss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2020-01-06T14:46:12Z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