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235" yWindow="15" windowWidth="14580" windowHeight="14550" tabRatio="741"/>
  </bookViews>
  <sheets>
    <sheet name="Titelblad" sheetId="9" r:id="rId1"/>
    <sheet name="Toelichting" sheetId="10" r:id="rId2"/>
    <sheet name="Bronnen en toepassingen" sheetId="11" r:id="rId3"/>
    <sheet name="TI-berekening 2020" sheetId="21" r:id="rId4"/>
    <sheet name="Input --&gt;" sheetId="13" r:id="rId5"/>
    <sheet name="Input x-factor, begininkomsten" sheetId="28" r:id="rId6"/>
    <sheet name="Input parameters" sheetId="26" r:id="rId7"/>
    <sheet name="Input lokale heffingen 2018" sheetId="25" r:id="rId8"/>
    <sheet name="Input invoeding groen gas 2019" sheetId="18" r:id="rId9"/>
    <sheet name="Input faillissement Flexenergie" sheetId="35" r:id="rId10"/>
    <sheet name="Input nieuwe taken" sheetId="37" r:id="rId11"/>
    <sheet name="Input gewijzigde x-factoren" sheetId="33" r:id="rId12"/>
    <sheet name="Input richtbedragen" sheetId="32" r:id="rId13"/>
    <sheet name="Berekeningen --&gt;" sheetId="15" r:id="rId14"/>
    <sheet name="Parameters" sheetId="27" r:id="rId15"/>
    <sheet name="Lokale heffingen 2018" sheetId="24" r:id="rId16"/>
    <sheet name="Invoeding groen gas 2019" sheetId="22" r:id="rId17"/>
    <sheet name="Faillissement Flexenergie 2018" sheetId="36" r:id="rId18"/>
    <sheet name="Overdracht Weert" sheetId="30" r:id="rId19"/>
    <sheet name="Gewijzigde x-factoren" sheetId="34" r:id="rId20"/>
    <sheet name="Richtbedragen" sheetId="31" r:id="rId21"/>
  </sheets>
  <calcPr calcId="145621"/>
</workbook>
</file>

<file path=xl/calcChain.xml><?xml version="1.0" encoding="utf-8"?>
<calcChain xmlns="http://schemas.openxmlformats.org/spreadsheetml/2006/main">
  <c r="S87" i="31" l="1"/>
  <c r="S36" i="21"/>
  <c r="S40" i="21"/>
  <c r="H17" i="36" l="1"/>
  <c r="L32" i="21" l="1"/>
  <c r="M86" i="34" l="1"/>
  <c r="N86" i="34"/>
  <c r="S85" i="34" l="1"/>
  <c r="S86" i="34"/>
  <c r="S84" i="34"/>
  <c r="N84" i="34"/>
  <c r="N85" i="34"/>
  <c r="M85" i="34"/>
  <c r="M84" i="34"/>
  <c r="M71" i="31" l="1"/>
  <c r="N71" i="31"/>
  <c r="O71" i="31"/>
  <c r="P71" i="31"/>
  <c r="Q71" i="31"/>
  <c r="R71" i="31"/>
  <c r="S71" i="31"/>
  <c r="M72" i="31"/>
  <c r="N72" i="31"/>
  <c r="O72" i="31"/>
  <c r="P72" i="31"/>
  <c r="Q72" i="31"/>
  <c r="R72" i="31"/>
  <c r="S72" i="31"/>
  <c r="M77" i="31"/>
  <c r="O77" i="31"/>
  <c r="P77" i="31"/>
  <c r="R77" i="31"/>
  <c r="S77" i="31"/>
  <c r="O78" i="31"/>
  <c r="P78" i="31"/>
  <c r="Q78" i="31"/>
  <c r="R78" i="31"/>
  <c r="L72" i="31"/>
  <c r="L77" i="31"/>
  <c r="L78" i="31"/>
  <c r="L71" i="31"/>
  <c r="M31" i="21"/>
  <c r="M75" i="31" s="1"/>
  <c r="M84" i="31" s="1"/>
  <c r="N31" i="21"/>
  <c r="N75" i="31" s="1"/>
  <c r="N84" i="31" s="1"/>
  <c r="O31" i="21"/>
  <c r="O75" i="31" s="1"/>
  <c r="O84" i="31" s="1"/>
  <c r="P31" i="21"/>
  <c r="P75" i="31" s="1"/>
  <c r="P84" i="31" s="1"/>
  <c r="Q31" i="21"/>
  <c r="Q75" i="31" s="1"/>
  <c r="Q84" i="31" s="1"/>
  <c r="R31" i="21"/>
  <c r="R75" i="31" s="1"/>
  <c r="R84" i="31" s="1"/>
  <c r="S31" i="21"/>
  <c r="S75" i="31" s="1"/>
  <c r="M32" i="21"/>
  <c r="M76" i="31" s="1"/>
  <c r="M86" i="31" s="1"/>
  <c r="N32" i="21"/>
  <c r="N76" i="31" s="1"/>
  <c r="N86" i="31" s="1"/>
  <c r="O32" i="21"/>
  <c r="O76" i="31" s="1"/>
  <c r="O86" i="31" s="1"/>
  <c r="P32" i="21"/>
  <c r="P76" i="31" s="1"/>
  <c r="P86" i="31" s="1"/>
  <c r="Q32" i="21"/>
  <c r="Q76" i="31" s="1"/>
  <c r="Q86" i="31" s="1"/>
  <c r="R32" i="21"/>
  <c r="R76" i="31" s="1"/>
  <c r="R86" i="31" s="1"/>
  <c r="S32" i="21"/>
  <c r="S76" i="31" s="1"/>
  <c r="S86" i="31" s="1"/>
  <c r="L76" i="31"/>
  <c r="L86" i="31" s="1"/>
  <c r="L31" i="21"/>
  <c r="J31" i="21" l="1"/>
  <c r="L75" i="31"/>
  <c r="L84" i="31" s="1"/>
  <c r="T41" i="24"/>
  <c r="H16" i="24" l="1"/>
  <c r="H15" i="24"/>
  <c r="S20" i="24"/>
  <c r="R20" i="24"/>
  <c r="Q20" i="24"/>
  <c r="P20" i="24"/>
  <c r="O20" i="24"/>
  <c r="N20" i="24"/>
  <c r="M20" i="24"/>
  <c r="L20" i="24"/>
  <c r="S19" i="24"/>
  <c r="S22" i="24" s="1"/>
  <c r="R19" i="24"/>
  <c r="R22" i="24" s="1"/>
  <c r="Q19" i="24"/>
  <c r="Q22" i="24" s="1"/>
  <c r="P19" i="24"/>
  <c r="P22" i="24" s="1"/>
  <c r="O19" i="24"/>
  <c r="O22" i="24" s="1"/>
  <c r="N19" i="24"/>
  <c r="N22" i="24" s="1"/>
  <c r="M19" i="24"/>
  <c r="M22" i="24" s="1"/>
  <c r="L19" i="24"/>
  <c r="L22" i="24" s="1"/>
  <c r="J17" i="37" l="1"/>
  <c r="J18" i="37"/>
  <c r="M19" i="37"/>
  <c r="N19" i="37"/>
  <c r="O19" i="37"/>
  <c r="P19" i="37"/>
  <c r="Q19" i="37"/>
  <c r="R19" i="37"/>
  <c r="S19" i="37"/>
  <c r="L19" i="37"/>
  <c r="J22" i="24" l="1"/>
  <c r="J19" i="37" l="1"/>
  <c r="J15" i="37"/>
  <c r="S30" i="21" l="1"/>
  <c r="S74" i="31" s="1"/>
  <c r="R30" i="21"/>
  <c r="R74" i="31" s="1"/>
  <c r="Q30" i="21"/>
  <c r="Q74" i="31" s="1"/>
  <c r="P30" i="21"/>
  <c r="P74" i="31" s="1"/>
  <c r="O30" i="21"/>
  <c r="O74" i="31" s="1"/>
  <c r="N30" i="21"/>
  <c r="N74" i="31" s="1"/>
  <c r="M30" i="21"/>
  <c r="M74" i="31" s="1"/>
  <c r="L30" i="21"/>
  <c r="L74" i="31" s="1"/>
  <c r="J32" i="21" l="1"/>
  <c r="J30" i="21"/>
  <c r="S66" i="34"/>
  <c r="S65" i="34"/>
  <c r="N66" i="34"/>
  <c r="M66" i="34"/>
  <c r="N65" i="34"/>
  <c r="M65" i="34"/>
  <c r="M47" i="31"/>
  <c r="N47" i="31"/>
  <c r="O47" i="31"/>
  <c r="S47" i="31"/>
  <c r="M44" i="31"/>
  <c r="N44" i="31"/>
  <c r="O44" i="31"/>
  <c r="P44" i="31"/>
  <c r="Q44" i="31"/>
  <c r="R44" i="31"/>
  <c r="L44" i="31"/>
  <c r="M39" i="31"/>
  <c r="N39" i="31"/>
  <c r="O39" i="31"/>
  <c r="S39" i="31"/>
  <c r="M36" i="31"/>
  <c r="N36" i="31"/>
  <c r="O36" i="31"/>
  <c r="P36" i="31"/>
  <c r="Q36" i="31"/>
  <c r="R36" i="31"/>
  <c r="L36" i="31"/>
  <c r="S40" i="31"/>
  <c r="S52" i="31" s="1"/>
  <c r="H32" i="31"/>
  <c r="H27" i="31"/>
  <c r="H26" i="31"/>
  <c r="R30" i="31"/>
  <c r="Q30" i="31"/>
  <c r="P30" i="31"/>
  <c r="O30" i="31"/>
  <c r="N30" i="31"/>
  <c r="M30" i="31"/>
  <c r="L30" i="31"/>
  <c r="R29" i="31"/>
  <c r="Q29" i="31"/>
  <c r="P29" i="31"/>
  <c r="O29" i="31"/>
  <c r="N29" i="31"/>
  <c r="M29" i="31"/>
  <c r="L29" i="31"/>
  <c r="M22" i="31"/>
  <c r="N22" i="31"/>
  <c r="O22" i="31"/>
  <c r="P22" i="31"/>
  <c r="Q22" i="31"/>
  <c r="R22" i="31"/>
  <c r="M23" i="31"/>
  <c r="N23" i="31"/>
  <c r="O23" i="31"/>
  <c r="P23" i="31"/>
  <c r="Q23" i="31"/>
  <c r="R23" i="31"/>
  <c r="M24" i="31"/>
  <c r="N24" i="31"/>
  <c r="O24" i="31"/>
  <c r="P24" i="31"/>
  <c r="Q24" i="31"/>
  <c r="R24" i="31"/>
  <c r="L23" i="31"/>
  <c r="L24" i="31"/>
  <c r="L22" i="31"/>
  <c r="S48" i="31" l="1"/>
  <c r="S60" i="31" s="1"/>
  <c r="S74" i="34" s="1"/>
  <c r="S54" i="31"/>
  <c r="S53" i="31"/>
  <c r="H42" i="31"/>
  <c r="S55" i="31"/>
  <c r="M38" i="31"/>
  <c r="R38" i="31"/>
  <c r="N38" i="31"/>
  <c r="Q38" i="31"/>
  <c r="P38" i="31"/>
  <c r="L38" i="31"/>
  <c r="O38" i="31"/>
  <c r="S65" i="31" l="1"/>
  <c r="Q37" i="31"/>
  <c r="S72" i="34"/>
  <c r="S59" i="31"/>
  <c r="S64" i="31" s="1"/>
  <c r="S58" i="31"/>
  <c r="S63" i="31" s="1"/>
  <c r="S57" i="31"/>
  <c r="S62" i="31" s="1"/>
  <c r="N37" i="31"/>
  <c r="O37" i="31"/>
  <c r="M46" i="31"/>
  <c r="Q46" i="31"/>
  <c r="N46" i="31"/>
  <c r="R46" i="31"/>
  <c r="O46" i="31"/>
  <c r="P46" i="31"/>
  <c r="L46" i="31"/>
  <c r="L37" i="31"/>
  <c r="R37" i="31"/>
  <c r="P37" i="31"/>
  <c r="M37" i="31"/>
  <c r="L40" i="31" l="1"/>
  <c r="L53" i="31" s="1"/>
  <c r="O45" i="31"/>
  <c r="N45" i="31"/>
  <c r="M45" i="31"/>
  <c r="O40" i="31"/>
  <c r="O53" i="31" s="1"/>
  <c r="R40" i="31"/>
  <c r="R53" i="31" s="1"/>
  <c r="P40" i="31"/>
  <c r="P53" i="31" s="1"/>
  <c r="L45" i="31"/>
  <c r="M40" i="31"/>
  <c r="M53" i="31" s="1"/>
  <c r="P45" i="31"/>
  <c r="R45" i="31"/>
  <c r="Q45" i="31"/>
  <c r="N40" i="31"/>
  <c r="N53" i="31" s="1"/>
  <c r="Q40" i="31"/>
  <c r="Q53" i="31" s="1"/>
  <c r="P48" i="31" l="1"/>
  <c r="P58" i="31" s="1"/>
  <c r="P63" i="31" s="1"/>
  <c r="L48" i="31"/>
  <c r="Q55" i="31"/>
  <c r="Q52" i="31"/>
  <c r="Q54" i="31"/>
  <c r="Q48" i="31"/>
  <c r="Q58" i="31" s="1"/>
  <c r="Q63" i="31" s="1"/>
  <c r="R55" i="31"/>
  <c r="R52" i="31"/>
  <c r="R54" i="31"/>
  <c r="M48" i="31"/>
  <c r="M58" i="31" s="1"/>
  <c r="M63" i="31" s="1"/>
  <c r="O48" i="31"/>
  <c r="N52" i="31"/>
  <c r="N55" i="31"/>
  <c r="N54" i="31"/>
  <c r="R48" i="31"/>
  <c r="M52" i="31"/>
  <c r="M55" i="31"/>
  <c r="M54" i="31"/>
  <c r="P55" i="31"/>
  <c r="P52" i="31"/>
  <c r="P54" i="31"/>
  <c r="O55" i="31"/>
  <c r="O52" i="31"/>
  <c r="O54" i="31"/>
  <c r="N48" i="31"/>
  <c r="N58" i="31" s="1"/>
  <c r="N63" i="31" s="1"/>
  <c r="L55" i="31"/>
  <c r="L52" i="31"/>
  <c r="L54" i="31"/>
  <c r="L60" i="31" l="1"/>
  <c r="L65" i="31" s="1"/>
  <c r="L57" i="31"/>
  <c r="L62" i="31" s="1"/>
  <c r="L59" i="31"/>
  <c r="L64" i="31" s="1"/>
  <c r="R60" i="31"/>
  <c r="R65" i="31" s="1"/>
  <c r="R57" i="31"/>
  <c r="R62" i="31" s="1"/>
  <c r="R59" i="31"/>
  <c r="R64" i="31" s="1"/>
  <c r="N60" i="31"/>
  <c r="N74" i="34" s="1"/>
  <c r="N57" i="31"/>
  <c r="N62" i="31" s="1"/>
  <c r="N59" i="31"/>
  <c r="N64" i="31" s="1"/>
  <c r="M72" i="34"/>
  <c r="O60" i="31"/>
  <c r="O65" i="31" s="1"/>
  <c r="O57" i="31"/>
  <c r="O62" i="31" s="1"/>
  <c r="O59" i="31"/>
  <c r="O64" i="31" s="1"/>
  <c r="L58" i="31"/>
  <c r="L63" i="31" s="1"/>
  <c r="N72" i="34"/>
  <c r="M57" i="31"/>
  <c r="M62" i="31" s="1"/>
  <c r="M60" i="31"/>
  <c r="M74" i="34" s="1"/>
  <c r="M59" i="31"/>
  <c r="M64" i="31" s="1"/>
  <c r="R58" i="31"/>
  <c r="R63" i="31" s="1"/>
  <c r="O58" i="31"/>
  <c r="O63" i="31" s="1"/>
  <c r="Q60" i="31"/>
  <c r="Q65" i="31" s="1"/>
  <c r="Q57" i="31"/>
  <c r="Q62" i="31" s="1"/>
  <c r="Q59" i="31"/>
  <c r="Q64" i="31" s="1"/>
  <c r="P60" i="31"/>
  <c r="P65" i="31" s="1"/>
  <c r="P57" i="31"/>
  <c r="P62" i="31" s="1"/>
  <c r="P59" i="31"/>
  <c r="P64" i="31" s="1"/>
  <c r="N65" i="31" l="1"/>
  <c r="M65" i="31"/>
  <c r="S95" i="34"/>
  <c r="S60" i="34"/>
  <c r="N60" i="34"/>
  <c r="M60" i="34"/>
  <c r="S57" i="34"/>
  <c r="N57" i="34"/>
  <c r="M57" i="34"/>
  <c r="S54" i="34"/>
  <c r="N54" i="34"/>
  <c r="M54" i="34"/>
  <c r="S53" i="34"/>
  <c r="N53" i="34"/>
  <c r="M53" i="34"/>
  <c r="S48" i="34"/>
  <c r="N48" i="34"/>
  <c r="M48" i="34"/>
  <c r="S45" i="34"/>
  <c r="N45" i="34"/>
  <c r="M45" i="34"/>
  <c r="S42" i="34"/>
  <c r="N42" i="34"/>
  <c r="M42" i="34"/>
  <c r="S41" i="34"/>
  <c r="N41" i="34"/>
  <c r="M41" i="34"/>
  <c r="S36" i="34"/>
  <c r="N36" i="34"/>
  <c r="M36" i="34"/>
  <c r="S33" i="34"/>
  <c r="N33" i="34"/>
  <c r="M33" i="34"/>
  <c r="S30" i="34"/>
  <c r="N30" i="34"/>
  <c r="M30" i="34"/>
  <c r="S29" i="34"/>
  <c r="N29" i="34"/>
  <c r="M29" i="34"/>
  <c r="S24" i="34"/>
  <c r="S21" i="34"/>
  <c r="N24" i="34"/>
  <c r="N21" i="34"/>
  <c r="M24" i="34"/>
  <c r="M21" i="34"/>
  <c r="S18" i="34"/>
  <c r="S17" i="34"/>
  <c r="N17" i="34"/>
  <c r="N18" i="34"/>
  <c r="M18" i="34"/>
  <c r="M17" i="34"/>
  <c r="S97" i="34" l="1"/>
  <c r="S104" i="34" s="1"/>
  <c r="S96" i="34"/>
  <c r="N95" i="34"/>
  <c r="M97" i="34"/>
  <c r="N97" i="34"/>
  <c r="M96" i="34"/>
  <c r="M95" i="34"/>
  <c r="N96" i="34"/>
  <c r="N110" i="34"/>
  <c r="M108" i="34"/>
  <c r="S109" i="34"/>
  <c r="M110" i="34"/>
  <c r="N108" i="34"/>
  <c r="M109" i="34"/>
  <c r="N109" i="34"/>
  <c r="S110" i="34"/>
  <c r="S108" i="34"/>
  <c r="H123" i="34"/>
  <c r="H124" i="34"/>
  <c r="H122" i="34"/>
  <c r="H18" i="36" l="1"/>
  <c r="M15" i="36"/>
  <c r="N15" i="36"/>
  <c r="N23" i="36" s="1"/>
  <c r="O15" i="36"/>
  <c r="O23" i="36" s="1"/>
  <c r="P15" i="36"/>
  <c r="Q15" i="36"/>
  <c r="R15" i="36"/>
  <c r="R23" i="36" s="1"/>
  <c r="S15" i="36"/>
  <c r="S23" i="36" s="1"/>
  <c r="L15" i="36"/>
  <c r="B37" i="10"/>
  <c r="B43" i="10"/>
  <c r="Q23" i="36" l="1"/>
  <c r="Q29" i="21" s="1"/>
  <c r="Q73" i="31" s="1"/>
  <c r="Q80" i="31" s="1"/>
  <c r="Q87" i="31" s="1"/>
  <c r="M23" i="36"/>
  <c r="M29" i="21" s="1"/>
  <c r="M73" i="31" s="1"/>
  <c r="M80" i="31" s="1"/>
  <c r="M87" i="31" s="1"/>
  <c r="L23" i="36"/>
  <c r="L29" i="21" s="1"/>
  <c r="L73" i="31" s="1"/>
  <c r="L80" i="31" s="1"/>
  <c r="L87" i="31" s="1"/>
  <c r="P23" i="36"/>
  <c r="P29" i="21" s="1"/>
  <c r="P73" i="31" s="1"/>
  <c r="P80" i="31" s="1"/>
  <c r="P87" i="31" s="1"/>
  <c r="S29" i="21"/>
  <c r="S73" i="31" s="1"/>
  <c r="S80" i="31" s="1"/>
  <c r="R29" i="21"/>
  <c r="R73" i="31" s="1"/>
  <c r="R80" i="31" s="1"/>
  <c r="R87" i="31" s="1"/>
  <c r="N29" i="21"/>
  <c r="N73" i="31" s="1"/>
  <c r="N80" i="31" s="1"/>
  <c r="N87" i="31" s="1"/>
  <c r="O29" i="21"/>
  <c r="O73" i="31" s="1"/>
  <c r="O80" i="31" s="1"/>
  <c r="O87" i="31" s="1"/>
  <c r="J29" i="21" l="1"/>
  <c r="H70" i="34" l="1"/>
  <c r="H69" i="34"/>
  <c r="H68" i="34"/>
  <c r="S79" i="34" l="1"/>
  <c r="M79" i="34"/>
  <c r="M89" i="34" s="1"/>
  <c r="M102" i="34" s="1"/>
  <c r="N79" i="34"/>
  <c r="N89" i="34" l="1"/>
  <c r="N102" i="34" s="1"/>
  <c r="N114" i="34" s="1"/>
  <c r="N118" i="34" s="1"/>
  <c r="N126" i="34" s="1"/>
  <c r="S89" i="34"/>
  <c r="S102" i="34" s="1"/>
  <c r="S114" i="34" s="1"/>
  <c r="S118" i="34" s="1"/>
  <c r="S126" i="34" s="1"/>
  <c r="M90" i="34"/>
  <c r="M103" i="34" s="1"/>
  <c r="S80" i="34"/>
  <c r="M80" i="34"/>
  <c r="M114" i="34"/>
  <c r="M118" i="34" s="1"/>
  <c r="M126" i="34" s="1"/>
  <c r="N80" i="34"/>
  <c r="N90" i="34" s="1"/>
  <c r="N103" i="34" s="1"/>
  <c r="U23" i="27"/>
  <c r="U14" i="27"/>
  <c r="U15" i="27"/>
  <c r="T16" i="27"/>
  <c r="U24" i="27" s="1"/>
  <c r="U35" i="27" s="1"/>
  <c r="H91" i="22" s="1"/>
  <c r="T17" i="27"/>
  <c r="M115" i="34" l="1"/>
  <c r="M119" i="34" s="1"/>
  <c r="M127" i="34" s="1"/>
  <c r="S81" i="34"/>
  <c r="S90" i="34"/>
  <c r="S103" i="34" s="1"/>
  <c r="S115" i="34" s="1"/>
  <c r="S119" i="34" s="1"/>
  <c r="S127" i="34" s="1"/>
  <c r="N115" i="34"/>
  <c r="N119" i="34" s="1"/>
  <c r="N127" i="34" s="1"/>
  <c r="N81" i="34"/>
  <c r="N91" i="34" s="1"/>
  <c r="N104" i="34" s="1"/>
  <c r="M81" i="34"/>
  <c r="H18" i="21"/>
  <c r="M91" i="34" l="1"/>
  <c r="M104" i="34" s="1"/>
  <c r="M116" i="34" s="1"/>
  <c r="M120" i="34" s="1"/>
  <c r="M128" i="34" s="1"/>
  <c r="M130" i="34" s="1"/>
  <c r="M34" i="21" s="1"/>
  <c r="S116" i="34"/>
  <c r="S120" i="34" s="1"/>
  <c r="S128" i="34" s="1"/>
  <c r="S130" i="34" s="1"/>
  <c r="S34" i="21" s="1"/>
  <c r="S78" i="31" s="1"/>
  <c r="S91" i="34"/>
  <c r="N116" i="34"/>
  <c r="N120" i="34" s="1"/>
  <c r="N128" i="34" s="1"/>
  <c r="H17" i="21"/>
  <c r="M78" i="31" l="1"/>
  <c r="N130" i="34"/>
  <c r="N34" i="21" s="1"/>
  <c r="N78" i="31" s="1"/>
  <c r="H16" i="21"/>
  <c r="H15" i="21"/>
  <c r="J34" i="21" l="1"/>
  <c r="H21" i="30"/>
  <c r="T14" i="27" l="1"/>
  <c r="T15" i="27"/>
  <c r="N72" i="18" l="1"/>
  <c r="N115" i="18"/>
  <c r="N107" i="18"/>
  <c r="N80" i="18"/>
  <c r="N45" i="18"/>
  <c r="N37" i="18"/>
  <c r="N27" i="24" l="1"/>
  <c r="O27" i="24"/>
  <c r="P27" i="24"/>
  <c r="Q27" i="24"/>
  <c r="R27" i="24"/>
  <c r="S27" i="24"/>
  <c r="N26" i="24"/>
  <c r="O26" i="24"/>
  <c r="P26" i="24"/>
  <c r="Q26" i="24"/>
  <c r="R26" i="24"/>
  <c r="S26" i="24"/>
  <c r="S29" i="24" l="1"/>
  <c r="S33" i="24" s="1"/>
  <c r="O29" i="24"/>
  <c r="O33" i="24" s="1"/>
  <c r="R29" i="24"/>
  <c r="R33" i="24" s="1"/>
  <c r="N29" i="24"/>
  <c r="N33" i="24" s="1"/>
  <c r="Q29" i="24"/>
  <c r="Q33" i="24" s="1"/>
  <c r="P29" i="24"/>
  <c r="P33" i="24" s="1"/>
  <c r="M12" i="21"/>
  <c r="N12" i="21"/>
  <c r="M13" i="21" l="1"/>
  <c r="M20" i="21" s="1"/>
  <c r="M21" i="21" s="1"/>
  <c r="M22" i="21" s="1"/>
  <c r="M23" i="21" s="1"/>
  <c r="M69" i="31" s="1"/>
  <c r="N13" i="21"/>
  <c r="N20" i="21" s="1"/>
  <c r="N21" i="21" s="1"/>
  <c r="N22" i="21" s="1"/>
  <c r="N23" i="21" s="1"/>
  <c r="N69" i="31" s="1"/>
  <c r="O13" i="21"/>
  <c r="P13" i="21"/>
  <c r="Q13" i="21"/>
  <c r="R13" i="21"/>
  <c r="S13" i="21"/>
  <c r="L13" i="21"/>
  <c r="O12" i="21"/>
  <c r="P12" i="21"/>
  <c r="Q12" i="21"/>
  <c r="R12" i="21"/>
  <c r="S12" i="21"/>
  <c r="L12" i="21"/>
  <c r="M83" i="31" l="1"/>
  <c r="M85" i="31"/>
  <c r="L20" i="21"/>
  <c r="L21" i="21" s="1"/>
  <c r="L22" i="21" s="1"/>
  <c r="L23" i="21" s="1"/>
  <c r="L69" i="31" s="1"/>
  <c r="P20" i="21"/>
  <c r="P21" i="21" s="1"/>
  <c r="P22" i="21" s="1"/>
  <c r="P23" i="21" s="1"/>
  <c r="P69" i="31" s="1"/>
  <c r="S20" i="21"/>
  <c r="S21" i="21" s="1"/>
  <c r="S22" i="21" s="1"/>
  <c r="S23" i="21" s="1"/>
  <c r="S69" i="31" s="1"/>
  <c r="O20" i="21"/>
  <c r="O21" i="21" s="1"/>
  <c r="O22" i="21" s="1"/>
  <c r="O23" i="21" s="1"/>
  <c r="O69" i="31" s="1"/>
  <c r="R20" i="21"/>
  <c r="R21" i="21" s="1"/>
  <c r="R22" i="21" s="1"/>
  <c r="R23" i="21" s="1"/>
  <c r="R69" i="31" s="1"/>
  <c r="Q20" i="21"/>
  <c r="Q21" i="21" s="1"/>
  <c r="Q22" i="21" s="1"/>
  <c r="Q23" i="21" s="1"/>
  <c r="Q69" i="31" s="1"/>
  <c r="J12" i="21"/>
  <c r="S17" i="27"/>
  <c r="R17" i="27"/>
  <c r="Q17" i="27"/>
  <c r="P17" i="27"/>
  <c r="O17" i="27"/>
  <c r="N17" i="27"/>
  <c r="M17" i="27"/>
  <c r="L17" i="27"/>
  <c r="S16" i="27"/>
  <c r="T24" i="27" s="1"/>
  <c r="R16" i="27"/>
  <c r="Q16" i="27"/>
  <c r="P16" i="27"/>
  <c r="O16" i="27"/>
  <c r="N16" i="27"/>
  <c r="M16" i="27"/>
  <c r="L16" i="27"/>
  <c r="S15" i="27"/>
  <c r="R15" i="27"/>
  <c r="Q15" i="27"/>
  <c r="P15" i="27"/>
  <c r="O15" i="27"/>
  <c r="N15" i="27"/>
  <c r="M15" i="27"/>
  <c r="L15" i="27"/>
  <c r="S14" i="27"/>
  <c r="R14" i="27"/>
  <c r="Q14" i="27"/>
  <c r="P14" i="27"/>
  <c r="O14" i="27"/>
  <c r="N14" i="27"/>
  <c r="M14" i="27"/>
  <c r="L14" i="27"/>
  <c r="M23" i="27"/>
  <c r="N23" i="27"/>
  <c r="O23" i="27"/>
  <c r="P23" i="27"/>
  <c r="Q23" i="27"/>
  <c r="R23" i="27"/>
  <c r="S23" i="27"/>
  <c r="T23" i="27"/>
  <c r="O82" i="31" l="1"/>
  <c r="O85" i="31"/>
  <c r="O83" i="31"/>
  <c r="P83" i="31"/>
  <c r="P82" i="31"/>
  <c r="P85" i="31"/>
  <c r="S85" i="31"/>
  <c r="S83" i="31"/>
  <c r="R82" i="31"/>
  <c r="R83" i="31"/>
  <c r="R85" i="31"/>
  <c r="L82" i="31"/>
  <c r="L83" i="31"/>
  <c r="L85" i="31"/>
  <c r="T34" i="27"/>
  <c r="O24" i="27"/>
  <c r="O29" i="27" s="1"/>
  <c r="S24" i="27"/>
  <c r="S33" i="27" s="1"/>
  <c r="P24" i="27"/>
  <c r="P30" i="27" s="1"/>
  <c r="Q24" i="27"/>
  <c r="Q31" i="27" s="1"/>
  <c r="N24" i="27"/>
  <c r="N28" i="27" s="1"/>
  <c r="R24" i="27"/>
  <c r="R32" i="27" s="1"/>
  <c r="M24" i="27"/>
  <c r="M27" i="27" s="1"/>
  <c r="M26" i="24"/>
  <c r="M27" i="24"/>
  <c r="L27" i="24"/>
  <c r="L26" i="24"/>
  <c r="L29" i="24" s="1"/>
  <c r="M29" i="24" l="1"/>
  <c r="L33" i="24"/>
  <c r="M33" i="24"/>
  <c r="U34" i="27"/>
  <c r="H35" i="24" s="1"/>
  <c r="T33" i="27"/>
  <c r="P29" i="27"/>
  <c r="S32" i="27"/>
  <c r="T32" i="27" s="1"/>
  <c r="U32" i="27" s="1"/>
  <c r="O28" i="27"/>
  <c r="P28" i="27" s="1"/>
  <c r="Q28" i="27" s="1"/>
  <c r="R28" i="27" s="1"/>
  <c r="S28" i="27" s="1"/>
  <c r="T28" i="27" s="1"/>
  <c r="U28" i="27" s="1"/>
  <c r="R31" i="27"/>
  <c r="S31" i="27" s="1"/>
  <c r="T31" i="27" s="1"/>
  <c r="U31" i="27" s="1"/>
  <c r="Q29" i="27"/>
  <c r="R29" i="27" s="1"/>
  <c r="S29" i="27" s="1"/>
  <c r="T29" i="27" s="1"/>
  <c r="U29" i="27" s="1"/>
  <c r="Q30" i="27"/>
  <c r="R30" i="27" s="1"/>
  <c r="S30" i="27" s="1"/>
  <c r="T30" i="27" s="1"/>
  <c r="U30" i="27" s="1"/>
  <c r="N27" i="27"/>
  <c r="O27" i="27" s="1"/>
  <c r="P27" i="27" s="1"/>
  <c r="Q27" i="27" s="1"/>
  <c r="R27" i="27" s="1"/>
  <c r="S27" i="27" s="1"/>
  <c r="T27" i="27" s="1"/>
  <c r="U27" i="27" s="1"/>
  <c r="J29" i="24" l="1"/>
  <c r="U33" i="27"/>
  <c r="J20" i="21"/>
  <c r="L37" i="24"/>
  <c r="L27" i="21" s="1"/>
  <c r="S37" i="24"/>
  <c r="S27" i="21" s="1"/>
  <c r="R37" i="24"/>
  <c r="R27" i="21" s="1"/>
  <c r="M37" i="24"/>
  <c r="M27" i="21" s="1"/>
  <c r="P37" i="24"/>
  <c r="P27" i="21" s="1"/>
  <c r="S89" i="22"/>
  <c r="S93" i="22" s="1"/>
  <c r="S28" i="21" s="1"/>
  <c r="R89" i="22"/>
  <c r="R93" i="22" s="1"/>
  <c r="R28" i="21" s="1"/>
  <c r="M89" i="22"/>
  <c r="M93" i="22" s="1"/>
  <c r="M28" i="21" s="1"/>
  <c r="M36" i="21" l="1"/>
  <c r="M40" i="21" s="1"/>
  <c r="R36" i="21"/>
  <c r="R40" i="21" s="1"/>
  <c r="H23" i="30"/>
  <c r="H27" i="30" s="1"/>
  <c r="Q37" i="24"/>
  <c r="Q27" i="21" s="1"/>
  <c r="O37" i="24"/>
  <c r="O27" i="21" s="1"/>
  <c r="J21" i="21"/>
  <c r="N37" i="24"/>
  <c r="N27" i="21" s="1"/>
  <c r="O69" i="22"/>
  <c r="Q68" i="22"/>
  <c r="Q64" i="22"/>
  <c r="O64" i="22"/>
  <c r="N64" i="22"/>
  <c r="P62" i="22"/>
  <c r="Q61" i="22"/>
  <c r="P61" i="22"/>
  <c r="O61" i="22"/>
  <c r="N61" i="22"/>
  <c r="L61" i="22"/>
  <c r="O58" i="22"/>
  <c r="O57" i="22"/>
  <c r="Q54" i="22"/>
  <c r="Q53" i="22"/>
  <c r="M150" i="18"/>
  <c r="M46" i="22" s="1"/>
  <c r="N150" i="18"/>
  <c r="N46" i="22" s="1"/>
  <c r="O150" i="18"/>
  <c r="O46" i="22" s="1"/>
  <c r="P150" i="18"/>
  <c r="P46" i="22" s="1"/>
  <c r="Q150" i="18"/>
  <c r="Q46" i="22" s="1"/>
  <c r="R150" i="18"/>
  <c r="R46" i="22" s="1"/>
  <c r="S150" i="18"/>
  <c r="S46" i="22" s="1"/>
  <c r="L150" i="18"/>
  <c r="L46" i="22" s="1"/>
  <c r="L148" i="18"/>
  <c r="M148" i="18"/>
  <c r="M44" i="22" s="1"/>
  <c r="N148" i="18"/>
  <c r="N44" i="22" s="1"/>
  <c r="O148" i="18"/>
  <c r="O44" i="22" s="1"/>
  <c r="P148" i="18"/>
  <c r="P44" i="22" s="1"/>
  <c r="Q148" i="18"/>
  <c r="Q44" i="22" s="1"/>
  <c r="R148" i="18"/>
  <c r="R44" i="22" s="1"/>
  <c r="S148" i="18"/>
  <c r="S44" i="22" s="1"/>
  <c r="M147" i="18"/>
  <c r="M43" i="22" s="1"/>
  <c r="N147" i="18"/>
  <c r="N43" i="22" s="1"/>
  <c r="O147" i="18"/>
  <c r="O43" i="22" s="1"/>
  <c r="P147" i="18"/>
  <c r="P43" i="22" s="1"/>
  <c r="P83" i="22" s="1"/>
  <c r="Q147" i="18"/>
  <c r="Q43" i="22" s="1"/>
  <c r="R147" i="18"/>
  <c r="R43" i="22" s="1"/>
  <c r="S147" i="18"/>
  <c r="S43" i="22" s="1"/>
  <c r="L147" i="18"/>
  <c r="L43" i="22" s="1"/>
  <c r="M142" i="18"/>
  <c r="M38" i="22" s="1"/>
  <c r="N142" i="18"/>
  <c r="N38" i="22" s="1"/>
  <c r="O142" i="18"/>
  <c r="O38" i="22" s="1"/>
  <c r="P142" i="18"/>
  <c r="P38" i="22" s="1"/>
  <c r="Q142" i="18"/>
  <c r="Q38" i="22" s="1"/>
  <c r="R142" i="18"/>
  <c r="R38" i="22" s="1"/>
  <c r="S142" i="18"/>
  <c r="S38" i="22" s="1"/>
  <c r="L142" i="18"/>
  <c r="L38" i="22" s="1"/>
  <c r="M139" i="18"/>
  <c r="M35" i="22" s="1"/>
  <c r="N139" i="18"/>
  <c r="N35" i="22" s="1"/>
  <c r="O139" i="18"/>
  <c r="O35" i="22" s="1"/>
  <c r="P139" i="18"/>
  <c r="P35" i="22" s="1"/>
  <c r="P82" i="22" s="1"/>
  <c r="Q139" i="18"/>
  <c r="Q35" i="22" s="1"/>
  <c r="R139" i="18"/>
  <c r="R35" i="22" s="1"/>
  <c r="S139" i="18"/>
  <c r="S35" i="22" s="1"/>
  <c r="M140" i="18"/>
  <c r="M36" i="22" s="1"/>
  <c r="N140" i="18"/>
  <c r="N36" i="22" s="1"/>
  <c r="O140" i="18"/>
  <c r="O36" i="22" s="1"/>
  <c r="P140" i="18"/>
  <c r="P36" i="22" s="1"/>
  <c r="Q140" i="18"/>
  <c r="Q36" i="22" s="1"/>
  <c r="R140" i="18"/>
  <c r="R36" i="22" s="1"/>
  <c r="S140" i="18"/>
  <c r="S36" i="22" s="1"/>
  <c r="L140" i="18"/>
  <c r="L36" i="22" s="1"/>
  <c r="L139" i="18"/>
  <c r="S134" i="18"/>
  <c r="S30" i="22" s="1"/>
  <c r="R134" i="18"/>
  <c r="R30" i="22" s="1"/>
  <c r="Q134" i="18"/>
  <c r="Q30" i="22" s="1"/>
  <c r="P134" i="18"/>
  <c r="P30" i="22" s="1"/>
  <c r="O134" i="18"/>
  <c r="O30" i="22" s="1"/>
  <c r="N134" i="18"/>
  <c r="N30" i="22" s="1"/>
  <c r="M134" i="18"/>
  <c r="M30" i="22" s="1"/>
  <c r="L134" i="18"/>
  <c r="L30" i="22" s="1"/>
  <c r="S133" i="18"/>
  <c r="S29" i="22" s="1"/>
  <c r="R133" i="18"/>
  <c r="R29" i="22" s="1"/>
  <c r="Q133" i="18"/>
  <c r="Q29" i="22" s="1"/>
  <c r="P133" i="18"/>
  <c r="P29" i="22" s="1"/>
  <c r="O133" i="18"/>
  <c r="O29" i="22" s="1"/>
  <c r="N133" i="18"/>
  <c r="N29" i="22" s="1"/>
  <c r="M133" i="18"/>
  <c r="M29" i="22" s="1"/>
  <c r="L133" i="18"/>
  <c r="S132" i="18"/>
  <c r="S28" i="22" s="1"/>
  <c r="R132" i="18"/>
  <c r="R28" i="22" s="1"/>
  <c r="Q132" i="18"/>
  <c r="Q28" i="22" s="1"/>
  <c r="P132" i="18"/>
  <c r="P28" i="22" s="1"/>
  <c r="O132" i="18"/>
  <c r="O28" i="22" s="1"/>
  <c r="N132" i="18"/>
  <c r="N28" i="22" s="1"/>
  <c r="M132" i="18"/>
  <c r="M28" i="22" s="1"/>
  <c r="L132" i="18"/>
  <c r="L28" i="22" s="1"/>
  <c r="S131" i="18"/>
  <c r="S27" i="22" s="1"/>
  <c r="R131" i="18"/>
  <c r="R27" i="22" s="1"/>
  <c r="Q131" i="18"/>
  <c r="Q27" i="22" s="1"/>
  <c r="P131" i="18"/>
  <c r="P27" i="22" s="1"/>
  <c r="O131" i="18"/>
  <c r="O27" i="22" s="1"/>
  <c r="N131" i="18"/>
  <c r="N27" i="22" s="1"/>
  <c r="M131" i="18"/>
  <c r="M27" i="22" s="1"/>
  <c r="L131" i="18"/>
  <c r="L27" i="22" s="1"/>
  <c r="S130" i="18"/>
  <c r="S26" i="22" s="1"/>
  <c r="R130" i="18"/>
  <c r="R26" i="22" s="1"/>
  <c r="Q130" i="18"/>
  <c r="Q26" i="22" s="1"/>
  <c r="P130" i="18"/>
  <c r="P26" i="22" s="1"/>
  <c r="O130" i="18"/>
  <c r="O26" i="22" s="1"/>
  <c r="N130" i="18"/>
  <c r="N26" i="22" s="1"/>
  <c r="M130" i="18"/>
  <c r="M26" i="22" s="1"/>
  <c r="L130" i="18"/>
  <c r="S127" i="18"/>
  <c r="S23" i="22" s="1"/>
  <c r="R127" i="18"/>
  <c r="R23" i="22" s="1"/>
  <c r="Q127" i="18"/>
  <c r="Q23" i="22" s="1"/>
  <c r="P127" i="18"/>
  <c r="P23" i="22" s="1"/>
  <c r="O127" i="18"/>
  <c r="O23" i="22" s="1"/>
  <c r="N127" i="18"/>
  <c r="N23" i="22" s="1"/>
  <c r="M127" i="18"/>
  <c r="M23" i="22" s="1"/>
  <c r="L127" i="18"/>
  <c r="S126" i="18"/>
  <c r="S22" i="22" s="1"/>
  <c r="R126" i="18"/>
  <c r="R22" i="22" s="1"/>
  <c r="Q126" i="18"/>
  <c r="Q22" i="22" s="1"/>
  <c r="P126" i="18"/>
  <c r="P22" i="22" s="1"/>
  <c r="O126" i="18"/>
  <c r="O22" i="22" s="1"/>
  <c r="N126" i="18"/>
  <c r="N22" i="22" s="1"/>
  <c r="M126" i="18"/>
  <c r="M22" i="22" s="1"/>
  <c r="L126" i="18"/>
  <c r="L22" i="22" s="1"/>
  <c r="S125" i="18"/>
  <c r="S21" i="22" s="1"/>
  <c r="R125" i="18"/>
  <c r="R21" i="22" s="1"/>
  <c r="Q125" i="18"/>
  <c r="Q21" i="22" s="1"/>
  <c r="P125" i="18"/>
  <c r="P21" i="22" s="1"/>
  <c r="O125" i="18"/>
  <c r="O21" i="22" s="1"/>
  <c r="N125" i="18"/>
  <c r="N21" i="22" s="1"/>
  <c r="M125" i="18"/>
  <c r="M21" i="22" s="1"/>
  <c r="L125" i="18"/>
  <c r="L21" i="22" s="1"/>
  <c r="S124" i="18"/>
  <c r="S20" i="22" s="1"/>
  <c r="R124" i="18"/>
  <c r="R20" i="22" s="1"/>
  <c r="Q124" i="18"/>
  <c r="Q20" i="22" s="1"/>
  <c r="P124" i="18"/>
  <c r="P20" i="22" s="1"/>
  <c r="O124" i="18"/>
  <c r="O20" i="22" s="1"/>
  <c r="N124" i="18"/>
  <c r="N20" i="22" s="1"/>
  <c r="M124" i="18"/>
  <c r="M20" i="22" s="1"/>
  <c r="L124" i="18"/>
  <c r="S123" i="18"/>
  <c r="S19" i="22" s="1"/>
  <c r="R123" i="18"/>
  <c r="R19" i="22" s="1"/>
  <c r="Q123" i="18"/>
  <c r="Q19" i="22" s="1"/>
  <c r="P123" i="18"/>
  <c r="P19" i="22" s="1"/>
  <c r="O123" i="18"/>
  <c r="O19" i="22" s="1"/>
  <c r="N123" i="18"/>
  <c r="N19" i="22" s="1"/>
  <c r="M123" i="18"/>
  <c r="M19" i="22" s="1"/>
  <c r="L123" i="18"/>
  <c r="L19" i="22" s="1"/>
  <c r="S122" i="18"/>
  <c r="S18" i="22" s="1"/>
  <c r="R122" i="18"/>
  <c r="R18" i="22" s="1"/>
  <c r="Q122" i="18"/>
  <c r="Q18" i="22" s="1"/>
  <c r="P122" i="18"/>
  <c r="P18" i="22" s="1"/>
  <c r="O122" i="18"/>
  <c r="O18" i="22" s="1"/>
  <c r="N122" i="18"/>
  <c r="N18" i="22" s="1"/>
  <c r="M122" i="18"/>
  <c r="M18" i="22" s="1"/>
  <c r="L122" i="18"/>
  <c r="N29" i="30" l="1"/>
  <c r="N33" i="21" s="1"/>
  <c r="N77" i="31" s="1"/>
  <c r="Q29" i="30"/>
  <c r="Q33" i="21" s="1"/>
  <c r="Q77" i="31" s="1"/>
  <c r="J22" i="21"/>
  <c r="J23" i="21"/>
  <c r="J27" i="21"/>
  <c r="N82" i="22"/>
  <c r="N85" i="22"/>
  <c r="O78" i="22"/>
  <c r="Q74" i="22"/>
  <c r="O79" i="22"/>
  <c r="Q82" i="22"/>
  <c r="P89" i="22"/>
  <c r="P93" i="22" s="1"/>
  <c r="P28" i="21" s="1"/>
  <c r="O85" i="22"/>
  <c r="O82" i="22"/>
  <c r="Q75" i="22"/>
  <c r="Q85" i="22"/>
  <c r="L35" i="22"/>
  <c r="L82" i="22" s="1"/>
  <c r="L89" i="22" s="1"/>
  <c r="L93" i="22" s="1"/>
  <c r="L28" i="21" s="1"/>
  <c r="L23" i="22"/>
  <c r="L29" i="22"/>
  <c r="L44" i="22"/>
  <c r="L18" i="22"/>
  <c r="L20" i="22"/>
  <c r="L26" i="22"/>
  <c r="Q85" i="31" l="1"/>
  <c r="Q83" i="31"/>
  <c r="Q82" i="31"/>
  <c r="N83" i="31"/>
  <c r="N85" i="31"/>
  <c r="M82" i="31"/>
  <c r="S82" i="31"/>
  <c r="L36" i="21"/>
  <c r="L40" i="21" s="1"/>
  <c r="P36" i="21"/>
  <c r="P40" i="21" s="1"/>
  <c r="J33" i="21"/>
  <c r="N89" i="22"/>
  <c r="N93" i="22" s="1"/>
  <c r="Q89" i="22"/>
  <c r="Q93" i="22" s="1"/>
  <c r="Q28" i="21" s="1"/>
  <c r="Q36" i="21" s="1"/>
  <c r="O89" i="22"/>
  <c r="O93" i="22" s="1"/>
  <c r="O28" i="21" s="1"/>
  <c r="B31" i="10"/>
  <c r="O36" i="21" l="1"/>
  <c r="O40" i="21" s="1"/>
  <c r="N28" i="21"/>
  <c r="B38" i="10"/>
  <c r="B32" i="10"/>
  <c r="N36" i="21" l="1"/>
  <c r="N40" i="21" s="1"/>
  <c r="Q40" i="21"/>
  <c r="J28" i="21"/>
  <c r="B33" i="10"/>
  <c r="J36" i="21" l="1"/>
  <c r="J40" i="21"/>
  <c r="N82" i="31" l="1"/>
</calcChain>
</file>

<file path=xl/comments1.xml><?xml version="1.0" encoding="utf-8"?>
<comments xmlns="http://schemas.openxmlformats.org/spreadsheetml/2006/main">
  <authors>
    <author>Auteur</author>
  </authors>
  <commentList>
    <comment ref="B37" authorId="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authors>
    <author>Auteur</author>
  </authors>
  <commentList>
    <comment ref="U33" authorId="0">
      <text>
        <r>
          <rPr>
            <sz val="8"/>
            <color indexed="81"/>
            <rFont val="Tahoma"/>
            <family val="2"/>
          </rPr>
          <t>Waarde voor het vierde kwartaal 2019 kan naar verwachting nog worden ingevuld op basis van vaststelling van dit percentage door de Belastingdienst. Het eerste en tweede kwartaal 2020 zijn geschat op basis van de laatst bekende waarde.</t>
        </r>
      </text>
    </comment>
    <comment ref="U34" authorId="0">
      <text>
        <r>
          <rPr>
            <sz val="8"/>
            <color indexed="81"/>
            <rFont val="Tahoma"/>
            <family val="2"/>
          </rPr>
          <t>Waarde voor het vierde kwartaal 2019 kan naar verwachting nog worden ingevuld op basis van vaststelling van dit percentage door de Belastingdienst. Het eerste en tweede kwartaal 2020 zijn geschat op basis van de laatst bekende waarde.</t>
        </r>
      </text>
    </comment>
    <comment ref="T36" authorId="0">
      <text>
        <r>
          <rPr>
            <sz val="8"/>
            <color indexed="81"/>
            <rFont val="Tahoma"/>
            <family val="2"/>
          </rPr>
          <t>Waarde voor het vierde kwartaal 2019 kan naar verwachting nog worden ingevuld op basis van vaststelling van dit percentage door de Belastingdienst. Het eerste en tweede kwartaal 2020 zijn geschat op basis van de laatst bekende waarde.</t>
        </r>
      </text>
    </comment>
  </commentList>
</comments>
</file>

<file path=xl/comments3.xml><?xml version="1.0" encoding="utf-8"?>
<comments xmlns="http://schemas.openxmlformats.org/spreadsheetml/2006/main">
  <authors>
    <author>Auteur</author>
  </authors>
  <commentList>
    <comment ref="N37" authorId="0">
      <text>
        <r>
          <rPr>
            <sz val="8"/>
            <color indexed="81"/>
            <rFont val="Tahoma"/>
            <family val="2"/>
          </rPr>
          <t>Intergas bestaat in de GAW-berekening nog als afzonderlijke netbeheerder/netdeel. In de x-factorberekening worden de kapitaalkosten van Intergas opgeteld bij Enexis.</t>
        </r>
      </text>
    </comment>
    <comment ref="N38" authorId="0">
      <text>
        <r>
          <rPr>
            <sz val="8"/>
            <color indexed="81"/>
            <rFont val="Tahoma"/>
            <family val="2"/>
          </rPr>
          <t>Intergas bestaat in de GAW-berekening nog als afzonderlijke netbeheerder/netdeel. In de x-factorberekening worden de kapitaalkosten van Intergas opgeteld bij Enexis.</t>
        </r>
      </text>
    </comment>
    <comment ref="N39" authorId="0">
      <text>
        <r>
          <rPr>
            <sz val="8"/>
            <color indexed="81"/>
            <rFont val="Tahoma"/>
            <family val="2"/>
          </rPr>
          <t>Intergas bestaat in de GAW-berekening nog als afzonderlijke netbeheerder/netdeel. In de x-factorberekening worden de kapitaalkosten van Intergas opgeteld bij Enexis.</t>
        </r>
      </text>
    </comment>
  </commentList>
</comments>
</file>

<file path=xl/comments4.xml><?xml version="1.0" encoding="utf-8"?>
<comments xmlns="http://schemas.openxmlformats.org/spreadsheetml/2006/main">
  <authors>
    <author>Auteur</author>
  </authors>
  <commentList>
    <comment ref="O34" authorId="0">
      <text>
        <r>
          <rPr>
            <sz val="8"/>
            <color indexed="81"/>
            <rFont val="Tahoma"/>
            <family val="2"/>
          </rPr>
          <t xml:space="preserve">Efficiëntie kosten van Liander zijn hier verwijderd omdat de tarieven voor het EHD-net maatwerk zijn geworden </t>
        </r>
      </text>
    </comment>
    <comment ref="O37" authorId="0">
      <text>
        <r>
          <rPr>
            <sz val="8"/>
            <color indexed="81"/>
            <rFont val="Tahoma"/>
            <family val="2"/>
          </rPr>
          <t xml:space="preserve">Efficiëntie kosten van Liander zijn hier verwijderd omdat de tarieven voor het EHD-net maatwerk zijn geworden </t>
        </r>
      </text>
    </comment>
  </commentList>
</comments>
</file>

<file path=xl/comments5.xml><?xml version="1.0" encoding="utf-8"?>
<comments xmlns="http://schemas.openxmlformats.org/spreadsheetml/2006/main">
  <authors>
    <author>Auteur</author>
  </authors>
  <commentList>
    <comment ref="U24" authorId="0">
      <text>
        <r>
          <rPr>
            <sz val="8"/>
            <color indexed="81"/>
            <rFont val="Tahoma"/>
            <family val="2"/>
          </rPr>
          <t>Waarde voor 2020 wordt vastgesteld door de meest recente waarde (naar verwachting kwartaal vier) ook te gebruiken als schatting voor ontbrekende kwartalen (eerste en tweede kwartaal van 2020)</t>
        </r>
      </text>
    </comment>
  </commentList>
</comments>
</file>

<file path=xl/comments6.xml><?xml version="1.0" encoding="utf-8"?>
<comments xmlns="http://schemas.openxmlformats.org/spreadsheetml/2006/main">
  <authors>
    <author>Auteur</author>
  </authors>
  <commentList>
    <comment ref="S84" authorId="0">
      <text>
        <r>
          <rPr>
            <sz val="8"/>
            <color indexed="81"/>
            <rFont val="Tahoma"/>
            <family val="2"/>
          </rPr>
          <t>Zebra heeft alleen een richtbedrag voor EHD. Om die reden wordt de correctie nieuwe aansluittaak - deel PAV alleen meegenomen in de Inkomsten EHD 2020.</t>
        </r>
      </text>
    </comment>
    <comment ref="S87" authorId="0">
      <text>
        <r>
          <rPr>
            <sz val="8"/>
            <color indexed="81"/>
            <rFont val="Tahoma"/>
            <family val="2"/>
          </rPr>
          <t>Zebra heeft alleen een richtbedrag voor EHD. Om die reden wordt de correctie nieuwe aansluittaak - deel PAV alleen meegenomen in de Inkomsten EHD 2020.</t>
        </r>
      </text>
    </comment>
  </commentList>
</comments>
</file>

<file path=xl/sharedStrings.xml><?xml version="1.0" encoding="utf-8"?>
<sst xmlns="http://schemas.openxmlformats.org/spreadsheetml/2006/main" count="1267" uniqueCount="493">
  <si>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</si>
  <si>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</si>
  <si>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</si>
  <si>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</si>
  <si>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</si>
  <si>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</si>
  <si>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</si>
  <si>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</si>
  <si>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</si>
  <si>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</si>
  <si>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</si>
  <si>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</si>
  <si>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</si>
  <si>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</si>
  <si>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</si>
  <si>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</si>
  <si>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</si>
  <si>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</si>
  <si>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</si>
  <si>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</si>
  <si>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</si>
  <si>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</si>
  <si>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</si>
  <si>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</si>
  <si>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</si>
  <si>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</si>
  <si>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</si>
  <si>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</si>
  <si>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</si>
  <si>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</si>
  <si>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</si>
  <si>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</si>
  <si>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</si>
  <si>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</si>
  <si>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</si>
  <si>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</si>
  <si>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</si>
  <si>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</si>
  <si>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</si>
  <si>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</si>
  <si>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</si>
  <si>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</si>
  <si>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</si>
  <si>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</si>
  <si>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</si>
  <si>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</si>
  <si>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</si>
  <si>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</si>
  <si>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</si>
  <si>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</si>
  <si>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</si>
  <si>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</si>
  <si>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</si>
  <si>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</si>
  <si>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</si>
  <si>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Nr.</t>
  </si>
  <si>
    <t xml:space="preserve">Verkorte naam </t>
  </si>
  <si>
    <t>Naam bestand extern</t>
  </si>
  <si>
    <t>Beschrijving berekening</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</si>
  <si>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</si>
  <si>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</si>
  <si>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</si>
  <si>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</si>
  <si>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</si>
  <si>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</si>
  <si>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ENDURIS</t>
  </si>
  <si>
    <t>ENEXIS</t>
  </si>
  <si>
    <t>LIANDER</t>
  </si>
  <si>
    <t>RENDO</t>
  </si>
  <si>
    <t>STEDIN</t>
  </si>
  <si>
    <t>WESTLAND</t>
  </si>
  <si>
    <t>ZEBRA</t>
  </si>
  <si>
    <t>In het geschilbesluit 'Invoeding groen gas' van 24 mei 2016 heeft de ACM geoordeeld dat netbeheerders geen transporttarieven in rekening mogen brengen voor de invoeding van groen gas.</t>
  </si>
  <si>
    <t>Bij de vaststelling van de volumes van de netbeheerders over de jaren 2013 tot en met 2015, in het x-factorbesluit 2017-2021, heeft de ACM echter geen rekening gehouden met het feit dat hier ook volumes voor invoeding groen gas onderdeel van uitmaken.</t>
  </si>
  <si>
    <t>VOLUMES PROFIELVERBRUIK: AANTALLEN AANSLUITINGEN</t>
  </si>
  <si>
    <t>Kleinverbruikers</t>
  </si>
  <si>
    <t>=&lt; 10 m3(n)h, jaarverbruik &lt; 500 Nm3</t>
  </si>
  <si>
    <t>#</t>
  </si>
  <si>
    <t>Bron: informatieverzoek Invoeding groen gas 2013-2015</t>
  </si>
  <si>
    <t>=&lt; 10 m3(n)h, jaarverbruik vanaf 500 Nm3 en &lt; 4.000 Nm3</t>
  </si>
  <si>
    <t>=&lt; 10 m3(n)h, jaarverbruik vanaf 4.000 Nm3</t>
  </si>
  <si>
    <t>&gt; 10 en =&lt; 16 m3(n)h</t>
  </si>
  <si>
    <t>&gt; 16 en =&lt; 25 m3(n)h</t>
  </si>
  <si>
    <t>&gt; 25 en =&lt; 40 m3(n)h</t>
  </si>
  <si>
    <t>Profielgrootverbruikers</t>
  </si>
  <si>
    <t>&gt; 40 en =&lt; 65 m3(n)h</t>
  </si>
  <si>
    <t>&gt; 65 en =&lt; 100 m3(n)h</t>
  </si>
  <si>
    <t>&gt; 100 en =&lt; 160 m3(n)h</t>
  </si>
  <si>
    <t>&gt; 160 en =&lt; 250 m3(n)h</t>
  </si>
  <si>
    <t>&gt; 250 m3(n)h</t>
  </si>
  <si>
    <t>VOLUMES TELEMETRIE: AANTALLEN AANSLUITINGEN</t>
  </si>
  <si>
    <t>Telemetrie &lt; 16 bar</t>
  </si>
  <si>
    <t>Hoge druk (&gt;= 200 Mbar en &lt; 16 Bar)</t>
  </si>
  <si>
    <t>Lage druk (&lt; 200 Mbar)</t>
  </si>
  <si>
    <t>Indien geen onderscheid LD/HD: Standaard</t>
  </si>
  <si>
    <t>VOLUMES TELEMETRIE: GECONTRACTEERDE CAPACITEIT</t>
  </si>
  <si>
    <t>Totaal volume indien geen onderscheid LD/HD: Standaard</t>
  </si>
  <si>
    <t>Berekening Gemiddelde volumes invoeding gas 2013-2015</t>
  </si>
  <si>
    <t>TARIEVEN</t>
  </si>
  <si>
    <t>Kleinverbruik (t/m 40 m3/h)</t>
  </si>
  <si>
    <t>Vastrecht (TOVT)</t>
  </si>
  <si>
    <t>Capaciteitsafhankelijk tarief (TAVTc)</t>
  </si>
  <si>
    <t>Profielgrootverbruik ( &gt;40 m3/h)</t>
  </si>
  <si>
    <t>Telemetriegrootverbruik (&lt; 16 bar)</t>
  </si>
  <si>
    <t>Geen onderscheid LD/HD: Standaard</t>
  </si>
  <si>
    <t>REKENCAPACITEITEN</t>
  </si>
  <si>
    <t>Volumes invoeding gas 2013</t>
  </si>
  <si>
    <t>Volumes invoeding gas 2014</t>
  </si>
  <si>
    <t>Volumes invoeding gas 2015</t>
  </si>
  <si>
    <t>Ophalen gegevens voor berekening: Gemiddelde volumes invoeding gas 2013-2015</t>
  </si>
  <si>
    <t xml:space="preserve">Gemiddelde volumes invoeding gas 2013-2015 </t>
  </si>
  <si>
    <t>Voor de kapitaalkosten van lokale heffingen is ook een uitbreiding van de GAW-sheet noodzakelijk. Om tot de juiste kapitaalkosten te komen worden de volgende stappen doorlopen:</t>
  </si>
  <si>
    <t>3. Op het blad 'Dashboard Boekjaar' kunnen nu de afschrijvingen en boekwaarde van afgekochte precario voor Intergas (tegenwoordig onderdeel van Enexis) en RENDO worden afgelezen. Voor alle andere netbeheerders zijn de bedragen nul.</t>
  </si>
  <si>
    <t>In onderstaand overzicht zijn de gegevens opgenomen die voor deze bewerking gebruikt zijn. In de gehele x-factorberekening wordt nu doorgerekend met deze nieuwe gegevens, waarbij de PV overigens niet beïnvloed wordt.</t>
  </si>
  <si>
    <t>KOSTENDATA</t>
  </si>
  <si>
    <t>Transportdienst &lt; 16 Bar</t>
  </si>
  <si>
    <t xml:space="preserve">Precario </t>
  </si>
  <si>
    <t>Gedoogbelastingen</t>
  </si>
  <si>
    <t>Afgekochte precario (Transportdienst)</t>
  </si>
  <si>
    <t>Investeringsbedrag boekjaar precario</t>
  </si>
  <si>
    <t>Afschrijvingen precario</t>
  </si>
  <si>
    <t>Boekwaarde precario</t>
  </si>
  <si>
    <t>RESULTAAT</t>
  </si>
  <si>
    <t>Uitkomsten TI-berekening na aanpassing van gegevens (zie toelichting hierboven)</t>
  </si>
  <si>
    <t>Nacalculatiebedrag</t>
  </si>
  <si>
    <t>2011</t>
  </si>
  <si>
    <t>2012</t>
  </si>
  <si>
    <t>2013</t>
  </si>
  <si>
    <t>2014</t>
  </si>
  <si>
    <t>2015</t>
  </si>
  <si>
    <t>2016</t>
  </si>
  <si>
    <t>2017</t>
  </si>
  <si>
    <t>2018</t>
  </si>
  <si>
    <t>2019</t>
  </si>
  <si>
    <t>2020</t>
  </si>
  <si>
    <t>2021</t>
  </si>
  <si>
    <t>De relatieve wijziging van de consumentenprijsindex wordt berekend uit het quotiënt van van deze index, gepubliceerd in de vierde maand voorafgaande aan het jaar t, en van deze index, gepubliceerd</t>
  </si>
  <si>
    <t>in de zestiende maand voorafgaande aan het jaar t, zoals deze maandelijks wordt vastgesteld door het CBS.</t>
  </si>
  <si>
    <t>%</t>
  </si>
  <si>
    <t>Data rentepercentage tariefcorrecties</t>
  </si>
  <si>
    <t>Toelichting gegevens rentepercentage tariefcorrecties</t>
  </si>
  <si>
    <t>Rentepercentage tariefcorrecties</t>
  </si>
  <si>
    <t>Eerste kwartaal</t>
  </si>
  <si>
    <t>Tweede kwartaal</t>
  </si>
  <si>
    <t>Derde kwartaal</t>
  </si>
  <si>
    <t>Vierde kwartaal</t>
  </si>
  <si>
    <t>Voor bedragen oorspronkelijk in prijspeil 2017</t>
  </si>
  <si>
    <t>Voor bedragen oorspronkelijk in prijspeil 2016</t>
  </si>
  <si>
    <t>Voor bedragen oorspronkelijk in prijspeil 2015</t>
  </si>
  <si>
    <t>Voor bedragen oorspronkelijk in prijspeil 2014</t>
  </si>
  <si>
    <t>Voor bedragen oorspronkelijk in prijspeil 2013</t>
  </si>
  <si>
    <t>Voor bedragen oorspronkelijk in prijspeil 2012</t>
  </si>
  <si>
    <t>Voor bedragen oorspronkelijk in prijspeil 2011</t>
  </si>
  <si>
    <t>Mutatie van bedrag in oorspronkelijk prijspeil naar boekjaar</t>
  </si>
  <si>
    <t>Samengesteld percentage op basis van juli - juli mutatie:</t>
  </si>
  <si>
    <t>Boekjaar waarvoor mutatie rentepercentage berekend wordt:</t>
  </si>
  <si>
    <t>Berekening rentepercentage tariefcorrecties op jaarbasis</t>
  </si>
  <si>
    <t>Berekening mutatie rentepercentage tariefcorrecties over meerdere jaren</t>
  </si>
  <si>
    <t>Berekening op basis van parameters</t>
  </si>
  <si>
    <t>Totale Inkomsten exclusief correcties</t>
  </si>
  <si>
    <t>Begininkomsten 2016</t>
  </si>
  <si>
    <t>X-factor 2017-2021</t>
  </si>
  <si>
    <t>cpi 2017</t>
  </si>
  <si>
    <t>cpi 2018</t>
  </si>
  <si>
    <t>TI 2017 (exclusief correcties)</t>
  </si>
  <si>
    <t>TI 2018 (exclusief correcties)</t>
  </si>
  <si>
    <t>cpi 2019</t>
  </si>
  <si>
    <t>TI 2019 (exclusief correcties)</t>
  </si>
  <si>
    <t>X-factor</t>
  </si>
  <si>
    <t>Begininkomsten</t>
  </si>
  <si>
    <t>Op dit blad worden input gegevens verzameld uit de x-factor modellen.</t>
  </si>
  <si>
    <t>Input x-factoren en begininkomsten</t>
  </si>
  <si>
    <t>COTEQ</t>
  </si>
  <si>
    <t>Met ingang van 1 juli 2017 droeg Stedin het beheer van een deel van haar netgebied over aan Enexis. Het betreft hier het netgebied van Weert, voor zowel gas als elektriciteit.</t>
  </si>
  <si>
    <t>Het te verschuiven TI-bedrag is vastgesteld op basis van door Stedin en Enexis aangeleverde informatie met betrekking tot de aantallen afnemers in het overgedragen netgebied.</t>
  </si>
  <si>
    <t>Het TI-bedrag wat van Stedin wordt verschoven naar Enexis is gebaseerd op het aandeel van de toegestane inkomsten in 2017 van Stedin dat ziet op het netgebied Weert.</t>
  </si>
  <si>
    <t>Ophalen gegevens</t>
  </si>
  <si>
    <t>Begininkomsten 2016 (exclusief correcties) na aanpassing gegevens</t>
  </si>
  <si>
    <t>(virtuele) X-factor 2017-2021 na aanpassing gegevens</t>
  </si>
  <si>
    <t xml:space="preserve">StatLine </t>
  </si>
  <si>
    <t>https://opendata.cbs.nl/#/CBS/nl/dataset/83131NED/table?ts=1528811296678</t>
  </si>
  <si>
    <t>Belastingdienst</t>
  </si>
  <si>
    <t>https://www.belastingdienst.nl/wps/wcm/connect/bldcontentnl/standaard_functies/prive/contact/rechten_en_plichten_bij_de_belastingdienst/belastingrente/overzicht_percentages_belastingrente</t>
  </si>
  <si>
    <t>CPI 2017</t>
  </si>
  <si>
    <t>EUR, pp 2016</t>
  </si>
  <si>
    <t>EUR, pp 2019</t>
  </si>
  <si>
    <t>EUR, pp 2017</t>
  </si>
  <si>
    <t>EUR, pp 2018</t>
  </si>
  <si>
    <t>n.v.t.</t>
  </si>
  <si>
    <t>Informatieverzoek Invoeding groen gas 2013-2015</t>
  </si>
  <si>
    <t>Tarievenbesluit regionale netbeheerders gas 2018</t>
  </si>
  <si>
    <t xml:space="preserve">Parameters </t>
  </si>
  <si>
    <t>Dit procentuele aandeel is berekend in de TI-berekening regionale netbeheerders gas 2018.</t>
  </si>
  <si>
    <t>Berekening richtbedragen</t>
  </si>
  <si>
    <t>Vanuit het oogpunt van kostenoriëntatie is het van belang dat de tariefinkomsten voor de transport- en aansluitdienst de verhouding in onderliggende kosten weerspiegelen.</t>
  </si>
  <si>
    <t>Om de richtbedragen te berekenen worden de volgende stappen doorlopen:</t>
  </si>
  <si>
    <t>- Ten eerste worden de efficiënte kosten voor de eenmalige aansluitdienst (EAV) bepaald aan de hand van gegevens uit het x-factormodel.</t>
  </si>
  <si>
    <t>- Ten tweede worden de efficiënte kosten voor 2016 en 2021 bepaald, onderverdeeld naar de transportdienst, de periodieke aansluitvergoeding (PAV), de EAV en EHD.</t>
  </si>
  <si>
    <t>Berekening aandelen in totale efficiënte kosten</t>
  </si>
  <si>
    <t>Aandeel TD in efficiënte kosten 2016</t>
  </si>
  <si>
    <t>Aandeel AD PAV in efficiënte kosten 2016</t>
  </si>
  <si>
    <t>Aandeel AD EAV in efficiënte kosten 2016</t>
  </si>
  <si>
    <t>Aandeel EHD in efficiënte kosten 2016</t>
  </si>
  <si>
    <t>Aandeel TD in efficiënte kosten 2021</t>
  </si>
  <si>
    <t>Aandeel AD PAV in efficiënte kosten 2021</t>
  </si>
  <si>
    <t>Aandeel AD EAV in efficiënte kosten 2021</t>
  </si>
  <si>
    <t>Aandeel EHD in efficiënte kosten 2021</t>
  </si>
  <si>
    <t>Begininkomsten en x-factoren</t>
  </si>
  <si>
    <t>Verschuiving TI-aandeel Weert van Stedin</t>
  </si>
  <si>
    <t>Nacalculatiebedrag gederfde inkomsten a.g.v. te hoge vaststelling rekenvolumes</t>
  </si>
  <si>
    <t>Correctie gederfde inkomsten a.g.v. te hoge vaststelling rekenvolumes</t>
  </si>
  <si>
    <t>Correctie overdracht Weert</t>
  </si>
  <si>
    <t>doorrekening in GAW-sheet</t>
  </si>
  <si>
    <t>Tarievencode gas, onder 2.3.6.1</t>
  </si>
  <si>
    <t>Tarievencode gas, onder 2.3a.5.1</t>
  </si>
  <si>
    <r>
      <t>m</t>
    </r>
    <r>
      <rPr>
        <sz val="9"/>
        <color theme="1"/>
        <rFont val="Arial"/>
        <family val="2"/>
      </rPr>
      <t>3</t>
    </r>
    <r>
      <rPr>
        <sz val="10"/>
        <color theme="1"/>
        <rFont val="Arial"/>
        <family val="2"/>
      </rPr>
      <t>/uur</t>
    </r>
  </si>
  <si>
    <t>Op dit blad worden input gegevens verzameld voor relevante parameters in de berekening van de Totale Inkomsten</t>
  </si>
  <si>
    <t>Per 1 januari 2017 is netbeheerder Endinet opgegaan in Enexis. Om deze reden zijn de invoedingsvolumes van Endinet opgeteld bij de volumes van Enexis in de roze cellen.</t>
  </si>
  <si>
    <t>Data cpi</t>
  </si>
  <si>
    <t>Toelichting vaststelling jaarlijks cpi-percentage</t>
  </si>
  <si>
    <t>cpi percentage</t>
  </si>
  <si>
    <t>De heffingsrente is na 2012 vervangen door de belastingrente.</t>
  </si>
  <si>
    <t>De belastingrente wordt ieder kwartaal gepubliceerd door het Ministerie van Financiën.</t>
  </si>
  <si>
    <t>Deze percentages zijn te vinden op de websites van de rijksoverheid en de belastingdienst (zie onder voor bron).</t>
  </si>
  <si>
    <t>De paarse cellen betreffen een schatting, op basis van het laatst bekende kwartaal.</t>
  </si>
  <si>
    <t>Bron: https://www.belastingdienst.nl</t>
  </si>
  <si>
    <t>De gegevens zijn afkomstig uit StatLine, zie de reeks: Jaarmutatie consumentenprijsindex; vanaf 1963 (www.cbs.nl)</t>
  </si>
  <si>
    <t>1. Voor de bewerking wordt gebruik gemaakt van de GAW sheet bij x-factorbesluiten RNB’s gas 2017-2021</t>
  </si>
  <si>
    <t>4. Deze gegevens worden vervolgens, na correctie voor het juiste CPI niveau, ingevoerd in de GAW-tabellen in het x-factorbesluit op het blad 'Import GAW' voor de jaren 2013 t/m 2015.</t>
  </si>
  <si>
    <t>Op dit blad worden input gegevens berekend voor relevante parameters in de berekening van de Totale Inkomsten</t>
  </si>
  <si>
    <t>Voor bedragen oorspronkelijk in prijspeil 2018</t>
  </si>
  <si>
    <t>Aangezien de ACM hiervoor deze volumes niet in mindering heeft gebracht, bestaan de rekenvolumes van de netbeheerders voor een deel uit volumes waar geen inkomsten tegenover staan.</t>
  </si>
  <si>
    <t>De berekening is uitgevoerd in het x-factormodel voor reguleringsperiode 2017-2021, op het inputtablad voor deze nacalculatie staat een omschrijving van deze berekening.</t>
  </si>
  <si>
    <t>Aansluitdienst &lt; 16 Bar - aansluitingen t/m 40 m3/n/h</t>
  </si>
  <si>
    <t>Aansluitdienst &lt; 16 Bar - aansluitingen &gt; 40 m3/n/h</t>
  </si>
  <si>
    <t>Deze parameters betreffen achtereenvolgens: cpi en rentepercentage tariefcorrecties</t>
  </si>
  <si>
    <t>Verschuiving TI-aandeel als gevolg van overdracht Weert</t>
  </si>
  <si>
    <t>TI-berekening RNB gas 2018, tabblad "Overdracht Weert TI 2018", cel F257.</t>
  </si>
  <si>
    <t xml:space="preserve">https://www.acm.nl/nl/publicaties/publicatie/16355/GAW-sheet-bij-x-factorbesluiten-RNBs-gas-2017-2021 </t>
  </si>
  <si>
    <t>Berekening totale inkomsten regionale netbeheerders gas 2020</t>
  </si>
  <si>
    <t>Tarievenbesluiten regionale netbeheerders gas 2020</t>
  </si>
  <si>
    <t>Individuele tarievenmodules RNB gas 2020</t>
  </si>
  <si>
    <t>TI-berekening 2020</t>
  </si>
  <si>
    <t>cpi 2020</t>
  </si>
  <si>
    <t>EUR, pp 2020</t>
  </si>
  <si>
    <t>TI 2020 (exclusief correcties)</t>
  </si>
  <si>
    <t>Correcties in tarieven 2020</t>
  </si>
  <si>
    <t>Lokale heffingen 2018</t>
  </si>
  <si>
    <t>Overdracht Weert TI 2020</t>
  </si>
  <si>
    <t>Totaalbedrag Correcties in TI 2020</t>
  </si>
  <si>
    <t>Totale Inkomsten 2020 (incl. correcties)</t>
  </si>
  <si>
    <t>Totale Inkomsten 2020 inclusief correcties</t>
  </si>
  <si>
    <t>Invoeding groen gas 2019</t>
  </si>
  <si>
    <t>Voor bedragen oorspronkelijk in prijspeil 2019</t>
  </si>
  <si>
    <t>Overdracht netgebied Weert TI 2020</t>
  </si>
  <si>
    <t>In de tarieven van 2020 zal de ACM rekening houden met de verschuiving van tariefruimte tussen Stedin en Enexis.</t>
  </si>
  <si>
    <t>De ACM past dit procentuele aandeel  toe op de toegestane inkomsten (excl. correcties) van Stedin in het jaar 2020 om de tussen Stedin en Enexis te verschuiven tariefruimte te bepalen.</t>
  </si>
  <si>
    <t>TI (excl. correcties) Stedin 2020</t>
  </si>
  <si>
    <t>Te verschuiven tariefruimte Weert 2020</t>
  </si>
  <si>
    <t>Op dit blad worden input gegevens verzameld voor de nacalculatie 'Lokale heffingen 2018'. De berekening is uitgevoerd in het kostenbestand behorende bij de x-factorberekeningen RNB’s gas 2017-2021.</t>
  </si>
  <si>
    <t>Voor de operationele kosten van lokale heffingen wordt gebruik gemaakt van de reguleringsdata over 2018. Deze bedragen worden, na correctie voor het juiste CPI niveau, ingevoerd op het blad 'Import kosten 2012-2015' voor de jaren 2013 t/m 2015.</t>
  </si>
  <si>
    <t>2. Op blad InpC wordt de CPI ingevuld voor 2018 (1,4%).</t>
  </si>
  <si>
    <t>Toegestane inkomsten voor 2018 o.b.v. daadwerkelijke kosten voor lokale heffingen</t>
  </si>
  <si>
    <t>Operationele kosten Lokale Heffingen 2018 op basis van RD2018</t>
  </si>
  <si>
    <t>Kapitaalkosten die volgen uit bewerkte GAW-berekening voor kosten Precario-afkoop 2018</t>
  </si>
  <si>
    <t>Toegestane inkomsten voor 2018 o.b.v.  geschatte kosten voor lokale heffingen</t>
  </si>
  <si>
    <t>berekening-totale-inkomsten-2018-regionaal-netbeheer-gas</t>
  </si>
  <si>
    <t>TI-berekening RNB G 2018</t>
  </si>
  <si>
    <t>Reguleringsdata 2018</t>
  </si>
  <si>
    <t>https://www.acm.nl/nl/publicaties/berekening-totale-inkomsten-2018-regionaal-netbeheer-gas</t>
  </si>
  <si>
    <t>Reguleringsdata 2018, tabel 3A - Operat. kosten TD, cel 3A.A.44</t>
  </si>
  <si>
    <t>Reguleringsdata 2018, tabel 3A - Operat. kosten TD, cel 3A.A.45</t>
  </si>
  <si>
    <t>Reguleringsdata 2018, Tabel 3B - Operat. kosten AD, cel 3B.A.3</t>
  </si>
  <si>
    <t>Reguleringsdata 2018, Tabel 3B - Operat. kosten AD, cel 3B.A.4</t>
  </si>
  <si>
    <t>Reguleringsdata 2018, Tabel 3B - Operat. kosten AD, cel 3B.B.43</t>
  </si>
  <si>
    <t>Reguleringsdata 2018, Tabel 3B - Operat. kosten AD, cel 3B.B.44</t>
  </si>
  <si>
    <t>Op dit blad worden input gegevens verzameld voor de nacalculatie 'Invoeding groen gas 2019'.</t>
  </si>
  <si>
    <t>Ten behoeve van de nacalculatie worden op dit tabblad de tarieven 2019 en de invoedingsvolumes per netbeheerder opgehaald voor de jaren 2013 tot en met 2015.</t>
  </si>
  <si>
    <t>Tarieven en rekencapaciteiten 2019</t>
  </si>
  <si>
    <t>Tarievenbesluit regionale netbeheerders gas 2019</t>
  </si>
  <si>
    <t>Berekening nacalculatie ORV Lokale Heffingen 2018</t>
  </si>
  <si>
    <t>In deze nacalculatie wordt bepaald welk inkomstenbedrag de netbeheerders gekregen zouden hebben wanneer de gegevens over lokale heffingen over 2018 bekend zouden zijn geweest bij het vaststellen van de x-factoren voor de reguleringsperiode 2017-2021 (REG2017).</t>
  </si>
  <si>
    <t>Het verschil tussen dit inkomstenbedrag en het inkomstenbedrag zoals bepaald in het tarievenbesluit 2018 (exclusief correcties), geeft het nacalculatiebedrag.</t>
  </si>
  <si>
    <t>CPI 2018</t>
  </si>
  <si>
    <t>Toegestane Inkomsten 2018 o.b.v. virtuele x-factor</t>
  </si>
  <si>
    <t>Nacalculatiebedrag Lokale Heffingen 2018</t>
  </si>
  <si>
    <t>Mutatie rentepercentage van 2018 naar 2020</t>
  </si>
  <si>
    <t>Correctie Lokale Heffingen 2018</t>
  </si>
  <si>
    <t>De ACM berekent het nacalculatiebedrag voor de te hoog vastgestelde rekenvolumes door de gemiddelde volumes voor invoeding groen gas in de jaren 2013 tot en met 2015 te vermenigvuldigen met de tarieven voor het jaar 2019.</t>
  </si>
  <si>
    <t>Ophalen gegevens voor berekening: Tarieven en rekencapaciteiten 2019</t>
  </si>
  <si>
    <t>Gemiste omzet 2019</t>
  </si>
  <si>
    <t>Mutatie rentepercentage van 2019 naar 2020</t>
  </si>
  <si>
    <t>Ten behoeve hiervan neemt de ACM hier een berekening op van de richtbedragen voor de transport- en aansluitdienst, op basis van het nieuwe x-factormodel voor de periode 2017-2021.</t>
  </si>
  <si>
    <t>De op dit tabblad berekende bedragen zijn enkel van toepassing binnen de context van de berekening van de richtbedragen voor de tarievenbesluiten 2020.</t>
  </si>
  <si>
    <t>- Op basis van de aandelen in de inkomsten voor het jaar 2020 worden de richtbedragen bepaald.</t>
  </si>
  <si>
    <t>Inkomsten TD 2020 o.b.v. ingroei</t>
  </si>
  <si>
    <t>Inkomsten EHD 2020 o.b.v. ingroei</t>
  </si>
  <si>
    <t>- Vervolgens worden op basis van de aandelen in de efficiënte kosten in de jaren 2016 en 2021 de aandelen in de inkomsten voor het jaar 2020 bepaald.</t>
  </si>
  <si>
    <t>Input nacalculatie na wijziging x-factoren n.a.v. uitspraak EHD CBb</t>
  </si>
  <si>
    <t xml:space="preserve">Hieruit volgen nieuwe bedragen voor de TI voor de jaren 2017, 2018 en 2019. Dit betreft de zgn. 'kale' TI, de TI zonder nacalculaties. </t>
  </si>
  <si>
    <t>TI-bedragen 2017-2019</t>
  </si>
  <si>
    <t>Gewijzigde kale TI-bedragen 2017-2019</t>
  </si>
  <si>
    <t>Begininkomsten 2016 (exclusief correcties)</t>
  </si>
  <si>
    <t>CPI 2019</t>
  </si>
  <si>
    <t>Berekening nacalculatie na wijziging x-factoren n.a.v. uitspraak EHD CBb</t>
  </si>
  <si>
    <t>Berekening nieuwe kale TI bedragen</t>
  </si>
  <si>
    <t>Nieuwe kale TI-bedrag 2017 (exclusief correcties)</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</si>
  <si>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</si>
  <si>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</si>
  <si>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Data en input (bron wordt vermeld)</t>
  </si>
  <si>
    <t>In dit bestand worden de berekeningen gepresenteerd voor de vaststelling van de tarieven voor 2020, inclusief de berekening van de nacalculatiebedragen.</t>
  </si>
  <si>
    <t>Dit Excel-bestand bevat de berekening van de Totale Inkomsten (TI) voor het jaar 2020 voor de regionale netbeheerders gas.</t>
  </si>
  <si>
    <t>Deze berekeningen maken onderdeel uit van de tarievenbesluiten gas 2020.</t>
  </si>
  <si>
    <t>Deze verrekening heeft ten hoogste betrekking op de gederfde tariefinkomsten gedurende twee maanden voorafgaand aan het moment waarop de vergunninghouder in staat van faillissement is verklaard.</t>
  </si>
  <si>
    <t>Dit moment wordt in de Tarievencode Gas gespecificeerd als de datum waarop melding wordt gemaakt van het betreffende faillissement in de Staatscourant.</t>
  </si>
  <si>
    <t>De netbeheerder dient een verzoek tot correctie te voorzien van een goedkeurende accountantsverklaring van de gederfde inkomsten.</t>
  </si>
  <si>
    <t>Inkomsten die de netbeheerder in een later stadium alsnog heeft kunnen verhalen op de failliete boedel worden in mindering gebracht op de tarieven twee jaar na het jaar van het einde van het faillissement van de vergunninghouder.</t>
  </si>
  <si>
    <t>Input Faillissement Flexenergie B.V. 2018</t>
  </si>
  <si>
    <t>Op 22 oktober 2018 heeft de Rechtbank Midden Nederland het faillissement van Flexenergie B.V. uitgesproken. Op basis van de Tarievencode Gas mogen gederfde inkomsten als gevolg van toepassing van het leveranciersmodel worden verrekend in de tarieven van de netbeheerder.</t>
  </si>
  <si>
    <t xml:space="preserve">Voor Flexenergie B.V. is dit 24 oktober 2018, wat betekent dat alleen gederfde tariefinkomsten vanaf 24 augustus 2018 tot en met 23 oktober 2018 kunnen worden verrekend. </t>
  </si>
  <si>
    <t>Gederfde inkomsten</t>
  </si>
  <si>
    <t>Gederfde inkomsten in twee maanden voorafgaand aan faillissement</t>
  </si>
  <si>
    <t>Informatieverzoek faillissement leveranciers</t>
  </si>
  <si>
    <t>Berekening nacalculatie Faillissement Flexenergie B.V. 2018</t>
  </si>
  <si>
    <t>Faillissement EnergieFlex 2018</t>
  </si>
  <si>
    <t>Correctie faillissement Energieflex 2018</t>
  </si>
  <si>
    <t>Op dit tabblad worden de totale inkomsten (inclusief correcties) berekend. Dit gebeurt door de wettelijke formule toe te passen op de begininkomsten, dit resulteert in de TI 2020 (exclusief correcties). Hierop worden vervolgens correcties toegepast.</t>
  </si>
  <si>
    <t xml:space="preserve">Als gevolg van het faillissement ontvangen de netbeheerders een vergoeding voor de gederfde inkomsten in de twee maanden voor de uitspraak van het faillissement. </t>
  </si>
  <si>
    <t>De te ontvangen vergoeding is inclusief heffingsrente. Op dit tabblad berekent de ACM het correctiebedrag gederfde inkomsten inclusief heffingsrente.</t>
  </si>
  <si>
    <t>Nieuwe kale TI-bedrag 2018 (exclusief correcties)</t>
  </si>
  <si>
    <t>Nieuwe kale TI-bedrag 2019 (exclusief correcties)</t>
  </si>
  <si>
    <t>Nacalculatiebedrag 2019</t>
  </si>
  <si>
    <t>Nacalculatiebedrag 2017</t>
  </si>
  <si>
    <t>Nacalculatiebedrag 2018</t>
  </si>
  <si>
    <t>Mutatie rentepercentage van 2017 naar 2020</t>
  </si>
  <si>
    <t>Correctie over 2017</t>
  </si>
  <si>
    <t>Correctie over 2018</t>
  </si>
  <si>
    <t>Correctie over 2019</t>
  </si>
  <si>
    <t>Transportdienst EHD (&gt;= 16 bar)</t>
  </si>
  <si>
    <t>Eenmalige Aansluitvergoeding &gt; 40 m3(n)/h (alleen aansluitpunt) EHD</t>
  </si>
  <si>
    <t>vanaf 40 m3(n)/h</t>
  </si>
  <si>
    <t>Periodieke Aansluitvergoeding &gt; 40 m3(n)/h (alleen aansluitpunt) EHD</t>
  </si>
  <si>
    <t>Gewijzigde rekenvolumina</t>
  </si>
  <si>
    <t>Tarieven 2017</t>
  </si>
  <si>
    <t>Tarieven 2019</t>
  </si>
  <si>
    <t>Tarieven 2018</t>
  </si>
  <si>
    <t>EUR/jaar</t>
  </si>
  <si>
    <t>EUR/jaar/m3/h</t>
  </si>
  <si>
    <t>EUR</t>
  </si>
  <si>
    <t>Inkomsten o.b.v. herziene rekenvolumes en tarieven 2017-2019</t>
  </si>
  <si>
    <t xml:space="preserve">Tarieven 2017 maal gewijzigde rekenvolumes </t>
  </si>
  <si>
    <t>Aandeel EHD in inkomsten 2017 o.b.v. ingroei</t>
  </si>
  <si>
    <t>Aandeel EHD in inkomsten 2018 o.b.v. ingroei</t>
  </si>
  <si>
    <t>Aandeel EHD in inkomsten 2019 o.b.v. ingroei</t>
  </si>
  <si>
    <t>Berekening richtbedrag EHD gewijzigde kale TI bedragen</t>
  </si>
  <si>
    <t>Richtbedrag EHD gewijzigde kale TI-bedragen</t>
  </si>
  <si>
    <t xml:space="preserve">Tarieven 2018 maal gewijzigde rekenvolumes </t>
  </si>
  <si>
    <t xml:space="preserve">Tarieven 2019 maal gewijzigde rekenvolumes </t>
  </si>
  <si>
    <t>- Vervolgens worden op basis van de aandelen in de efficiënte kosten in de jaren 2016 en 2021 de aandelen in de inkomsten voor het jaar 2018 bepaald.</t>
  </si>
  <si>
    <t>- Op basis van de aandelen in de inkomsten voor het jaar 2018 worden de richtbedragen bepaald.</t>
  </si>
  <si>
    <t>Berekening efficiënte kosten EAV</t>
  </si>
  <si>
    <t>EAV 2013</t>
  </si>
  <si>
    <t>EAV 2014</t>
  </si>
  <si>
    <t>EAV 2015</t>
  </si>
  <si>
    <t>PV</t>
  </si>
  <si>
    <t>cpi 2017-2021</t>
  </si>
  <si>
    <t>Efficiënte kosten 2016 AD</t>
  </si>
  <si>
    <t>Efficiënte kosten 2021 AD</t>
  </si>
  <si>
    <t>Efficiënte kosten EAV 2016</t>
  </si>
  <si>
    <t>Efficiënte kosten EAV 2021</t>
  </si>
  <si>
    <t>€, pp 2013</t>
  </si>
  <si>
    <t>€, pp 2014</t>
  </si>
  <si>
    <t>€, pp 2015</t>
  </si>
  <si>
    <t>€, pp 2016</t>
  </si>
  <si>
    <t>€, pp 2021</t>
  </si>
  <si>
    <t>Berekening totale efficiënte kosten</t>
  </si>
  <si>
    <t>Efficiënte kosten 2016 TD</t>
  </si>
  <si>
    <t>Efficiënte kosten 2016 AD PAV</t>
  </si>
  <si>
    <t>Efficiënte kosten 2016 AD EAV</t>
  </si>
  <si>
    <t>Efficiënte kosten 2016 EHD</t>
  </si>
  <si>
    <t>Efficiënte kosten 2016</t>
  </si>
  <si>
    <t>Efficiënte kosten 2021 TD</t>
  </si>
  <si>
    <t>Efficiënte kosten 2021 AD PAV</t>
  </si>
  <si>
    <t>Efficiënte kosten 2021 AD EAV</t>
  </si>
  <si>
    <t>Efficiënte kosten 2021 EHD</t>
  </si>
  <si>
    <t>Efficiënte kosten 2021</t>
  </si>
  <si>
    <t>Bron: herzien X-factor model REG2017, tabblad 'Totale kosten AD maatstaf', rij 21</t>
  </si>
  <si>
    <t>Bron: herzien X-factor model REG2017, tabblad 'Totale kosten AD maatstaf', rij 32</t>
  </si>
  <si>
    <t>Bron: herzien X-factor model REG2017, tabblad 'Totale kosten AD maatstaf', rij 43</t>
  </si>
  <si>
    <t>Bron: herzien X-factor model REG2017, tabblad 'Productiviteitsverandering', rij 52</t>
  </si>
  <si>
    <t>Bron: herzien X-factor model REG2017, tabblad 'WACC en cpi', rij 53</t>
  </si>
  <si>
    <t>Bron: herzien X-factor model REG2017, tabblad 'Totale kosten AD maatstaf', rij 124</t>
  </si>
  <si>
    <t>Bron: herzien X-factor model REG2017, tabblad 'X-factor + TI-bedragen', rij 61</t>
  </si>
  <si>
    <t>Bron: herzien X-factor model REG2017, tabblad 'Totale kosten AD maatstaf', rij 115</t>
  </si>
  <si>
    <t>Bron: herzien X-factor model REG2017, tabblad 'X-factor + TI-bedragen', rij 36</t>
  </si>
  <si>
    <t>Bron: herzien X-factor model REG2017, tabblad 'X-factor + TI-bedragen', rij 66</t>
  </si>
  <si>
    <t>Bron: herzien X-factor model REG2017, tabblad 'X-factor + TI-bedragen', rij 46</t>
  </si>
  <si>
    <t>Bron: herzien X-factor model REG2017, tabblad 'X-factor + TI-bedragen', rij 76</t>
  </si>
  <si>
    <t>Ten behoeve hiervan neemt ACM hier een berekening op van de richtbedragen voor de transport- en aansluitdienst, op basis van het herziene x-factormodel voor de periode 2017-2021.</t>
  </si>
  <si>
    <t>Input richtbedragen</t>
  </si>
  <si>
    <t xml:space="preserve">Beschrijving </t>
  </si>
  <si>
    <t>Ophalen efficiënte kosten EAV</t>
  </si>
  <si>
    <t>Berekening efficiënte kosten</t>
  </si>
  <si>
    <t xml:space="preserve">Berekening aandelen in totale efficiënte kosten </t>
  </si>
  <si>
    <t>EUR, pp 2013</t>
  </si>
  <si>
    <t>EUR, pp 2014</t>
  </si>
  <si>
    <t>EUR, pp 2015</t>
  </si>
  <si>
    <t>EUR, pp 2021</t>
  </si>
  <si>
    <t>Herzien X-factor model REG2017, tabblad 'X-factor + TI-bedragen', rij 85</t>
  </si>
  <si>
    <t>Herzien X-factor model REG2017, tabblad 'X-factor + TI-bedragen', rij 81</t>
  </si>
  <si>
    <t>Tarievenbesluit 2018, tabblad 'bijlage 2 Tarieven', regel 138</t>
  </si>
  <si>
    <t>Tarievenbesluit 2018, tabblad 'bijlage 2 Tarieven', regel 139</t>
  </si>
  <si>
    <t>Tarievenbesluit 2018, tabblad 'bijlage 2 Tarieven', regel 142</t>
  </si>
  <si>
    <t>Tarievenbesluit 2018, tabblad 'bijlage 2 Tarieven', regel 145</t>
  </si>
  <si>
    <t>Tarievenbesluit 2019, tabblad 'bijlage 2 Tarieven', regel 138</t>
  </si>
  <si>
    <t>Tarievenbesluit 2019, tabblad 'bijlage 2 Tarieven', regel 139</t>
  </si>
  <si>
    <t>Tarievenbesluit 2019, tabblad 'bijlage 2 Tarieven', regel 142</t>
  </si>
  <si>
    <t>Tarievenbesluit 2019, tabblad 'bijlage 2 Tarieven', regel 145</t>
  </si>
  <si>
    <t>Tarievenbesluit 2017, tabblad 'bijlage 2 Tarieven', regel 138</t>
  </si>
  <si>
    <t>Tarievenbesluit 2017, tabblad 'bijlage 2 Tarieven', regel 139</t>
  </si>
  <si>
    <t>Tarievenbesluit 2017, tabblad 'bijlage 2 Tarieven', regel 142</t>
  </si>
  <si>
    <t>Tarievenbesluit 2017, tabblad 'bijlage 2 Tarieven', regel 145</t>
  </si>
  <si>
    <t>Als gevolg van het herstel van de x-factor en rekenvoluminabesluiten voor de reguleringsperiode 2017-2021, zouden Enduris, Enexis en Zebra andere totale inkomsten hebben gekend voor de jaren 2017, 2018 en 2019.</t>
  </si>
  <si>
    <t>Herzien SO-bestand, tabblad met rekenvolume van desbetreffende netbeheerder, regel 28</t>
  </si>
  <si>
    <t>Herzien SO-bestand, tabblad met rekenvolume van desbetreffende netbeheerder, regel 29</t>
  </si>
  <si>
    <t>Herzien SO-bestand, tabblad met rekenvolume van desbetreffende netbeheerder, regel 77</t>
  </si>
  <si>
    <t>Herzien SO-bestand, tabblad met rekenvolume van desbetreffende netbeheerder, regel 139</t>
  </si>
  <si>
    <t>Input nieuwe taken 2020</t>
  </si>
  <si>
    <t>Correcties</t>
  </si>
  <si>
    <t>Netverliezen gas</t>
  </si>
  <si>
    <t>Nieuwe aansluittaak</t>
  </si>
  <si>
    <t>Omdat met deze taken nog geen rekening is gehouden in het methodebesluit en de x-factorbesluiten, maakt de ACM een correctie voor de efficiënte kosten voor deze taken.</t>
  </si>
  <si>
    <t>De ACM heeft de efficiënte kosten voor beide taken in een separaat Excelbestand vastgesteld.</t>
  </si>
  <si>
    <t>In de huidige module verwerkt de ACM de uitkomsten hiervan in de TI-berekening.</t>
  </si>
  <si>
    <t>Berekening kosten netverliezen</t>
  </si>
  <si>
    <t>Berekening kosten nieuwe aansluittaak</t>
  </si>
  <si>
    <t>Per 1 januari zullen de regionale netbeheerders twee nieuwe gereguleerde taken uitvoeren, namelijk (1) de inkoop van netverliezen gas en (2) de nieuwe aansluittaak, waarbij nu ook de rest van de aansluiting van grootverbruikers binnen het gereguleerde domein valt.</t>
  </si>
  <si>
    <t>Gewijzigde x-factoren n.a.v. uitspraak CBb EHD</t>
  </si>
  <si>
    <t>Correctie  gewijzigde x-factoren n.a.v. uitspraak EHD CBb</t>
  </si>
  <si>
    <t>Aandeel TD in inkomsten 2020 o.b.v. ingroei</t>
  </si>
  <si>
    <t>Aandeel AD PAV in inkomsten 2020 o.b.v. ingroei</t>
  </si>
  <si>
    <t>Aandeel AD EAV in inkomsten 2020 o.b.v. ingroei</t>
  </si>
  <si>
    <t>Aandeel EHD in inkomsten 2020 o.b.v. ingroei</t>
  </si>
  <si>
    <t>16355_regionale-netbeheerders-gas-2017-2021-gaw-sheet - aanpassing nacalculatie LH 2018</t>
  </si>
  <si>
    <t>Bijlage-2-tarievenblad-coteq-gas-2018; Bijlage-2-tarievenblad-enduris-gas-2018; Bijlage-2-tarievenblad-Enexis-gas-2018; Bijlage-2-tarievenblad-Liander-gas-2018; Bijlage-2-tarievenblad-RENDO-gas-2018; Bijlage-2-tarievenblad-Stedin-gas-2018; Bijlage-2-tarievenblad-Westland-gas-2018; Bijlage-2-tarievenblad-Zebra-gas-2018</t>
  </si>
  <si>
    <t>Bijlage-2-tarievenblad-coteq-gas-2019; Bijlage-2-tarievenblad-enduris-gas-2019; Bijlage-2-tarievenblad-Enexis-gas-2019; Bijlage-2-tarievenblad-Liander-gas-2019; Bijlage-2-tarievenblad-RENDO-gas-2019; Bijlage-2-tarievenblad-Stedin-gas-2019; Bijlage-2-tarievenblad-Westland-gas-2019; Bijlage-2-tarievenblad-Zebra-gas-2018</t>
  </si>
  <si>
    <t>Nieuwe aansluittaak - deel PAV</t>
  </si>
  <si>
    <t>Nieuwe aansluittaak - deel EAV</t>
  </si>
  <si>
    <t>TI-bedrag 2018 o.b.v. herziene x-factorberekening</t>
  </si>
  <si>
    <t>Verschil op basis van oude en herziene TI-bedragen 2017</t>
  </si>
  <si>
    <t>Verschil op basis van oude en herziene TI-bedragen 2018</t>
  </si>
  <si>
    <t>Verschil op basis van oude en herziene TI-bedragen 2019</t>
  </si>
  <si>
    <t>Zebra heeft aangegeven in 2017 geen schade te hebben geleden van de foutief vastgestelde x-factoren</t>
  </si>
  <si>
    <t>Zebra heeft aangegeven in 2018 geen schade te hebben geleden van de foutief vastgestelde x-factoren</t>
  </si>
  <si>
    <t>Zebra heeft aangegeven tot en met augustus 2019 geen schade te hebben geleden van de foutief vastgestelde x-factoren</t>
  </si>
  <si>
    <t>Totaalbedrag Correcties in TI 2017</t>
  </si>
  <si>
    <t>Totaalbedrag Correcties in TI 2018</t>
  </si>
  <si>
    <t>Totaalbedrag Correcties in TI 2019</t>
  </si>
  <si>
    <t>Nieuwe kale TI-bedrag 2017 (inclusief correcties)</t>
  </si>
  <si>
    <t>Nieuwe kale TI-bedrag 2018 (inclusief correcties)</t>
  </si>
  <si>
    <t>Nieuwe kale TI-bedrag 2019 (inclusief correcties)</t>
  </si>
  <si>
    <t>Correcties in tariefbesluiten</t>
  </si>
  <si>
    <t>Nieuwe kale TI-bedragen exclusief correcties</t>
  </si>
  <si>
    <t>Nieuwe kale TI-bedragen inclusief correcties</t>
  </si>
  <si>
    <t xml:space="preserve">Richtbedrag EHD gewijzigd TI-bedrag 2017 </t>
  </si>
  <si>
    <t xml:space="preserve">Richtbedrag EHD gewijzigd TI-bedrag 2018 </t>
  </si>
  <si>
    <t xml:space="preserve">Richtbedrag EHD gewijzigd TI-bedrag 2019 </t>
  </si>
  <si>
    <t>Inkomsten AD PAV 2020 o.b.v. ingroei - bestaande taken</t>
  </si>
  <si>
    <t>Inkomsten AD EAV 2020 o.b.v. ingroei - bestaande taken</t>
  </si>
  <si>
    <t>Inkomsten AD PAV 2020 - nieuwe taken</t>
  </si>
  <si>
    <t>Inkomsten AD EAV 2020 - nieuwe taken</t>
  </si>
  <si>
    <t>Herzien X-factor model REG2017, tabblad 'x-factor + TI-bedragen', rij 81, na aanpassing van gegevens zoals boven beschreven</t>
  </si>
  <si>
    <t>Herzien X-factor model REG2017, tabblad 'x-factor + TI-bedragen', rij 85, na aanpassing van gegevens zoals boven beschreven</t>
  </si>
  <si>
    <t xml:space="preserve">Als gevolg van het herstel van de x-factor en rekenvoluminabesluiten voor de reguleringsperiode 2017-2021, zouden netbeheerders andere totale inkomsten hebben gekend voor de jaren 2017, 2018 en 2019. </t>
  </si>
  <si>
    <t xml:space="preserve">De ACM heeft het correctiebedrag bepaald door het verschil te berekenen tussen deze gewijzigde totale inkomsten voor de jaren 2017, 2018 en 2019 (inclusief nacalculaties in de desbetreffende jaren) en de inkomsten op basis van het product van de herziene rekenvolumes en de oorspronkelijke tarieven van 2017, 2018 en 2019. </t>
  </si>
  <si>
    <t>Voor zover de netbeheerders als gevolg van de foutief vastgestelde x-factoren en rekenvolumes geen negatieve effecten hebben ondervonden, zal de ACM de nacalculatie daarvoor corrigeren.</t>
  </si>
  <si>
    <t>Hieruit volgen nieuwe bedragen voor de TI voor de jaren 2017, 2018 en 2019. Op dit tabblad haalt de ACM de gewijzigde rekenvolumes  en de bestaande tarieven op.</t>
  </si>
  <si>
    <t>Btw</t>
  </si>
  <si>
    <t>TI 2020 (inclusief correcties, m.u.v. nieuwe taken en EHD)</t>
  </si>
  <si>
    <t>De opgegeven gederfde inkomsten zijn exclusief btw. Op dit tabblad verhoogt de ACM de gederfde inkomsten met de btw.</t>
  </si>
  <si>
    <t>Data belastingen</t>
  </si>
  <si>
    <t>Deze parameters betreffen achtereenvolgens de cpi, het rentepercentage tariefcorrecties en de btw</t>
  </si>
  <si>
    <t>- Uitzondering hierop vormen de inkomsten als gevolg van de nieuwe taken en de correctie EHD. Deze worden afzonderlijk meegenomen in het berekenen van de richtbedragen voor de TD, AD PAV, AD EAV en EHD.</t>
  </si>
  <si>
    <t>20190926 Berekening kosten netverliezen RNB G - aangepaste versie</t>
  </si>
  <si>
    <t xml:space="preserve">20190910 Berekening kosten nieuwe aansluittaak RNB G </t>
  </si>
  <si>
    <t>Berekening kosten nieuwe aansluittaak, tabblad 'resultaat', regel 18</t>
  </si>
  <si>
    <t>Berekening kosten nieuwe aansluittaak, tabblad 'resultaat', regel 19</t>
  </si>
  <si>
    <t>Berekening totale inkomsten regionale netbeheerders gas 2020 - aangepaste versie</t>
  </si>
  <si>
    <t>Berekening kosten netverliezen, tabblad 'resultaat', regel 13</t>
  </si>
  <si>
    <t>Ja</t>
  </si>
  <si>
    <t>Herzien X-factor model REG2017</t>
  </si>
  <si>
    <t>herzien_regionale-netbeheerders-gas-2017-2021-x-factorberekening</t>
  </si>
  <si>
    <t>https://www.acm.nl/nl/publicaties/x-factorberekening-bij-herziene-x-factorbesluiten-rnbs-gas-2017-2021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</si>
</sst>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_-;_-* #,##0\-;_-* &quot;-&quot;??_-;_-@_-"/>
    <numFmt numFmtId="165" formatCode="_ * #,##0_ ;_ * \-#,##0_ ;_ * &quot;-&quot;??_ ;_ @_ "/>
    <numFmt numFmtId="166" formatCode="0.0%"/>
    <numFmt numFmtId="167" formatCode="_-* #,##0_-;_-* #,##0\-;_-* &quot;-&quot;_-;_-@_-"/>
    <numFmt numFmtId="168" formatCode="_ * #,##0.0000_ ;_ * \-#,##0.0000_ ;_ * &quot;-&quot;??_ ;_ @_ "/>
  </numFmts>
  <fonts count="37" x14ac:knownFonts="1">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b/>
      <sz val="14"/>
      <color rgb="FFFF0000"/>
      <name val="Arial"/>
      <family val="2"/>
    </font>
    <font>
      <u/>
      <sz val="11"/>
      <color theme="10"/>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1"/>
      <color theme="1"/>
      <name val="Calibri"/>
      <family val="2"/>
      <scheme val="minor"/>
    </font>
    <font>
      <i/>
      <sz val="10"/>
      <color theme="1"/>
      <name val="Arial"/>
      <family val="2"/>
    </font>
    <font>
      <i/>
      <sz val="10"/>
      <color rgb="FFFF0000"/>
      <name val="Arial"/>
      <family val="2"/>
    </font>
    <font>
      <b/>
      <sz val="11"/>
      <color indexed="8"/>
      <name val="Arial"/>
      <family val="2"/>
    </font>
    <font>
      <sz val="11"/>
      <color theme="1"/>
      <name val="Arial"/>
      <family val="2"/>
    </font>
    <font>
      <sz val="9"/>
      <color theme="1"/>
      <name val="Arial"/>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E1FFE1"/>
        <bgColor indexed="64"/>
      </patternFill>
    </fill>
    <fill>
      <patternFill patternType="solid">
        <fgColor rgb="FF99FF99"/>
        <bgColor indexed="64"/>
      </patternFill>
    </fill>
    <fill>
      <patternFill patternType="solid">
        <fgColor theme="0" tint="-0.1499679555650502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68">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4" borderId="1">
      <alignment vertical="top"/>
    </xf>
    <xf numFmtId="49" fontId="6" fillId="0" borderId="0">
      <alignment vertical="top"/>
    </xf>
    <xf numFmtId="43" fontId="5" fillId="17" borderId="0">
      <alignment vertical="top"/>
    </xf>
    <xf numFmtId="43" fontId="5" fillId="16" borderId="0">
      <alignment vertical="top"/>
    </xf>
    <xf numFmtId="43" fontId="5" fillId="14" borderId="0">
      <alignment vertical="top"/>
    </xf>
    <xf numFmtId="43" fontId="5" fillId="7" borderId="0">
      <alignment vertical="top"/>
    </xf>
    <xf numFmtId="43" fontId="5" fillId="9" borderId="0">
      <alignment vertical="top"/>
    </xf>
    <xf numFmtId="43" fontId="5" fillId="18" borderId="0">
      <alignment vertical="top"/>
    </xf>
    <xf numFmtId="49" fontId="10" fillId="0" borderId="0">
      <alignment vertical="top"/>
    </xf>
    <xf numFmtId="0" fontId="17" fillId="20" borderId="3" applyNumberFormat="0" applyAlignment="0" applyProtection="0"/>
    <xf numFmtId="0" fontId="18" fillId="21" borderId="4" applyNumberFormat="0" applyAlignment="0" applyProtection="0"/>
    <xf numFmtId="0" fontId="19" fillId="21" borderId="3" applyNumberFormat="0" applyAlignment="0" applyProtection="0"/>
    <xf numFmtId="0" fontId="20" fillId="0" borderId="5" applyNumberFormat="0" applyFill="0" applyAlignment="0" applyProtection="0"/>
    <xf numFmtId="0" fontId="14" fillId="22" borderId="6" applyNumberFormat="0" applyAlignment="0" applyProtection="0"/>
    <xf numFmtId="0" fontId="16" fillId="23" borderId="7" applyNumberFormat="0" applyFont="0" applyAlignment="0" applyProtection="0"/>
    <xf numFmtId="0" fontId="22"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29" fillId="48" borderId="0" applyNumberFormat="0" applyBorder="0" applyAlignment="0" applyProtection="0"/>
    <xf numFmtId="0" fontId="30" fillId="0" borderId="0" applyNumberForma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22" fillId="0" borderId="0" applyNumberFormat="0" applyFill="0" applyBorder="0" applyAlignment="0" applyProtection="0"/>
    <xf numFmtId="165" fontId="5" fillId="8" borderId="0"/>
    <xf numFmtId="43" fontId="5" fillId="50" borderId="0">
      <alignment vertical="top"/>
    </xf>
    <xf numFmtId="43" fontId="5" fillId="51" borderId="0">
      <alignment vertical="top"/>
    </xf>
    <xf numFmtId="43" fontId="5" fillId="52" borderId="0" applyNumberFormat="0">
      <alignment vertical="top"/>
    </xf>
    <xf numFmtId="0" fontId="22" fillId="0" borderId="0" applyNumberFormat="0" applyFill="0" applyBorder="0" applyAlignment="0" applyProtection="0"/>
  </cellStyleXfs>
  <cellXfs count="183">
    <xf numFmtId="0" fontId="0" fillId="0" borderId="0" xfId="0"/>
    <xf numFmtId="0" fontId="0" fillId="0" borderId="0" xfId="0"/>
    <xf numFmtId="0" fontId="6" fillId="0" borderId="0" xfId="4" applyFont="1">
      <alignment vertical="top"/>
    </xf>
    <xf numFmtId="0" fontId="5" fillId="0" borderId="0" xfId="4">
      <alignment vertical="top"/>
    </xf>
    <xf numFmtId="0" fontId="7" fillId="0" borderId="0" xfId="4" applyFont="1">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6" fillId="24"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9" fillId="5" borderId="1" xfId="4" applyFont="1" applyFill="1" applyBorder="1">
      <alignment vertical="top"/>
    </xf>
    <xf numFmtId="0" fontId="8" fillId="5" borderId="1" xfId="4" applyFont="1" applyFill="1" applyBorder="1">
      <alignment vertical="top"/>
    </xf>
    <xf numFmtId="0" fontId="8" fillId="6" borderId="1" xfId="4" applyFont="1" applyFill="1" applyBorder="1">
      <alignment vertical="top"/>
    </xf>
    <xf numFmtId="0" fontId="11" fillId="0" borderId="0" xfId="4" applyFont="1" applyFill="1">
      <alignment vertical="top"/>
    </xf>
    <xf numFmtId="0" fontId="5" fillId="11" borderId="0" xfId="4" applyFill="1">
      <alignment vertical="top"/>
    </xf>
    <xf numFmtId="0" fontId="5" fillId="12" borderId="0" xfId="4" applyFill="1">
      <alignment vertical="top"/>
    </xf>
    <xf numFmtId="0" fontId="5" fillId="13" borderId="0" xfId="4" applyFill="1">
      <alignment vertical="top"/>
    </xf>
    <xf numFmtId="0" fontId="5" fillId="8" borderId="0" xfId="4" applyFill="1">
      <alignment vertical="top"/>
    </xf>
    <xf numFmtId="0" fontId="10" fillId="0" borderId="0" xfId="4" applyFont="1" applyFill="1">
      <alignment vertical="top"/>
    </xf>
    <xf numFmtId="2" fontId="5" fillId="15" borderId="0" xfId="4" applyNumberFormat="1" applyFill="1">
      <alignment vertical="top"/>
    </xf>
    <xf numFmtId="1" fontId="5"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14" fillId="6" borderId="1" xfId="4" applyFont="1" applyFill="1" applyBorder="1">
      <alignment vertical="top"/>
    </xf>
    <xf numFmtId="49" fontId="7" fillId="24" borderId="2" xfId="6" applyFont="1" applyBorder="1">
      <alignment vertical="top"/>
    </xf>
    <xf numFmtId="0" fontId="9" fillId="5" borderId="1" xfId="5" applyNumberFormat="1">
      <alignment vertical="top"/>
    </xf>
    <xf numFmtId="0" fontId="15" fillId="0" borderId="0" xfId="4" applyFont="1">
      <alignment vertical="top"/>
    </xf>
    <xf numFmtId="0" fontId="7" fillId="10" borderId="0" xfId="4" applyFont="1" applyFill="1">
      <alignment vertical="top"/>
    </xf>
    <xf numFmtId="0" fontId="7" fillId="12" borderId="0" xfId="4" applyFont="1" applyFill="1">
      <alignment vertical="top"/>
    </xf>
    <xf numFmtId="0" fontId="7" fillId="13" borderId="0" xfId="4" applyFont="1" applyFill="1">
      <alignment vertical="top"/>
    </xf>
    <xf numFmtId="0" fontId="5" fillId="19" borderId="0" xfId="4" applyFill="1">
      <alignment vertical="top"/>
    </xf>
    <xf numFmtId="49" fontId="7" fillId="24" borderId="0" xfId="6" applyFont="1" applyBorder="1">
      <alignment vertical="top"/>
    </xf>
    <xf numFmtId="0" fontId="5" fillId="0" borderId="0" xfId="4" applyFont="1">
      <alignment vertical="top"/>
    </xf>
    <xf numFmtId="49" fontId="5" fillId="24" borderId="2" xfId="6" applyFont="1" applyBorder="1">
      <alignment vertical="top"/>
    </xf>
    <xf numFmtId="0" fontId="21" fillId="6" borderId="1" xfId="4" applyFont="1" applyFill="1" applyBorder="1">
      <alignment vertical="top"/>
    </xf>
    <xf numFmtId="0" fontId="5" fillId="0" borderId="2" xfId="4" applyFont="1" applyBorder="1">
      <alignment vertical="top"/>
    </xf>
    <xf numFmtId="0" fontId="7" fillId="0" borderId="0" xfId="4" applyFont="1" applyFill="1" applyBorder="1" applyAlignment="1">
      <alignment horizontal="left" vertical="top" wrapText="1"/>
    </xf>
    <xf numFmtId="0" fontId="0" fillId="0" borderId="0" xfId="0"/>
    <xf numFmtId="49" fontId="6" fillId="0" borderId="0" xfId="7">
      <alignment vertical="top"/>
    </xf>
    <xf numFmtId="0" fontId="1" fillId="0" borderId="0" xfId="0" applyFont="1"/>
    <xf numFmtId="165" fontId="5" fillId="0" borderId="0" xfId="0" applyNumberFormat="1" applyFont="1"/>
    <xf numFmtId="165" fontId="1" fillId="0" borderId="0" xfId="0" applyNumberFormat="1" applyFont="1"/>
    <xf numFmtId="43" fontId="5" fillId="0" borderId="0" xfId="0" applyNumberFormat="1" applyFont="1"/>
    <xf numFmtId="165" fontId="9" fillId="5" borderId="1" xfId="0" applyNumberFormat="1" applyFont="1" applyFill="1" applyBorder="1" applyAlignment="1">
      <alignment vertical="top"/>
    </xf>
    <xf numFmtId="165" fontId="5" fillId="0" borderId="0" xfId="0" applyNumberFormat="1" applyFont="1" applyAlignment="1">
      <alignment vertical="top"/>
    </xf>
    <xf numFmtId="165" fontId="6" fillId="24" borderId="1" xfId="0" applyNumberFormat="1" applyFont="1" applyFill="1" applyBorder="1" applyAlignment="1">
      <alignment vertical="top"/>
    </xf>
    <xf numFmtId="49" fontId="6" fillId="24" borderId="1" xfId="6" applyFont="1">
      <alignment vertical="top"/>
    </xf>
    <xf numFmtId="0" fontId="28" fillId="0" borderId="0" xfId="0" applyFont="1"/>
    <xf numFmtId="43" fontId="5" fillId="8" borderId="0" xfId="0" applyNumberFormat="1" applyFont="1" applyFill="1"/>
    <xf numFmtId="43" fontId="1" fillId="0" borderId="0" xfId="0" applyNumberFormat="1" applyFont="1"/>
    <xf numFmtId="43" fontId="0" fillId="0" borderId="0" xfId="0" applyNumberFormat="1"/>
    <xf numFmtId="0" fontId="31" fillId="0" borderId="0" xfId="0" applyFont="1"/>
    <xf numFmtId="43" fontId="0" fillId="8" borderId="0" xfId="0" applyNumberFormat="1" applyFill="1"/>
    <xf numFmtId="165" fontId="5" fillId="16" borderId="0" xfId="0" applyNumberFormat="1" applyFont="1" applyFill="1"/>
    <xf numFmtId="165" fontId="1" fillId="0" borderId="0" xfId="0" applyNumberFormat="1" applyFont="1" applyFill="1"/>
    <xf numFmtId="0" fontId="1" fillId="0" borderId="0" xfId="0" applyFont="1" applyFill="1"/>
    <xf numFmtId="165" fontId="5" fillId="0" borderId="0" xfId="0" applyNumberFormat="1" applyFont="1" applyFill="1"/>
    <xf numFmtId="0" fontId="0" fillId="0" borderId="0" xfId="0" applyFill="1"/>
    <xf numFmtId="165" fontId="5" fillId="8" borderId="0" xfId="0" applyNumberFormat="1" applyFont="1" applyFill="1"/>
    <xf numFmtId="43" fontId="0" fillId="0" borderId="0" xfId="0" applyNumberFormat="1" applyFill="1"/>
    <xf numFmtId="43" fontId="5" fillId="0" borderId="0" xfId="0" applyNumberFormat="1" applyFont="1" applyFill="1"/>
    <xf numFmtId="43" fontId="5" fillId="18" borderId="0" xfId="13">
      <alignment vertical="top"/>
    </xf>
    <xf numFmtId="0" fontId="1" fillId="0" borderId="0" xfId="0" applyFont="1" applyFill="1"/>
    <xf numFmtId="0" fontId="0" fillId="0" borderId="0" xfId="0" applyFont="1" applyFill="1"/>
    <xf numFmtId="0" fontId="5" fillId="0" borderId="0" xfId="0" applyFont="1" applyFill="1" applyAlignment="1">
      <alignment vertical="top"/>
    </xf>
    <xf numFmtId="165" fontId="5" fillId="17" borderId="0" xfId="8" applyNumberFormat="1">
      <alignment vertical="top"/>
    </xf>
    <xf numFmtId="165" fontId="5" fillId="16" borderId="0" xfId="9" applyNumberFormat="1">
      <alignment vertical="top"/>
    </xf>
    <xf numFmtId="0" fontId="5" fillId="0" borderId="0" xfId="0" applyFont="1" applyFill="1"/>
    <xf numFmtId="0" fontId="5" fillId="0" borderId="0" xfId="0" applyFont="1"/>
    <xf numFmtId="0" fontId="6" fillId="0" borderId="0" xfId="4" applyFont="1" applyFill="1">
      <alignment vertical="top"/>
    </xf>
    <xf numFmtId="49" fontId="6" fillId="0" borderId="1" xfId="6" applyFill="1">
      <alignment vertical="top"/>
    </xf>
    <xf numFmtId="49" fontId="6" fillId="0" borderId="1" xfId="6" applyFont="1" applyFill="1">
      <alignment vertical="top"/>
    </xf>
    <xf numFmtId="165" fontId="6" fillId="0" borderId="1" xfId="0" applyNumberFormat="1" applyFont="1" applyFill="1" applyBorder="1" applyAlignment="1">
      <alignment vertical="top"/>
    </xf>
    <xf numFmtId="0" fontId="28" fillId="0" borderId="0" xfId="0" applyFont="1" applyFill="1"/>
    <xf numFmtId="43" fontId="1" fillId="0" borderId="0" xfId="0" applyNumberFormat="1" applyFont="1" applyFill="1"/>
    <xf numFmtId="0" fontId="31" fillId="0" borderId="0" xfId="0" applyFont="1" applyFill="1"/>
    <xf numFmtId="0" fontId="6" fillId="0" borderId="0" xfId="0" applyFont="1" applyFill="1"/>
    <xf numFmtId="0" fontId="10" fillId="0" borderId="0" xfId="0" applyFont="1" applyFill="1"/>
    <xf numFmtId="0" fontId="1" fillId="0" borderId="0" xfId="0" applyFont="1" applyFill="1"/>
    <xf numFmtId="0" fontId="5" fillId="0" borderId="0" xfId="0" applyFont="1" applyFill="1"/>
    <xf numFmtId="0" fontId="5" fillId="0" borderId="0" xfId="0" applyFont="1" applyFill="1"/>
    <xf numFmtId="0" fontId="32" fillId="0" borderId="0" xfId="0" applyFont="1" applyFill="1"/>
    <xf numFmtId="0" fontId="6" fillId="49" borderId="0" xfId="0" applyFont="1" applyFill="1" applyAlignment="1">
      <alignment vertical="top"/>
    </xf>
    <xf numFmtId="0" fontId="5" fillId="49" borderId="0" xfId="0" applyFont="1" applyFill="1" applyAlignment="1">
      <alignment horizontal="left" vertical="top" indent="1"/>
    </xf>
    <xf numFmtId="0" fontId="5" fillId="0" borderId="0" xfId="0" applyFont="1"/>
    <xf numFmtId="0" fontId="1" fillId="0" borderId="0" xfId="0" applyFont="1"/>
    <xf numFmtId="0" fontId="10" fillId="0" borderId="0" xfId="0" applyFont="1" applyFill="1"/>
    <xf numFmtId="0" fontId="5" fillId="0" borderId="0" xfId="0" applyFont="1" applyBorder="1"/>
    <xf numFmtId="0" fontId="5" fillId="0" borderId="0" xfId="4" applyFill="1" applyBorder="1">
      <alignment vertical="top"/>
    </xf>
    <xf numFmtId="49" fontId="6" fillId="0" borderId="0" xfId="6" applyFill="1" applyBorder="1">
      <alignment vertical="top"/>
    </xf>
    <xf numFmtId="0" fontId="33" fillId="0" borderId="0" xfId="0" applyFont="1" applyFill="1"/>
    <xf numFmtId="0" fontId="6" fillId="0" borderId="0" xfId="0" applyFont="1" applyFill="1" applyBorder="1"/>
    <xf numFmtId="165" fontId="1" fillId="0" borderId="0" xfId="0" applyNumberFormat="1" applyFont="1" applyFill="1" applyBorder="1" applyAlignment="1">
      <alignment vertical="top"/>
    </xf>
    <xf numFmtId="0" fontId="5" fillId="0" borderId="0" xfId="0" applyFont="1"/>
    <xf numFmtId="0" fontId="5" fillId="0" borderId="0" xfId="0" applyFont="1" applyFill="1" applyBorder="1"/>
    <xf numFmtId="0" fontId="1" fillId="0" borderId="0" xfId="0" applyFont="1" applyFill="1" applyBorder="1"/>
    <xf numFmtId="0" fontId="5" fillId="0" borderId="0" xfId="0" applyFont="1" applyFill="1" applyBorder="1"/>
    <xf numFmtId="43" fontId="5" fillId="0" borderId="0" xfId="13" applyFill="1">
      <alignment vertical="top"/>
    </xf>
    <xf numFmtId="0" fontId="5" fillId="0" borderId="0" xfId="0" applyFont="1" applyFill="1"/>
    <xf numFmtId="165" fontId="5" fillId="18" borderId="0" xfId="13" applyNumberFormat="1">
      <alignment vertical="top"/>
    </xf>
    <xf numFmtId="164" fontId="5" fillId="16" borderId="0" xfId="0" applyNumberFormat="1" applyFont="1" applyFill="1"/>
    <xf numFmtId="0" fontId="6" fillId="0" borderId="0" xfId="0" applyFont="1" applyFill="1" applyBorder="1" applyAlignment="1">
      <alignment horizontal="center" textRotation="90"/>
    </xf>
    <xf numFmtId="0" fontId="11" fillId="0" borderId="0" xfId="0" applyFont="1" applyFill="1" applyBorder="1" applyAlignment="1">
      <alignment horizontal="center" textRotation="90"/>
    </xf>
    <xf numFmtId="0" fontId="6" fillId="0" borderId="0" xfId="0" applyFont="1" applyFill="1" applyBorder="1" applyAlignment="1">
      <alignment horizontal="left"/>
    </xf>
    <xf numFmtId="10" fontId="1" fillId="0" borderId="0" xfId="0" applyNumberFormat="1" applyFont="1" applyFill="1"/>
    <xf numFmtId="0" fontId="0" fillId="0" borderId="0" xfId="0"/>
    <xf numFmtId="166" fontId="5" fillId="18" borderId="0" xfId="61" applyNumberFormat="1" applyFont="1" applyFill="1" applyAlignment="1">
      <alignment vertical="top"/>
    </xf>
    <xf numFmtId="166" fontId="5" fillId="16" borderId="0" xfId="61" applyNumberFormat="1" applyFont="1" applyFill="1" applyAlignment="1">
      <alignment vertical="top"/>
    </xf>
    <xf numFmtId="49" fontId="5" fillId="0" borderId="0" xfId="4" applyNumberFormat="1">
      <alignment vertical="top"/>
    </xf>
    <xf numFmtId="166" fontId="5" fillId="14" borderId="0" xfId="61" applyNumberFormat="1" applyFont="1" applyFill="1" applyAlignment="1">
      <alignment vertical="top"/>
    </xf>
    <xf numFmtId="0" fontId="6" fillId="24" borderId="1" xfId="6" applyNumberFormat="1">
      <alignment vertical="top"/>
    </xf>
    <xf numFmtId="167" fontId="1" fillId="16" borderId="0" xfId="0" applyNumberFormat="1" applyFont="1" applyFill="1"/>
    <xf numFmtId="165" fontId="1" fillId="18" borderId="0" xfId="0" applyNumberFormat="1" applyFont="1" applyFill="1"/>
    <xf numFmtId="165" fontId="1" fillId="8" borderId="0" xfId="0" applyNumberFormat="1" applyFont="1" applyFill="1"/>
    <xf numFmtId="165" fontId="1" fillId="16" borderId="0" xfId="0" applyNumberFormat="1" applyFont="1" applyFill="1"/>
    <xf numFmtId="165" fontId="5" fillId="14" borderId="0" xfId="10" applyNumberFormat="1">
      <alignment vertical="top"/>
    </xf>
    <xf numFmtId="164" fontId="1" fillId="17" borderId="0" xfId="0" applyNumberFormat="1" applyFont="1" applyFill="1"/>
    <xf numFmtId="10" fontId="1" fillId="0" borderId="0" xfId="61" applyNumberFormat="1" applyFont="1" applyFill="1"/>
    <xf numFmtId="10" fontId="5" fillId="0" borderId="0" xfId="61" applyNumberFormat="1" applyFont="1" applyFill="1" applyAlignment="1">
      <alignment vertical="top"/>
    </xf>
    <xf numFmtId="165" fontId="0" fillId="0" borderId="0" xfId="0" applyNumberFormat="1" applyFill="1"/>
    <xf numFmtId="43" fontId="5" fillId="18" borderId="0" xfId="13" applyNumberFormat="1">
      <alignment vertical="top"/>
    </xf>
    <xf numFmtId="10" fontId="5" fillId="18" borderId="0" xfId="61" applyNumberFormat="1" applyFont="1" applyFill="1" applyAlignment="1">
      <alignment vertical="top"/>
    </xf>
    <xf numFmtId="0" fontId="11" fillId="0" borderId="0" xfId="0" applyFont="1" applyFill="1" applyBorder="1"/>
    <xf numFmtId="0" fontId="5" fillId="0" borderId="2" xfId="4" applyBorder="1" applyAlignment="1">
      <alignment vertical="top" wrapText="1"/>
    </xf>
    <xf numFmtId="0" fontId="22" fillId="0" borderId="2" xfId="62" applyBorder="1" applyAlignment="1">
      <alignment vertical="top" wrapText="1"/>
    </xf>
    <xf numFmtId="0" fontId="5" fillId="0" borderId="0" xfId="0" applyNumberFormat="1" applyFont="1"/>
    <xf numFmtId="0" fontId="34" fillId="0" borderId="0" xfId="0" applyFont="1" applyFill="1" applyBorder="1"/>
    <xf numFmtId="0" fontId="35" fillId="0" borderId="0" xfId="0" applyFont="1" applyFill="1" applyBorder="1"/>
    <xf numFmtId="0" fontId="35" fillId="0" borderId="0" xfId="0" applyFont="1"/>
    <xf numFmtId="166" fontId="5" fillId="0" borderId="0" xfId="0" applyNumberFormat="1" applyFont="1" applyAlignment="1">
      <alignment vertical="top"/>
    </xf>
    <xf numFmtId="0" fontId="1" fillId="0" borderId="0" xfId="0" quotePrefix="1" applyFont="1"/>
    <xf numFmtId="2" fontId="6" fillId="24" borderId="1" xfId="6" applyNumberFormat="1">
      <alignment vertical="top"/>
    </xf>
    <xf numFmtId="43" fontId="5" fillId="49" borderId="0" xfId="0" applyNumberFormat="1" applyFont="1" applyFill="1"/>
    <xf numFmtId="165" fontId="5" fillId="49" borderId="0" xfId="0" applyNumberFormat="1" applyFont="1" applyFill="1" applyAlignment="1">
      <alignment vertical="top"/>
    </xf>
    <xf numFmtId="10" fontId="5" fillId="49" borderId="0" xfId="61" applyNumberFormat="1" applyFont="1" applyFill="1" applyAlignment="1">
      <alignment vertical="top"/>
    </xf>
    <xf numFmtId="0" fontId="1" fillId="49" borderId="0" xfId="0" applyFont="1" applyFill="1"/>
    <xf numFmtId="165" fontId="1" fillId="49" borderId="0" xfId="0" applyNumberFormat="1" applyFont="1" applyFill="1"/>
    <xf numFmtId="10" fontId="5" fillId="9" borderId="0" xfId="61" applyNumberFormat="1" applyFont="1" applyFill="1" applyAlignment="1">
      <alignment vertical="top"/>
    </xf>
    <xf numFmtId="10" fontId="5" fillId="0" borderId="0" xfId="4" applyNumberFormat="1">
      <alignment vertical="top"/>
    </xf>
    <xf numFmtId="165" fontId="5" fillId="8" borderId="0" xfId="63"/>
    <xf numFmtId="0" fontId="5" fillId="0" borderId="0" xfId="0" applyFont="1"/>
    <xf numFmtId="164" fontId="5" fillId="0" borderId="0" xfId="4" applyNumberFormat="1">
      <alignment vertical="top"/>
    </xf>
    <xf numFmtId="0" fontId="0" fillId="0" borderId="0" xfId="0"/>
    <xf numFmtId="49" fontId="10" fillId="0" borderId="0" xfId="14">
      <alignment vertical="top"/>
    </xf>
    <xf numFmtId="43" fontId="5" fillId="50" borderId="0" xfId="64">
      <alignment vertical="top"/>
    </xf>
    <xf numFmtId="49" fontId="5" fillId="0" borderId="0" xfId="14" applyFont="1">
      <alignment vertical="top"/>
    </xf>
    <xf numFmtId="43" fontId="5" fillId="51" borderId="0" xfId="65">
      <alignment vertical="top"/>
    </xf>
    <xf numFmtId="43" fontId="5" fillId="14" borderId="0" xfId="10">
      <alignment vertical="top"/>
    </xf>
    <xf numFmtId="166" fontId="5" fillId="50" borderId="0" xfId="61" applyNumberFormat="1" applyFont="1" applyFill="1" applyAlignment="1">
      <alignment vertical="top"/>
    </xf>
    <xf numFmtId="165" fontId="5" fillId="50" borderId="0" xfId="64" applyNumberFormat="1">
      <alignment vertical="top"/>
    </xf>
    <xf numFmtId="10" fontId="5" fillId="50" borderId="0" xfId="61" applyNumberFormat="1" applyFont="1" applyFill="1" applyAlignment="1">
      <alignment vertical="top"/>
    </xf>
    <xf numFmtId="43" fontId="5" fillId="50" borderId="2" xfId="64" applyBorder="1">
      <alignment vertical="top"/>
    </xf>
    <xf numFmtId="0" fontId="13" fillId="0" borderId="0" xfId="0" applyFont="1" applyFill="1" applyAlignment="1">
      <alignment vertical="top"/>
    </xf>
    <xf numFmtId="49" fontId="5" fillId="0" borderId="0" xfId="7" applyFont="1">
      <alignment vertical="top"/>
    </xf>
    <xf numFmtId="165" fontId="5" fillId="0" borderId="0" xfId="9" applyNumberFormat="1" applyFill="1">
      <alignment vertical="top"/>
    </xf>
    <xf numFmtId="1" fontId="5" fillId="0" borderId="0" xfId="4" applyNumberFormat="1">
      <alignment vertical="top"/>
    </xf>
    <xf numFmtId="165" fontId="5" fillId="0" borderId="0" xfId="4" applyNumberFormat="1">
      <alignment vertical="top"/>
    </xf>
    <xf numFmtId="165" fontId="5" fillId="52" borderId="0" xfId="66" applyNumberFormat="1">
      <alignment vertical="top"/>
    </xf>
    <xf numFmtId="43" fontId="5" fillId="52" borderId="0" xfId="66">
      <alignment vertical="top"/>
    </xf>
    <xf numFmtId="0" fontId="5" fillId="52" borderId="0" xfId="66" applyNumberFormat="1">
      <alignment vertical="top"/>
    </xf>
    <xf numFmtId="166" fontId="5" fillId="52" borderId="0" xfId="66" applyNumberFormat="1">
      <alignment vertical="top"/>
    </xf>
    <xf numFmtId="10" fontId="5" fillId="16" borderId="0" xfId="61" applyNumberFormat="1" applyFont="1" applyFill="1" applyAlignment="1">
      <alignment vertical="top"/>
    </xf>
    <xf numFmtId="10" fontId="5" fillId="0" borderId="0" xfId="0" applyNumberFormat="1" applyFont="1" applyAlignment="1">
      <alignment vertical="top"/>
    </xf>
    <xf numFmtId="10" fontId="5" fillId="52" borderId="0" xfId="66" applyNumberFormat="1">
      <alignment vertical="top"/>
    </xf>
    <xf numFmtId="9" fontId="5" fillId="0" borderId="0" xfId="61" applyFont="1" applyAlignment="1">
      <alignment vertical="top"/>
    </xf>
    <xf numFmtId="49" fontId="5" fillId="0" borderId="0" xfId="14" applyFont="1" applyFill="1">
      <alignment vertical="top"/>
    </xf>
    <xf numFmtId="0" fontId="5" fillId="0" borderId="0" xfId="4" applyFont="1" applyFill="1">
      <alignment vertical="top"/>
    </xf>
    <xf numFmtId="0" fontId="5" fillId="0" borderId="0" xfId="4" applyAlignment="1">
      <alignment vertical="top" wrapText="1"/>
    </xf>
    <xf numFmtId="0" fontId="8" fillId="6" borderId="1" xfId="4" applyFont="1" applyFill="1" applyBorder="1" applyAlignment="1">
      <alignment vertical="top" wrapText="1"/>
    </xf>
    <xf numFmtId="49" fontId="6" fillId="24" borderId="1" xfId="6" applyAlignment="1">
      <alignment vertical="top" wrapText="1"/>
    </xf>
    <xf numFmtId="0" fontId="14" fillId="6" borderId="1" xfId="4" applyFont="1" applyFill="1" applyBorder="1" applyAlignment="1">
      <alignment vertical="top" wrapText="1"/>
    </xf>
    <xf numFmtId="49" fontId="5" fillId="24" borderId="2" xfId="6" applyFont="1" applyBorder="1" applyAlignment="1">
      <alignment vertical="top" wrapText="1"/>
    </xf>
    <xf numFmtId="165" fontId="5" fillId="16" borderId="0" xfId="4" applyNumberFormat="1" applyFill="1">
      <alignment vertical="top"/>
    </xf>
    <xf numFmtId="2" fontId="5" fillId="0" borderId="0" xfId="4" applyNumberFormat="1">
      <alignment vertical="top"/>
    </xf>
    <xf numFmtId="167" fontId="5" fillId="0" borderId="0" xfId="4" applyNumberFormat="1">
      <alignment vertical="top"/>
    </xf>
    <xf numFmtId="168" fontId="5" fillId="50" borderId="0" xfId="64" applyNumberFormat="1">
      <alignment vertical="top"/>
    </xf>
    <xf numFmtId="168" fontId="5" fillId="0" borderId="0" xfId="4" applyNumberFormat="1">
      <alignment vertical="top"/>
    </xf>
    <xf numFmtId="168" fontId="5" fillId="18" borderId="0" xfId="13" applyNumberFormat="1">
      <alignment vertical="top"/>
    </xf>
    <xf numFmtId="9" fontId="5" fillId="50" borderId="0" xfId="64" applyNumberFormat="1">
      <alignment vertical="top"/>
    </xf>
    <xf numFmtId="9" fontId="5" fillId="18" borderId="0" xfId="13" applyNumberFormat="1">
      <alignment vertical="top"/>
    </xf>
  </cellXfs>
  <cellStyles count="68">
    <cellStyle name="_kop1 Bladtitel" xfId="5"/>
    <cellStyle name="_kop2 Bloktitel" xfId="6"/>
    <cellStyle name="_kop3 Subkop" xfId="7"/>
    <cellStyle name="20% - Accent1" xfId="36" builtinId="30" hidden="1"/>
    <cellStyle name="20% - Accent2" xfId="40" builtinId="34" hidden="1"/>
    <cellStyle name="20% - Accent3" xfId="44" builtinId="38" hidden="1"/>
    <cellStyle name="20% - Accent4" xfId="48" builtinId="42" hidden="1"/>
    <cellStyle name="20% - Accent5" xfId="52" builtinId="46" hidden="1"/>
    <cellStyle name="20% - Accent6" xfId="56" builtinId="50" hidden="1"/>
    <cellStyle name="40% - Accent1" xfId="37" builtinId="31" hidden="1"/>
    <cellStyle name="40% - Accent2" xfId="41" builtinId="35" hidden="1"/>
    <cellStyle name="40% - Accent3" xfId="45" builtinId="39" hidden="1"/>
    <cellStyle name="40% - Accent4" xfId="49" builtinId="43" hidden="1"/>
    <cellStyle name="40% - Accent5" xfId="53" builtinId="47" hidden="1"/>
    <cellStyle name="40% - Accent6" xfId="57" builtinId="51" hidden="1"/>
    <cellStyle name="60% - Accent1" xfId="38" builtinId="32" hidden="1"/>
    <cellStyle name="60% - Accent2" xfId="42" builtinId="36" hidden="1"/>
    <cellStyle name="60% - Accent3" xfId="46" builtinId="40" hidden="1"/>
    <cellStyle name="60% - Accent4" xfId="50" builtinId="44" hidden="1"/>
    <cellStyle name="60% - Accent5" xfId="54" builtinId="48" hidden="1"/>
    <cellStyle name="60% - Accent6" xfId="58" builtinId="52" hidden="1"/>
    <cellStyle name="Accent1" xfId="35" builtinId="29" hidden="1"/>
    <cellStyle name="Accent2" xfId="39" builtinId="33" hidden="1"/>
    <cellStyle name="Accent3" xfId="43" builtinId="37" hidden="1"/>
    <cellStyle name="Accent4" xfId="47" builtinId="41" hidden="1"/>
    <cellStyle name="Accent5" xfId="51" builtinId="45" hidden="1"/>
    <cellStyle name="Accent6" xfId="55" builtinId="49" hidden="1"/>
    <cellStyle name="Berekening" xfId="17" builtinId="22" hidden="1"/>
    <cellStyle name="Cel (tussen)resultaat" xfId="8"/>
    <cellStyle name="Cel Berekening" xfId="9"/>
    <cellStyle name="Cel Bijzonderheid" xfId="10"/>
    <cellStyle name="Cel Input" xfId="11"/>
    <cellStyle name="Cel Input 2" xfId="64"/>
    <cellStyle name="Cel Input Data" xfId="65"/>
    <cellStyle name="Cel n.v.t. (leeg)" xfId="66"/>
    <cellStyle name="Cel PM extern" xfId="12"/>
    <cellStyle name="Cel Verwijzing" xfId="13"/>
    <cellStyle name="Controlecel" xfId="19" builtinId="23" hidden="1"/>
    <cellStyle name="Gekoppelde cel" xfId="18" builtinId="24" hidden="1"/>
    <cellStyle name="Gevolgde hyperlink" xfId="59" builtinId="9" hidden="1"/>
    <cellStyle name="Goed" xfId="1" builtinId="26" hidden="1"/>
    <cellStyle name="Grijze cel" xfId="63"/>
    <cellStyle name="Hyperlink" xfId="21" builtinId="8" hidden="1"/>
    <cellStyle name="Hyperlink" xfId="62" builtinId="8"/>
    <cellStyle name="Hyperlink 2" xfId="67"/>
    <cellStyle name="Invoer" xfId="15" builtinId="20" hidden="1"/>
    <cellStyle name="Komma" xfId="22" builtinId="3" hidden="1"/>
    <cellStyle name="Komma" xfId="60" builtinId="3" hidden="1"/>
    <cellStyle name="Komma [0]" xfId="23" builtinId="6" hidden="1"/>
    <cellStyle name="Kop 1" xfId="28" builtinId="16" hidden="1"/>
    <cellStyle name="Kop 2" xfId="29" builtinId="17" hidden="1"/>
    <cellStyle name="Kop 3" xfId="30" builtinId="18" hidden="1"/>
    <cellStyle name="Kop 4" xfId="31" builtinId="19" hidden="1"/>
    <cellStyle name="Neutraal" xfId="3" builtinId="28" hidden="1"/>
    <cellStyle name="Notitie" xfId="20" builtinId="10" hidden="1"/>
    <cellStyle name="Ongeldig" xfId="2" builtinId="27" hidden="1"/>
    <cellStyle name="Procent" xfId="26" builtinId="5" hidden="1"/>
    <cellStyle name="Procent" xfId="61" builtinId="5"/>
    <cellStyle name="Standaard" xfId="0" builtinId="0"/>
    <cellStyle name="Standaard ACM-DE" xfId="4"/>
    <cellStyle name="Titel" xfId="27" builtinId="15" hidden="1"/>
    <cellStyle name="Toelichting" xfId="14"/>
    <cellStyle name="Totaal" xfId="34" builtinId="25" hidden="1"/>
    <cellStyle name="Uitvoer" xfId="16" builtinId="21" hidden="1"/>
    <cellStyle name="Valuta" xfId="24" builtinId="4" hidden="1"/>
    <cellStyle name="Valuta [0]" xfId="25" builtinId="7" hidden="1"/>
    <cellStyle name="Verklarende tekst" xfId="33" builtinId="53" hidden="1"/>
    <cellStyle name="Waarschuwingstekst" xfId="32" builtinId="11" hidden="1"/>
  </cellStyles>
  <dxfs count="0"/>
  <tableStyles count="0" defaultTableStyle="TableStyleMedium2" defaultPivotStyle="PivotStyleLight16"/>
  <colors>
    <mruColors>
      <color rgb="FFFFFFCC"/>
      <color rgb="FFCCFFCC"/>
      <color rgb="FFCCC8D9"/>
      <color rgb="FFCCFFFF"/>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19</xdr:row>
      <xdr:rowOff>8005</xdr:rowOff>
    </xdr:from>
    <xdr:to>
      <xdr:col>12</xdr:col>
      <xdr:colOff>126850</xdr:colOff>
      <xdr:row>23</xdr:row>
      <xdr:rowOff>10828</xdr:rowOff>
    </xdr:to>
    <xdr:sp macro="" textlink="">
      <xdr:nvSpPr>
        <xdr:cNvPr id="2" name="Rechthoek 1"/>
        <xdr:cNvSpPr/>
      </xdr:nvSpPr>
      <xdr:spPr>
        <a:xfrm>
          <a:off x="5671350" y="3352338"/>
          <a:ext cx="1821500" cy="764823"/>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Tarievenbladen</a:t>
          </a:r>
          <a:endParaRPr kumimoji="0" lang="nl-NL" sz="14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5</xdr:col>
      <xdr:colOff>19051</xdr:colOff>
      <xdr:row>18</xdr:row>
      <xdr:rowOff>187280</xdr:rowOff>
    </xdr:from>
    <xdr:to>
      <xdr:col>8</xdr:col>
      <xdr:colOff>3283</xdr:colOff>
      <xdr:row>22</xdr:row>
      <xdr:rowOff>190105</xdr:rowOff>
    </xdr:to>
    <xdr:sp macro="" textlink="">
      <xdr:nvSpPr>
        <xdr:cNvPr id="5" name="Rechthoek 4"/>
        <xdr:cNvSpPr/>
      </xdr:nvSpPr>
      <xdr:spPr>
        <a:xfrm>
          <a:off x="3088218" y="3341113"/>
          <a:ext cx="1825732" cy="764825"/>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a:ea typeface="+mn-ea"/>
              <a:cs typeface="+mn-cs"/>
            </a:rPr>
            <a:t>Totale inkomsten 2020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800" b="1" i="0" u="none" strike="noStrike" kern="0" cap="none" spc="0" normalizeH="0" baseline="0">
              <a:ln>
                <a:noFill/>
              </a:ln>
              <a:solidFill>
                <a:srgbClr val="FFFFFF"/>
              </a:solidFill>
              <a:effectLst/>
              <a:uLnTx/>
              <a:uFillTx/>
              <a:latin typeface="Arial"/>
              <a:ea typeface="+mn-ea"/>
              <a:cs typeface="+mn-cs"/>
            </a:rPr>
            <a:t>(dit bestand)</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3</xdr:col>
      <xdr:colOff>549007</xdr:colOff>
      <xdr:row>20</xdr:row>
      <xdr:rowOff>188693</xdr:rowOff>
    </xdr:from>
    <xdr:to>
      <xdr:col>5</xdr:col>
      <xdr:colOff>19051</xdr:colOff>
      <xdr:row>21</xdr:row>
      <xdr:rowOff>12620</xdr:rowOff>
    </xdr:to>
    <xdr:cxnSp macro="">
      <xdr:nvCxnSpPr>
        <xdr:cNvPr id="8" name="Rechte verbindingslijn met pijl 7"/>
        <xdr:cNvCxnSpPr>
          <a:stCxn id="14" idx="3"/>
          <a:endCxn id="5" idx="1"/>
        </xdr:cNvCxnSpPr>
      </xdr:nvCxnSpPr>
      <xdr:spPr>
        <a:xfrm flipV="1">
          <a:off x="2390507" y="3723526"/>
          <a:ext cx="697711"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20</xdr:row>
      <xdr:rowOff>188693</xdr:rowOff>
    </xdr:from>
    <xdr:to>
      <xdr:col>9</xdr:col>
      <xdr:colOff>146850</xdr:colOff>
      <xdr:row>21</xdr:row>
      <xdr:rowOff>9417</xdr:rowOff>
    </xdr:to>
    <xdr:cxnSp macro="">
      <xdr:nvCxnSpPr>
        <xdr:cNvPr id="9" name="Rechte verbindingslijn met pijl 8"/>
        <xdr:cNvCxnSpPr>
          <a:stCxn id="5" idx="3"/>
          <a:endCxn id="2" idx="1"/>
        </xdr:cNvCxnSpPr>
      </xdr:nvCxnSpPr>
      <xdr:spPr>
        <a:xfrm>
          <a:off x="4913950" y="3723526"/>
          <a:ext cx="757400"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19</xdr:row>
      <xdr:rowOff>33620</xdr:rowOff>
    </xdr:from>
    <xdr:to>
      <xdr:col>3</xdr:col>
      <xdr:colOff>549007</xdr:colOff>
      <xdr:row>22</xdr:row>
      <xdr:rowOff>182120</xdr:rowOff>
    </xdr:to>
    <xdr:sp macro="" textlink="">
      <xdr:nvSpPr>
        <xdr:cNvPr id="14" name="Rechthoek 13"/>
        <xdr:cNvSpPr/>
      </xdr:nvSpPr>
      <xdr:spPr>
        <a:xfrm>
          <a:off x="179293" y="3424520"/>
          <a:ext cx="1817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11</xdr:row>
      <xdr:rowOff>78441</xdr:rowOff>
    </xdr:from>
    <xdr:to>
      <xdr:col>7</xdr:col>
      <xdr:colOff>635292</xdr:colOff>
      <xdr:row>15</xdr:row>
      <xdr:rowOff>81265</xdr:rowOff>
    </xdr:to>
    <xdr:sp macro="" textlink="">
      <xdr:nvSpPr>
        <xdr:cNvPr id="15" name="Stroomdiagram: Proces 14"/>
        <xdr:cNvSpPr/>
      </xdr:nvSpPr>
      <xdr:spPr>
        <a:xfrm>
          <a:off x="2689410" y="194534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15</xdr:row>
      <xdr:rowOff>81265</xdr:rowOff>
    </xdr:from>
    <xdr:to>
      <xdr:col>6</xdr:col>
      <xdr:colOff>318084</xdr:colOff>
      <xdr:row>18</xdr:row>
      <xdr:rowOff>187280</xdr:rowOff>
    </xdr:to>
    <xdr:cxnSp macro="">
      <xdr:nvCxnSpPr>
        <xdr:cNvPr id="16" name="Rechte verbindingslijn met pijl 15"/>
        <xdr:cNvCxnSpPr>
          <a:stCxn id="15" idx="2"/>
          <a:endCxn id="5" idx="0"/>
        </xdr:cNvCxnSpPr>
      </xdr:nvCxnSpPr>
      <xdr:spPr>
        <a:xfrm>
          <a:off x="3997564" y="2663598"/>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publicatie/16653/Berekening-totale-inkomsten-2017-regionaal-netbeheer-gas" TargetMode="External"/><Relationship Id="rId2" Type="http://schemas.openxmlformats.org/officeDocument/2006/relationships/hyperlink" Target="https://www.belastingdienst.nl/wps/wcm/connect/bldcontentnl/standaard_functies/prive/contact/rechten_en_plichten_bij_de_belastingdienst/belastingrente/overzicht_percentages_belastingrente" TargetMode="External"/><Relationship Id="rId1" Type="http://schemas.openxmlformats.org/officeDocument/2006/relationships/hyperlink" Target="https://www.acm.nl/nl/publicaties/publicatie/16355/GAW-sheet-bij-x-factorbesluiten-RNBs-gas-2017-2021" TargetMode="External"/><Relationship Id="rId5" Type="http://schemas.openxmlformats.org/officeDocument/2006/relationships/printerSettings" Target="../printerSettings/printerSettings3.bin"/><Relationship Id="rId4" Type="http://schemas.openxmlformats.org/officeDocument/2006/relationships/hyperlink" Target="https://opendata.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D33"/>
  <sheetViews>
    <sheetView showGridLines="0" tabSelected="1" zoomScale="85" zoomScaleNormal="85" workbookViewId="0">
      <pane ySplit="3" topLeftCell="A4" activePane="bottomLeft" state="frozen"/>
      <selection activeCell="A4" sqref="A4"/>
      <selection pane="bottomLeft" activeCell="A4" sqref="A4"/>
    </sheetView>
  </sheetViews>
  <sheetFormatPr defaultRowHeight="12.75" x14ac:dyDescent="0.25"/>
  <cols>
    <col min="1" max="1" width="2.85546875" style="3" customWidth="1"/>
    <col min="2" max="2" width="39.85546875" style="3" customWidth="1"/>
    <col min="3" max="3" width="91.85546875" style="3" customWidth="1"/>
    <col min="4" max="16384" width="9.140625" style="3"/>
  </cols>
  <sheetData>
    <row r="2" spans="2:3" s="14" customFormat="1" ht="18" x14ac:dyDescent="0.25">
      <c r="B2" s="13" t="s">
        <v>239</v>
      </c>
    </row>
    <row r="6" spans="2:3" x14ac:dyDescent="0.25">
      <c r="B6" s="4"/>
    </row>
    <row r="13" spans="2:3" s="9" customFormat="1" x14ac:dyDescent="0.25">
      <c r="B13" s="9" t="s">
        <v>0</v>
      </c>
    </row>
    <row r="14" spans="2:3" s="10" customFormat="1" x14ac:dyDescent="0.25"/>
    <row r="15" spans="2:3" x14ac:dyDescent="0.25">
      <c r="B15" s="11" t="s">
        <v>1</v>
      </c>
      <c r="C15" s="12"/>
    </row>
    <row r="16" spans="2:3" x14ac:dyDescent="0.25">
      <c r="B16" s="11" t="s">
        <v>2</v>
      </c>
      <c r="C16" s="12" t="s">
        <v>487</v>
      </c>
    </row>
    <row r="17" spans="2:3" x14ac:dyDescent="0.25">
      <c r="B17" s="11" t="s">
        <v>3</v>
      </c>
      <c r="C17" s="12"/>
    </row>
    <row r="18" spans="2:3" x14ac:dyDescent="0.25">
      <c r="B18" s="11" t="s">
        <v>4</v>
      </c>
      <c r="C18" s="12" t="s">
        <v>240</v>
      </c>
    </row>
    <row r="19" spans="2:3" x14ac:dyDescent="0.25">
      <c r="B19" s="11" t="s">
        <v>5</v>
      </c>
      <c r="C19" s="12"/>
    </row>
    <row r="20" spans="2:3" x14ac:dyDescent="0.25">
      <c r="B20" s="11" t="s">
        <v>6</v>
      </c>
      <c r="C20" s="12"/>
    </row>
    <row r="21" spans="2:3" x14ac:dyDescent="0.25">
      <c r="B21" s="11" t="s">
        <v>7</v>
      </c>
      <c r="C21" s="12" t="s">
        <v>241</v>
      </c>
    </row>
    <row r="22" spans="2:3" x14ac:dyDescent="0.25">
      <c r="B22" s="11" t="s">
        <v>8</v>
      </c>
      <c r="C22" s="12"/>
    </row>
    <row r="25" spans="2:3" s="9" customFormat="1" x14ac:dyDescent="0.25">
      <c r="B25" s="9" t="s">
        <v>9</v>
      </c>
    </row>
    <row r="27" spans="2:3" x14ac:dyDescent="0.25">
      <c r="B27" s="11" t="s">
        <v>10</v>
      </c>
      <c r="C27" s="12" t="s">
        <v>489</v>
      </c>
    </row>
    <row r="28" spans="2:3" x14ac:dyDescent="0.25">
      <c r="B28" s="11" t="s">
        <v>11</v>
      </c>
      <c r="C28" s="12" t="s">
        <v>489</v>
      </c>
    </row>
    <row r="29" spans="2:3" ht="25.5" x14ac:dyDescent="0.25">
      <c r="B29" s="11" t="s">
        <v>12</v>
      </c>
      <c r="C29" s="12" t="s">
        <v>489</v>
      </c>
    </row>
    <row r="30" spans="2:3" x14ac:dyDescent="0.25">
      <c r="B30" s="11" t="s">
        <v>13</v>
      </c>
      <c r="C30" s="12"/>
    </row>
    <row r="31" spans="2:3" x14ac:dyDescent="0.25">
      <c r="B31" s="11" t="s">
        <v>8</v>
      </c>
      <c r="C31" s="12"/>
    </row>
    <row r="33" spans="2:4" x14ac:dyDescent="0.25">
      <c r="B33" s="39"/>
      <c r="C33" s="39"/>
      <c r="D33" s="7"/>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W19"/>
  <sheetViews>
    <sheetView showGridLines="0" zoomScale="85" zoomScaleNormal="85" workbookViewId="0">
      <pane xSplit="6" ySplit="13" topLeftCell="G14" activePane="bottomRight" state="frozen"/>
      <selection activeCell="R6" sqref="R6"/>
      <selection pane="topRight" activeCell="R6" sqref="R6"/>
      <selection pane="bottomLeft" activeCell="R6" sqref="R6"/>
      <selection pane="bottomRight" activeCell="G14" sqref="G14"/>
    </sheetView>
  </sheetViews>
  <sheetFormatPr defaultRowHeight="12.75" x14ac:dyDescent="0.25"/>
  <cols>
    <col min="1" max="1" width="4.7109375" style="3" customWidth="1"/>
    <col min="2" max="2" width="41.42578125" style="3" customWidth="1"/>
    <col min="3" max="3" width="4.7109375" style="3" customWidth="1"/>
    <col min="4" max="5" width="4.5703125" style="3" customWidth="1"/>
    <col min="6" max="6" width="13.7109375" style="3" customWidth="1"/>
    <col min="7" max="7" width="2.7109375" style="3" customWidth="1"/>
    <col min="8" max="8" width="13.7109375" style="3" customWidth="1"/>
    <col min="9" max="9" width="2.7109375" style="3" customWidth="1"/>
    <col min="10" max="10" width="13.7109375" style="3" customWidth="1"/>
    <col min="11" max="11" width="2.7109375" style="3" customWidth="1"/>
    <col min="12" max="19" width="12.5703125" style="3" customWidth="1"/>
    <col min="20" max="20" width="2.7109375" style="3" customWidth="1"/>
    <col min="21" max="21" width="17.140625" style="3" customWidth="1"/>
    <col min="22" max="22" width="2.7109375" style="3" customWidth="1"/>
    <col min="23" max="23" width="13.7109375" style="3" customWidth="1"/>
    <col min="24" max="24" width="2.7109375" style="3" customWidth="1"/>
    <col min="25" max="39" width="13.7109375" style="3" customWidth="1"/>
    <col min="40" max="16384" width="9.140625" style="3"/>
  </cols>
  <sheetData>
    <row r="2" spans="2:23" s="28" customFormat="1" ht="18" x14ac:dyDescent="0.25">
      <c r="B2" s="28" t="s">
        <v>317</v>
      </c>
    </row>
    <row r="4" spans="2:23" x14ac:dyDescent="0.25">
      <c r="B4" s="2" t="s">
        <v>29</v>
      </c>
    </row>
    <row r="5" spans="2:23" ht="15" x14ac:dyDescent="0.25">
      <c r="B5" s="156" t="s">
        <v>318</v>
      </c>
      <c r="C5" s="2"/>
      <c r="D5" s="2"/>
      <c r="L5" s="145"/>
    </row>
    <row r="6" spans="2:23" x14ac:dyDescent="0.25">
      <c r="B6" s="35" t="s">
        <v>313</v>
      </c>
      <c r="C6" s="35"/>
      <c r="D6" s="35"/>
      <c r="H6" s="29"/>
    </row>
    <row r="7" spans="2:23" x14ac:dyDescent="0.25">
      <c r="B7" s="35" t="s">
        <v>314</v>
      </c>
      <c r="C7" s="35"/>
      <c r="D7" s="35"/>
      <c r="H7" s="29"/>
    </row>
    <row r="8" spans="2:23" x14ac:dyDescent="0.25">
      <c r="B8" s="148" t="s">
        <v>319</v>
      </c>
      <c r="C8" s="35"/>
      <c r="D8" s="35"/>
      <c r="H8" s="29"/>
    </row>
    <row r="9" spans="2:23" x14ac:dyDescent="0.25">
      <c r="B9" s="35" t="s">
        <v>315</v>
      </c>
      <c r="C9" s="35"/>
      <c r="D9" s="35"/>
    </row>
    <row r="10" spans="2:23" x14ac:dyDescent="0.25">
      <c r="B10" s="3" t="s">
        <v>316</v>
      </c>
    </row>
    <row r="12" spans="2:23" s="9" customFormat="1" x14ac:dyDescent="0.25">
      <c r="B12" s="9" t="s">
        <v>45</v>
      </c>
      <c r="F12" s="9" t="s">
        <v>27</v>
      </c>
      <c r="H12" s="9" t="s">
        <v>28</v>
      </c>
      <c r="J12" s="9" t="s">
        <v>49</v>
      </c>
      <c r="L12" s="9" t="s">
        <v>172</v>
      </c>
      <c r="M12" s="9" t="s">
        <v>65</v>
      </c>
      <c r="N12" s="9" t="s">
        <v>66</v>
      </c>
      <c r="O12" s="9" t="s">
        <v>67</v>
      </c>
      <c r="P12" s="9" t="s">
        <v>68</v>
      </c>
      <c r="Q12" s="9" t="s">
        <v>69</v>
      </c>
      <c r="R12" s="9" t="s">
        <v>70</v>
      </c>
      <c r="S12" s="9" t="s">
        <v>71</v>
      </c>
      <c r="U12" s="9" t="s">
        <v>46</v>
      </c>
      <c r="W12" s="9" t="s">
        <v>47</v>
      </c>
    </row>
    <row r="15" spans="2:23" s="9" customFormat="1" x14ac:dyDescent="0.25">
      <c r="B15" s="9" t="s">
        <v>321</v>
      </c>
    </row>
    <row r="17" spans="2:21" x14ac:dyDescent="0.2">
      <c r="B17" s="3" t="s">
        <v>320</v>
      </c>
      <c r="F17" s="70" t="s">
        <v>187</v>
      </c>
      <c r="L17" s="152">
        <v>9374.7000000000007</v>
      </c>
      <c r="M17" s="152">
        <v>15273.62</v>
      </c>
      <c r="N17" s="152">
        <v>287399.28000000003</v>
      </c>
      <c r="O17" s="152">
        <v>432401</v>
      </c>
      <c r="P17" s="152">
        <v>10635</v>
      </c>
      <c r="Q17" s="152">
        <v>259436.26</v>
      </c>
      <c r="R17" s="152">
        <v>6288.25</v>
      </c>
      <c r="S17" s="152">
        <v>0</v>
      </c>
      <c r="U17" s="3" t="s">
        <v>322</v>
      </c>
    </row>
    <row r="19" spans="2:21" x14ac:dyDescent="0.25">
      <c r="N19" s="17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W19"/>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activeCell="G12" sqref="G12"/>
    </sheetView>
  </sheetViews>
  <sheetFormatPr defaultRowHeight="12.75" x14ac:dyDescent="0.25"/>
  <cols>
    <col min="1" max="1" width="4.7109375" style="3" customWidth="1"/>
    <col min="2" max="2" width="41.42578125" style="3" customWidth="1"/>
    <col min="3" max="3" width="4.7109375" style="3" customWidth="1"/>
    <col min="4" max="5" width="4.5703125" style="3" customWidth="1"/>
    <col min="6" max="6" width="13.7109375" style="3" customWidth="1"/>
    <col min="7" max="7" width="2.7109375" style="3" customWidth="1"/>
    <col min="8" max="8" width="13.7109375" style="3" customWidth="1"/>
    <col min="9" max="9" width="2.7109375" style="3" customWidth="1"/>
    <col min="10" max="10" width="13.7109375" style="3" customWidth="1"/>
    <col min="11" max="11" width="2.7109375" style="3" customWidth="1"/>
    <col min="12" max="19" width="12.5703125" style="3" customWidth="1"/>
    <col min="20" max="20" width="2.7109375" style="3" customWidth="1"/>
    <col min="21" max="21" width="17.140625" style="3" customWidth="1"/>
    <col min="22" max="22" width="2.7109375" style="3" customWidth="1"/>
    <col min="23" max="23" width="13.7109375" style="3" customWidth="1"/>
    <col min="24" max="24" width="2.7109375" style="3" customWidth="1"/>
    <col min="25" max="39" width="13.7109375" style="3" customWidth="1"/>
    <col min="40" max="16384" width="9.140625" style="3"/>
  </cols>
  <sheetData>
    <row r="2" spans="2:23" s="28" customFormat="1" ht="18" x14ac:dyDescent="0.25">
      <c r="B2" s="28" t="s">
        <v>427</v>
      </c>
    </row>
    <row r="4" spans="2:23" x14ac:dyDescent="0.25">
      <c r="B4" s="2" t="s">
        <v>29</v>
      </c>
    </row>
    <row r="5" spans="2:23" ht="12.75" customHeight="1" x14ac:dyDescent="0.25">
      <c r="B5" s="156" t="s">
        <v>436</v>
      </c>
      <c r="C5" s="2"/>
      <c r="D5" s="2"/>
      <c r="L5" s="145"/>
    </row>
    <row r="6" spans="2:23" ht="12.75" customHeight="1" x14ac:dyDescent="0.25">
      <c r="B6" s="35" t="s">
        <v>431</v>
      </c>
      <c r="C6" s="35"/>
      <c r="D6" s="35"/>
      <c r="H6" s="29"/>
    </row>
    <row r="7" spans="2:23" x14ac:dyDescent="0.25">
      <c r="B7" s="35" t="s">
        <v>432</v>
      </c>
      <c r="C7" s="35"/>
      <c r="D7" s="35"/>
      <c r="H7" s="29"/>
    </row>
    <row r="8" spans="2:23" x14ac:dyDescent="0.25">
      <c r="B8" s="148" t="s">
        <v>433</v>
      </c>
      <c r="C8" s="35"/>
      <c r="D8" s="35"/>
      <c r="H8" s="29"/>
    </row>
    <row r="10" spans="2:23" s="9" customFormat="1" x14ac:dyDescent="0.25">
      <c r="B10" s="9" t="s">
        <v>45</v>
      </c>
      <c r="F10" s="9" t="s">
        <v>27</v>
      </c>
      <c r="H10" s="9" t="s">
        <v>28</v>
      </c>
      <c r="J10" s="9" t="s">
        <v>49</v>
      </c>
      <c r="L10" s="9" t="s">
        <v>172</v>
      </c>
      <c r="M10" s="9" t="s">
        <v>65</v>
      </c>
      <c r="N10" s="9" t="s">
        <v>66</v>
      </c>
      <c r="O10" s="9" t="s">
        <v>67</v>
      </c>
      <c r="P10" s="9" t="s">
        <v>68</v>
      </c>
      <c r="Q10" s="9" t="s">
        <v>69</v>
      </c>
      <c r="R10" s="9" t="s">
        <v>70</v>
      </c>
      <c r="S10" s="9" t="s">
        <v>71</v>
      </c>
      <c r="U10" s="9" t="s">
        <v>46</v>
      </c>
      <c r="W10" s="9" t="s">
        <v>47</v>
      </c>
    </row>
    <row r="13" spans="2:23" s="9" customFormat="1" x14ac:dyDescent="0.25">
      <c r="B13" s="9" t="s">
        <v>428</v>
      </c>
    </row>
    <row r="15" spans="2:23" ht="12.75" customHeight="1" x14ac:dyDescent="0.2">
      <c r="B15" s="3" t="s">
        <v>429</v>
      </c>
      <c r="F15" s="101" t="s">
        <v>244</v>
      </c>
      <c r="J15" s="175">
        <f>SUM(L15:S15)</f>
        <v>18801260.797860246</v>
      </c>
      <c r="L15" s="152">
        <v>326249.33635196713</v>
      </c>
      <c r="M15" s="152">
        <v>473608.93235481577</v>
      </c>
      <c r="N15" s="152">
        <v>5967120.9689551992</v>
      </c>
      <c r="O15" s="152">
        <v>6143518.5200805049</v>
      </c>
      <c r="P15" s="152">
        <v>252673.24128268484</v>
      </c>
      <c r="Q15" s="152">
        <v>4750061.384419743</v>
      </c>
      <c r="R15" s="152">
        <v>888028.41441533214</v>
      </c>
      <c r="S15" s="152">
        <v>0</v>
      </c>
      <c r="U15" s="35" t="s">
        <v>488</v>
      </c>
    </row>
    <row r="16" spans="2:23" ht="12.75" customHeight="1" x14ac:dyDescent="0.25"/>
    <row r="17" spans="2:21" ht="12.75" customHeight="1" x14ac:dyDescent="0.2">
      <c r="B17" s="3" t="s">
        <v>446</v>
      </c>
      <c r="F17" s="101" t="s">
        <v>244</v>
      </c>
      <c r="J17" s="175">
        <f>SUM(L17:S17)</f>
        <v>15413479.798263948</v>
      </c>
      <c r="L17" s="152">
        <v>164237.35020746524</v>
      </c>
      <c r="M17" s="152">
        <v>328110.94258486771</v>
      </c>
      <c r="N17" s="152">
        <v>4897775.1602981715</v>
      </c>
      <c r="O17" s="152">
        <v>5473439.6628916403</v>
      </c>
      <c r="P17" s="152">
        <v>149121.35877188097</v>
      </c>
      <c r="Q17" s="152">
        <v>3533466.1432848517</v>
      </c>
      <c r="R17" s="152">
        <v>896128.71122506948</v>
      </c>
      <c r="S17" s="152">
        <v>-28799.531000000003</v>
      </c>
      <c r="U17" s="35" t="s">
        <v>485</v>
      </c>
    </row>
    <row r="18" spans="2:21" ht="12.75" customHeight="1" x14ac:dyDescent="0.2">
      <c r="B18" s="3" t="s">
        <v>447</v>
      </c>
      <c r="F18" s="101" t="s">
        <v>244</v>
      </c>
      <c r="J18" s="175">
        <f>SUM(L18:S18)</f>
        <v>5578322.7217234457</v>
      </c>
      <c r="L18" s="152">
        <v>266845.35312346061</v>
      </c>
      <c r="M18" s="152">
        <v>86673.023462579993</v>
      </c>
      <c r="N18" s="152">
        <v>1777283.5428935299</v>
      </c>
      <c r="O18" s="152">
        <v>1519796.5786638465</v>
      </c>
      <c r="P18" s="152">
        <v>123343.83574021969</v>
      </c>
      <c r="Q18" s="152">
        <v>1698471.3933386588</v>
      </c>
      <c r="R18" s="152">
        <v>105908.99450114986</v>
      </c>
      <c r="S18" s="152">
        <v>0</v>
      </c>
      <c r="U18" s="35" t="s">
        <v>486</v>
      </c>
    </row>
    <row r="19" spans="2:21" ht="12.75" customHeight="1" x14ac:dyDescent="0.25">
      <c r="B19" s="3" t="s">
        <v>430</v>
      </c>
      <c r="F19" s="101" t="s">
        <v>244</v>
      </c>
      <c r="J19" s="175">
        <f>SUM(L19:S19)</f>
        <v>20991802.519987393</v>
      </c>
      <c r="L19" s="69">
        <f>SUM(L17:L18)</f>
        <v>431082.70333092584</v>
      </c>
      <c r="M19" s="69">
        <f t="shared" ref="M19:S19" si="0">SUM(M17:M18)</f>
        <v>414783.9660474477</v>
      </c>
      <c r="N19" s="69">
        <f t="shared" si="0"/>
        <v>6675058.7031917013</v>
      </c>
      <c r="O19" s="69">
        <f t="shared" si="0"/>
        <v>6993236.2415554868</v>
      </c>
      <c r="P19" s="69">
        <f t="shared" si="0"/>
        <v>272465.19451210066</v>
      </c>
      <c r="Q19" s="69">
        <f t="shared" si="0"/>
        <v>5231937.5366235105</v>
      </c>
      <c r="R19" s="69">
        <f t="shared" si="0"/>
        <v>1002037.7057262193</v>
      </c>
      <c r="S19" s="69">
        <f t="shared" si="0"/>
        <v>-28799.531000000003</v>
      </c>
      <c r="U19" s="40"/>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W66"/>
  <sheetViews>
    <sheetView showGridLines="0" zoomScale="85" zoomScaleNormal="85" workbookViewId="0">
      <pane xSplit="6" ySplit="10" topLeftCell="G11" activePane="bottomRight" state="frozen"/>
      <selection activeCell="R6" sqref="R6"/>
      <selection pane="topRight" activeCell="R6" sqref="R6"/>
      <selection pane="bottomLeft" activeCell="R6" sqref="R6"/>
      <selection pane="bottomRight" activeCell="G11" sqref="G11"/>
    </sheetView>
  </sheetViews>
  <sheetFormatPr defaultRowHeight="12.75" x14ac:dyDescent="0.25"/>
  <cols>
    <col min="1" max="1" width="4.7109375" style="3" customWidth="1"/>
    <col min="2" max="2" width="53.5703125" style="3" customWidth="1"/>
    <col min="3" max="3" width="4.7109375" style="3" customWidth="1"/>
    <col min="4" max="5" width="4.5703125" style="3" customWidth="1"/>
    <col min="6" max="6" width="13.7109375" style="3" customWidth="1"/>
    <col min="7" max="7" width="2.7109375" style="3" customWidth="1"/>
    <col min="8" max="8" width="13.7109375" style="3" customWidth="1"/>
    <col min="9" max="9" width="2.7109375" style="3" customWidth="1"/>
    <col min="10" max="10" width="13.7109375" style="3" customWidth="1"/>
    <col min="11" max="11" width="2.7109375" style="3" customWidth="1"/>
    <col min="12" max="19" width="12.5703125" style="3" customWidth="1"/>
    <col min="20" max="20" width="2.7109375" style="3" customWidth="1"/>
    <col min="21" max="21" width="17.140625" style="3" customWidth="1"/>
    <col min="22" max="22" width="2.7109375" style="3" customWidth="1"/>
    <col min="23" max="23" width="13.7109375" style="3" customWidth="1"/>
    <col min="24" max="24" width="2.7109375" style="3" customWidth="1"/>
    <col min="25" max="39" width="13.7109375" style="3" customWidth="1"/>
    <col min="40" max="16384" width="9.140625" style="3"/>
  </cols>
  <sheetData>
    <row r="2" spans="2:23" s="28" customFormat="1" ht="18" x14ac:dyDescent="0.25">
      <c r="B2" s="28" t="s">
        <v>298</v>
      </c>
    </row>
    <row r="4" spans="2:23" ht="15" x14ac:dyDescent="0.25">
      <c r="B4" s="41" t="s">
        <v>29</v>
      </c>
      <c r="C4" s="2"/>
      <c r="D4" s="2"/>
      <c r="L4" s="145"/>
    </row>
    <row r="5" spans="2:23" x14ac:dyDescent="0.25">
      <c r="B5" s="35" t="s">
        <v>422</v>
      </c>
      <c r="C5" s="35"/>
      <c r="D5" s="35"/>
      <c r="H5" s="29"/>
    </row>
    <row r="6" spans="2:23" x14ac:dyDescent="0.25">
      <c r="B6" s="35" t="s">
        <v>476</v>
      </c>
      <c r="C6" s="35"/>
      <c r="D6" s="35"/>
      <c r="H6" s="29"/>
    </row>
    <row r="9" spans="2:23" s="9" customFormat="1" x14ac:dyDescent="0.25">
      <c r="B9" s="9" t="s">
        <v>45</v>
      </c>
      <c r="F9" s="9" t="s">
        <v>27</v>
      </c>
      <c r="H9" s="9" t="s">
        <v>28</v>
      </c>
      <c r="J9" s="9" t="s">
        <v>49</v>
      </c>
      <c r="L9" s="9" t="s">
        <v>172</v>
      </c>
      <c r="M9" s="9" t="s">
        <v>65</v>
      </c>
      <c r="N9" s="9" t="s">
        <v>66</v>
      </c>
      <c r="O9" s="9" t="s">
        <v>67</v>
      </c>
      <c r="P9" s="9" t="s">
        <v>68</v>
      </c>
      <c r="Q9" s="9" t="s">
        <v>69</v>
      </c>
      <c r="R9" s="9" t="s">
        <v>70</v>
      </c>
      <c r="S9" s="9" t="s">
        <v>71</v>
      </c>
      <c r="U9" s="9" t="s">
        <v>46</v>
      </c>
      <c r="W9" s="9" t="s">
        <v>47</v>
      </c>
    </row>
    <row r="12" spans="2:23" s="9" customFormat="1" x14ac:dyDescent="0.25">
      <c r="B12" s="9" t="s">
        <v>342</v>
      </c>
    </row>
    <row r="14" spans="2:23" x14ac:dyDescent="0.25">
      <c r="B14" s="2" t="s">
        <v>338</v>
      </c>
      <c r="L14" s="158"/>
      <c r="M14" s="158"/>
      <c r="N14" s="158"/>
      <c r="O14" s="158"/>
      <c r="P14" s="158"/>
      <c r="Q14" s="158"/>
      <c r="R14" s="158"/>
      <c r="S14" s="158"/>
    </row>
    <row r="15" spans="2:23" x14ac:dyDescent="0.25">
      <c r="B15" s="3" t="s">
        <v>100</v>
      </c>
      <c r="L15" s="162"/>
      <c r="M15" s="152">
        <v>4</v>
      </c>
      <c r="N15" s="152">
        <v>3</v>
      </c>
      <c r="O15" s="147">
        <v>0</v>
      </c>
      <c r="P15" s="162"/>
      <c r="Q15" s="162"/>
      <c r="R15" s="162"/>
      <c r="S15" s="152">
        <v>8</v>
      </c>
      <c r="U15" s="3" t="s">
        <v>423</v>
      </c>
    </row>
    <row r="16" spans="2:23" x14ac:dyDescent="0.25">
      <c r="B16" s="3" t="s">
        <v>101</v>
      </c>
      <c r="L16" s="162"/>
      <c r="M16" s="152">
        <v>72988.6804898298</v>
      </c>
      <c r="N16" s="152">
        <v>44690.66666687528</v>
      </c>
      <c r="O16" s="147">
        <v>0</v>
      </c>
      <c r="P16" s="162"/>
      <c r="Q16" s="162"/>
      <c r="R16" s="162"/>
      <c r="S16" s="152">
        <v>352547.58386682562</v>
      </c>
      <c r="U16" s="3" t="s">
        <v>424</v>
      </c>
    </row>
    <row r="17" spans="2:21" x14ac:dyDescent="0.25">
      <c r="M17" s="159"/>
      <c r="N17" s="159"/>
      <c r="S17" s="159"/>
    </row>
    <row r="18" spans="2:21" x14ac:dyDescent="0.25">
      <c r="B18" s="2" t="s">
        <v>339</v>
      </c>
      <c r="M18" s="159"/>
      <c r="N18" s="159"/>
      <c r="S18" s="159"/>
    </row>
    <row r="19" spans="2:21" x14ac:dyDescent="0.25">
      <c r="B19" s="3" t="s">
        <v>340</v>
      </c>
      <c r="L19" s="162"/>
      <c r="M19" s="152">
        <v>0</v>
      </c>
      <c r="N19" s="152">
        <v>0</v>
      </c>
      <c r="O19" s="152">
        <v>0</v>
      </c>
      <c r="P19" s="162"/>
      <c r="Q19" s="162"/>
      <c r="R19" s="162"/>
      <c r="S19" s="152">
        <v>0</v>
      </c>
      <c r="U19" s="3" t="s">
        <v>425</v>
      </c>
    </row>
    <row r="20" spans="2:21" x14ac:dyDescent="0.25">
      <c r="M20" s="159"/>
      <c r="N20" s="159"/>
      <c r="S20" s="159"/>
    </row>
    <row r="21" spans="2:21" x14ac:dyDescent="0.25">
      <c r="B21" s="2" t="s">
        <v>341</v>
      </c>
      <c r="M21" s="159"/>
      <c r="N21" s="159"/>
      <c r="S21" s="159"/>
    </row>
    <row r="22" spans="2:21" x14ac:dyDescent="0.25">
      <c r="B22" s="3" t="s">
        <v>340</v>
      </c>
      <c r="L22" s="162"/>
      <c r="M22" s="152">
        <v>4</v>
      </c>
      <c r="N22" s="152">
        <v>4</v>
      </c>
      <c r="O22" s="152">
        <v>1</v>
      </c>
      <c r="P22" s="162"/>
      <c r="Q22" s="162"/>
      <c r="R22" s="162"/>
      <c r="S22" s="152">
        <v>8</v>
      </c>
      <c r="U22" s="3" t="s">
        <v>426</v>
      </c>
    </row>
    <row r="24" spans="2:21" s="9" customFormat="1" x14ac:dyDescent="0.25">
      <c r="B24" s="9" t="s">
        <v>343</v>
      </c>
    </row>
    <row r="26" spans="2:21" x14ac:dyDescent="0.25">
      <c r="B26" s="2" t="s">
        <v>338</v>
      </c>
    </row>
    <row r="27" spans="2:21" x14ac:dyDescent="0.25">
      <c r="B27" s="3" t="s">
        <v>100</v>
      </c>
      <c r="F27" s="3" t="s">
        <v>346</v>
      </c>
      <c r="L27" s="162"/>
      <c r="M27" s="178">
        <v>210.84</v>
      </c>
      <c r="N27" s="178">
        <v>734.07</v>
      </c>
      <c r="O27" s="178"/>
      <c r="P27" s="162"/>
      <c r="Q27" s="162"/>
      <c r="R27" s="162"/>
      <c r="S27" s="178">
        <v>775.18</v>
      </c>
      <c r="U27" s="3" t="s">
        <v>418</v>
      </c>
    </row>
    <row r="28" spans="2:21" x14ac:dyDescent="0.25">
      <c r="B28" s="3" t="s">
        <v>101</v>
      </c>
      <c r="F28" s="3" t="s">
        <v>347</v>
      </c>
      <c r="L28" s="162"/>
      <c r="M28" s="178">
        <v>9</v>
      </c>
      <c r="N28" s="178">
        <v>9.1377000000000006</v>
      </c>
      <c r="O28" s="178"/>
      <c r="P28" s="162"/>
      <c r="Q28" s="162"/>
      <c r="R28" s="162"/>
      <c r="S28" s="178">
        <v>9.2373999999999992</v>
      </c>
      <c r="U28" s="3" t="s">
        <v>419</v>
      </c>
    </row>
    <row r="29" spans="2:21" x14ac:dyDescent="0.25">
      <c r="M29" s="159"/>
      <c r="N29" s="159"/>
      <c r="O29" s="159"/>
      <c r="S29" s="159"/>
    </row>
    <row r="30" spans="2:21" x14ac:dyDescent="0.25">
      <c r="B30" s="2" t="s">
        <v>339</v>
      </c>
      <c r="M30" s="159"/>
      <c r="N30" s="159"/>
      <c r="O30" s="159"/>
      <c r="S30" s="159"/>
    </row>
    <row r="31" spans="2:21" x14ac:dyDescent="0.25">
      <c r="B31" s="3" t="s">
        <v>340</v>
      </c>
      <c r="F31" s="3" t="s">
        <v>348</v>
      </c>
      <c r="L31" s="162"/>
      <c r="M31" s="178"/>
      <c r="N31" s="178"/>
      <c r="O31" s="178"/>
      <c r="P31" s="162"/>
      <c r="Q31" s="162"/>
      <c r="R31" s="162"/>
      <c r="S31" s="178"/>
      <c r="U31" s="3" t="s">
        <v>420</v>
      </c>
    </row>
    <row r="32" spans="2:21" x14ac:dyDescent="0.25">
      <c r="M32" s="159"/>
      <c r="N32" s="159"/>
      <c r="O32" s="159"/>
      <c r="S32" s="159"/>
    </row>
    <row r="33" spans="2:21" x14ac:dyDescent="0.25">
      <c r="B33" s="2" t="s">
        <v>341</v>
      </c>
      <c r="M33" s="159"/>
      <c r="N33" s="159"/>
      <c r="O33" s="159"/>
      <c r="S33" s="159"/>
    </row>
    <row r="34" spans="2:21" x14ac:dyDescent="0.25">
      <c r="B34" s="3" t="s">
        <v>340</v>
      </c>
      <c r="F34" s="3" t="s">
        <v>346</v>
      </c>
      <c r="L34" s="162"/>
      <c r="M34" s="178">
        <v>3692.88</v>
      </c>
      <c r="N34" s="178">
        <v>1265.02</v>
      </c>
      <c r="O34" s="178">
        <v>555</v>
      </c>
      <c r="P34" s="162"/>
      <c r="Q34" s="162"/>
      <c r="R34" s="162"/>
      <c r="S34" s="178">
        <v>3617.18</v>
      </c>
      <c r="U34" s="3" t="s">
        <v>421</v>
      </c>
    </row>
    <row r="36" spans="2:21" s="9" customFormat="1" x14ac:dyDescent="0.25">
      <c r="B36" s="9" t="s">
        <v>345</v>
      </c>
    </row>
    <row r="38" spans="2:21" x14ac:dyDescent="0.25">
      <c r="B38" s="2" t="s">
        <v>338</v>
      </c>
    </row>
    <row r="39" spans="2:21" x14ac:dyDescent="0.25">
      <c r="B39" s="3" t="s">
        <v>100</v>
      </c>
      <c r="F39" s="3" t="s">
        <v>346</v>
      </c>
      <c r="L39" s="162"/>
      <c r="M39" s="178">
        <v>212.28000000000003</v>
      </c>
      <c r="N39" s="178">
        <v>741.6</v>
      </c>
      <c r="O39" s="178"/>
      <c r="P39" s="162"/>
      <c r="Q39" s="162"/>
      <c r="R39" s="162"/>
      <c r="S39" s="178">
        <v>768.92</v>
      </c>
      <c r="U39" s="3" t="s">
        <v>410</v>
      </c>
    </row>
    <row r="40" spans="2:21" x14ac:dyDescent="0.25">
      <c r="B40" s="3" t="s">
        <v>101</v>
      </c>
      <c r="F40" s="3" t="s">
        <v>347</v>
      </c>
      <c r="L40" s="162"/>
      <c r="M40" s="178">
        <v>9</v>
      </c>
      <c r="N40" s="178">
        <v>9.2314000000000007</v>
      </c>
      <c r="O40" s="178"/>
      <c r="P40" s="162"/>
      <c r="Q40" s="162"/>
      <c r="R40" s="162"/>
      <c r="S40" s="178">
        <v>9.1628000000000007</v>
      </c>
      <c r="U40" s="3" t="s">
        <v>411</v>
      </c>
    </row>
    <row r="41" spans="2:21" x14ac:dyDescent="0.25">
      <c r="M41" s="159"/>
      <c r="N41" s="159"/>
      <c r="O41" s="159"/>
      <c r="S41" s="159"/>
    </row>
    <row r="42" spans="2:21" x14ac:dyDescent="0.25">
      <c r="B42" s="2" t="s">
        <v>339</v>
      </c>
      <c r="M42" s="159"/>
      <c r="N42" s="159"/>
      <c r="O42" s="159"/>
      <c r="S42" s="159"/>
    </row>
    <row r="43" spans="2:21" x14ac:dyDescent="0.25">
      <c r="B43" s="3" t="s">
        <v>340</v>
      </c>
      <c r="F43" s="3" t="s">
        <v>348</v>
      </c>
      <c r="L43" s="162"/>
      <c r="M43" s="178"/>
      <c r="N43" s="178"/>
      <c r="O43" s="178"/>
      <c r="P43" s="162"/>
      <c r="Q43" s="162"/>
      <c r="R43" s="162"/>
      <c r="S43" s="178"/>
      <c r="U43" s="3" t="s">
        <v>412</v>
      </c>
    </row>
    <row r="44" spans="2:21" x14ac:dyDescent="0.25">
      <c r="M44" s="159"/>
      <c r="N44" s="159"/>
      <c r="O44" s="159"/>
      <c r="S44" s="159"/>
    </row>
    <row r="45" spans="2:21" x14ac:dyDescent="0.25">
      <c r="B45" s="2" t="s">
        <v>341</v>
      </c>
      <c r="M45" s="159"/>
      <c r="N45" s="159"/>
      <c r="O45" s="159"/>
      <c r="S45" s="159"/>
    </row>
    <row r="46" spans="2:21" x14ac:dyDescent="0.25">
      <c r="B46" s="3" t="s">
        <v>340</v>
      </c>
      <c r="F46" s="3" t="s">
        <v>346</v>
      </c>
      <c r="L46" s="162"/>
      <c r="M46" s="178">
        <v>3820.7999999999997</v>
      </c>
      <c r="N46" s="178">
        <v>1277.99</v>
      </c>
      <c r="O46" s="178">
        <v>583.20000000000005</v>
      </c>
      <c r="P46" s="162"/>
      <c r="Q46" s="162"/>
      <c r="R46" s="162"/>
      <c r="S46" s="178">
        <v>3587.97</v>
      </c>
      <c r="U46" s="3" t="s">
        <v>413</v>
      </c>
    </row>
    <row r="48" spans="2:21" s="9" customFormat="1" x14ac:dyDescent="0.25">
      <c r="B48" s="9" t="s">
        <v>344</v>
      </c>
    </row>
    <row r="50" spans="2:21" x14ac:dyDescent="0.25">
      <c r="B50" s="2" t="s">
        <v>338</v>
      </c>
    </row>
    <row r="51" spans="2:21" x14ac:dyDescent="0.25">
      <c r="B51" s="3" t="s">
        <v>100</v>
      </c>
      <c r="F51" s="3" t="s">
        <v>346</v>
      </c>
      <c r="L51" s="162"/>
      <c r="M51" s="178">
        <v>213.6</v>
      </c>
      <c r="N51" s="178">
        <v>744.5</v>
      </c>
      <c r="O51" s="178"/>
      <c r="P51" s="162"/>
      <c r="Q51" s="162"/>
      <c r="R51" s="162"/>
      <c r="S51" s="178">
        <v>767.27</v>
      </c>
      <c r="U51" s="3" t="s">
        <v>414</v>
      </c>
    </row>
    <row r="52" spans="2:21" x14ac:dyDescent="0.25">
      <c r="B52" s="3" t="s">
        <v>101</v>
      </c>
      <c r="F52" s="3" t="s">
        <v>347</v>
      </c>
      <c r="L52" s="162"/>
      <c r="M52" s="178">
        <v>9</v>
      </c>
      <c r="N52" s="178">
        <v>9.2674000000000003</v>
      </c>
      <c r="O52" s="178"/>
      <c r="P52" s="162"/>
      <c r="Q52" s="162"/>
      <c r="R52" s="162"/>
      <c r="S52" s="178">
        <v>9.1296999999999997</v>
      </c>
      <c r="U52" s="3" t="s">
        <v>415</v>
      </c>
    </row>
    <row r="53" spans="2:21" x14ac:dyDescent="0.25">
      <c r="M53" s="159"/>
      <c r="N53" s="159"/>
      <c r="O53" s="159"/>
      <c r="S53" s="159"/>
    </row>
    <row r="54" spans="2:21" x14ac:dyDescent="0.25">
      <c r="B54" s="2" t="s">
        <v>339</v>
      </c>
      <c r="M54" s="159"/>
      <c r="N54" s="159"/>
      <c r="O54" s="159"/>
      <c r="S54" s="159"/>
    </row>
    <row r="55" spans="2:21" x14ac:dyDescent="0.25">
      <c r="B55" s="3" t="s">
        <v>340</v>
      </c>
      <c r="F55" s="3" t="s">
        <v>348</v>
      </c>
      <c r="L55" s="162"/>
      <c r="M55" s="178"/>
      <c r="N55" s="178"/>
      <c r="O55" s="178"/>
      <c r="P55" s="162"/>
      <c r="Q55" s="162"/>
      <c r="R55" s="162"/>
      <c r="S55" s="178"/>
      <c r="U55" s="3" t="s">
        <v>416</v>
      </c>
    </row>
    <row r="56" spans="2:21" x14ac:dyDescent="0.25">
      <c r="M56" s="159"/>
      <c r="N56" s="159"/>
      <c r="O56" s="159"/>
      <c r="S56" s="159"/>
    </row>
    <row r="57" spans="2:21" x14ac:dyDescent="0.25">
      <c r="B57" s="2" t="s">
        <v>341</v>
      </c>
      <c r="M57" s="179"/>
      <c r="N57" s="179"/>
      <c r="O57" s="179"/>
      <c r="S57" s="159"/>
    </row>
    <row r="58" spans="2:21" x14ac:dyDescent="0.25">
      <c r="B58" s="3" t="s">
        <v>340</v>
      </c>
      <c r="F58" s="3" t="s">
        <v>346</v>
      </c>
      <c r="L58" s="162"/>
      <c r="M58" s="178">
        <v>3911.52</v>
      </c>
      <c r="N58" s="178">
        <v>1282.9000000000001</v>
      </c>
      <c r="O58" s="178">
        <v>571.68000000000006</v>
      </c>
      <c r="P58" s="162"/>
      <c r="Q58" s="162"/>
      <c r="R58" s="162"/>
      <c r="S58" s="178">
        <v>3580.25</v>
      </c>
      <c r="U58" s="3" t="s">
        <v>417</v>
      </c>
    </row>
    <row r="60" spans="2:21" s="9" customFormat="1" x14ac:dyDescent="0.25">
      <c r="B60" s="9" t="s">
        <v>461</v>
      </c>
    </row>
    <row r="62" spans="2:21" x14ac:dyDescent="0.2">
      <c r="B62" s="3" t="s">
        <v>455</v>
      </c>
      <c r="F62" s="88" t="s">
        <v>186</v>
      </c>
      <c r="L62" s="160"/>
      <c r="M62" s="152">
        <v>-315427.03851944156</v>
      </c>
      <c r="N62" s="152">
        <v>-2642751.2784069027</v>
      </c>
      <c r="O62" s="142"/>
      <c r="P62" s="160"/>
      <c r="Q62" s="160"/>
      <c r="R62" s="160"/>
      <c r="S62" s="152">
        <v>15662.582433362299</v>
      </c>
    </row>
    <row r="63" spans="2:21" x14ac:dyDescent="0.2">
      <c r="B63" s="3" t="s">
        <v>456</v>
      </c>
      <c r="F63" s="88" t="s">
        <v>187</v>
      </c>
      <c r="L63" s="160"/>
      <c r="M63" s="152">
        <v>69540.534395046823</v>
      </c>
      <c r="N63" s="152">
        <v>3261556.51316333</v>
      </c>
      <c r="O63" s="142"/>
      <c r="P63" s="160"/>
      <c r="Q63" s="160"/>
      <c r="R63" s="160"/>
      <c r="S63" s="152">
        <v>14573.412182184509</v>
      </c>
    </row>
    <row r="64" spans="2:21" x14ac:dyDescent="0.2">
      <c r="B64" s="3" t="s">
        <v>457</v>
      </c>
      <c r="F64" s="88" t="s">
        <v>185</v>
      </c>
      <c r="L64" s="160"/>
      <c r="M64" s="152">
        <v>11236.128860153343</v>
      </c>
      <c r="N64" s="152">
        <v>4865346.4878493398</v>
      </c>
      <c r="O64" s="142"/>
      <c r="P64" s="160"/>
      <c r="Q64" s="160"/>
      <c r="R64" s="160"/>
      <c r="S64" s="152">
        <v>0</v>
      </c>
    </row>
    <row r="66" ht="16.5" customHeight="1"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X37"/>
  <sheetViews>
    <sheetView showGridLines="0" zoomScale="85" zoomScaleNormal="85" workbookViewId="0">
      <pane xSplit="6" ySplit="15" topLeftCell="G16" activePane="bottomRight" state="frozen"/>
      <selection activeCell="Q51" sqref="Q51"/>
      <selection pane="topRight" activeCell="Q51" sqref="Q51"/>
      <selection pane="bottomLeft" activeCell="Q51" sqref="Q51"/>
      <selection pane="bottomRight" activeCell="G16" sqref="G16"/>
    </sheetView>
  </sheetViews>
  <sheetFormatPr defaultRowHeight="12.75" customHeight="1" x14ac:dyDescent="0.25"/>
  <cols>
    <col min="1" max="1" width="4" style="3" customWidth="1"/>
    <col min="2" max="2" width="41.42578125" style="3" customWidth="1"/>
    <col min="3" max="5" width="4.5703125" style="3" customWidth="1"/>
    <col min="6" max="6" width="13.7109375" style="3" customWidth="1"/>
    <col min="7" max="7" width="2.7109375" style="3" customWidth="1"/>
    <col min="8" max="8" width="13.7109375" style="3" customWidth="1"/>
    <col min="9" max="9" width="2.7109375" style="3" customWidth="1"/>
    <col min="10" max="10" width="13.7109375" style="3" customWidth="1"/>
    <col min="11" max="11" width="2.7109375" style="3" customWidth="1"/>
    <col min="12" max="13" width="12.5703125" style="47" customWidth="1"/>
    <col min="14" max="15" width="15.85546875" style="47" bestFit="1" customWidth="1"/>
    <col min="16" max="16" width="12.5703125" style="47" customWidth="1"/>
    <col min="17" max="17" width="15.85546875" style="47" bestFit="1" customWidth="1"/>
    <col min="18" max="19" width="12.5703125" style="47" customWidth="1"/>
    <col min="20" max="21" width="2.7109375" style="3" customWidth="1"/>
    <col min="22" max="22" width="13.7109375" style="3" customWidth="1"/>
    <col min="23" max="23" width="2.7109375" style="3" customWidth="1"/>
    <col min="24" max="37" width="13.7109375" style="3" customWidth="1"/>
    <col min="38" max="16384" width="9.140625" style="3"/>
  </cols>
  <sheetData>
    <row r="1" spans="1:24" ht="12.75" customHeight="1" x14ac:dyDescent="0.25">
      <c r="A1" s="10"/>
    </row>
    <row r="2" spans="1:24" s="28" customFormat="1" ht="18" x14ac:dyDescent="0.25">
      <c r="B2" s="28" t="s">
        <v>399</v>
      </c>
      <c r="L2" s="46"/>
      <c r="M2" s="46"/>
      <c r="N2" s="46"/>
      <c r="O2" s="46"/>
      <c r="P2" s="46"/>
      <c r="Q2" s="46"/>
      <c r="R2" s="46"/>
      <c r="S2" s="46"/>
    </row>
    <row r="4" spans="1:24" ht="12.75" customHeight="1" x14ac:dyDescent="0.25">
      <c r="B4" s="2" t="s">
        <v>400</v>
      </c>
      <c r="C4" s="2"/>
      <c r="D4" s="2"/>
      <c r="J4" s="40"/>
    </row>
    <row r="5" spans="1:24" ht="12.75" customHeight="1" x14ac:dyDescent="0.2">
      <c r="B5" s="42" t="s">
        <v>194</v>
      </c>
      <c r="C5" s="4"/>
      <c r="D5" s="4"/>
      <c r="H5" s="29"/>
    </row>
    <row r="6" spans="1:24" ht="12.75" customHeight="1" x14ac:dyDescent="0.2">
      <c r="B6" s="88" t="s">
        <v>398</v>
      </c>
      <c r="C6" s="4"/>
      <c r="D6" s="4"/>
      <c r="H6" s="29"/>
    </row>
    <row r="7" spans="1:24" ht="12.75" customHeight="1" x14ac:dyDescent="0.2">
      <c r="B7" s="88" t="s">
        <v>293</v>
      </c>
      <c r="C7" s="4"/>
      <c r="D7" s="4"/>
      <c r="H7" s="29"/>
    </row>
    <row r="8" spans="1:24" ht="12.75" customHeight="1" x14ac:dyDescent="0.2">
      <c r="B8" s="88" t="s">
        <v>195</v>
      </c>
      <c r="C8" s="4"/>
      <c r="D8" s="4"/>
      <c r="H8" s="29"/>
    </row>
    <row r="9" spans="1:24" ht="12.75" customHeight="1" x14ac:dyDescent="0.2">
      <c r="B9" s="88" t="s">
        <v>196</v>
      </c>
      <c r="C9" s="4"/>
      <c r="D9" s="4"/>
      <c r="H9" s="29"/>
    </row>
    <row r="10" spans="1:24" ht="12.75" customHeight="1" x14ac:dyDescent="0.2">
      <c r="B10" s="88" t="s">
        <v>197</v>
      </c>
      <c r="C10" s="4"/>
      <c r="D10" s="4"/>
      <c r="H10" s="29"/>
    </row>
    <row r="11" spans="1:24" s="42" customFormat="1" ht="12.75" customHeight="1" x14ac:dyDescent="0.2">
      <c r="B11" s="143" t="s">
        <v>358</v>
      </c>
    </row>
    <row r="12" spans="1:24" s="42" customFormat="1" ht="12.75" customHeight="1" x14ac:dyDescent="0.2">
      <c r="B12" s="42" t="s">
        <v>359</v>
      </c>
    </row>
    <row r="14" spans="1:24" s="9" customFormat="1" ht="12.75" customHeight="1" x14ac:dyDescent="0.25">
      <c r="B14" s="9" t="s">
        <v>45</v>
      </c>
      <c r="F14" s="9" t="s">
        <v>27</v>
      </c>
      <c r="H14" s="9" t="s">
        <v>28</v>
      </c>
      <c r="J14" s="9" t="s">
        <v>49</v>
      </c>
      <c r="L14" s="48" t="s">
        <v>172</v>
      </c>
      <c r="M14" s="48" t="s">
        <v>65</v>
      </c>
      <c r="N14" s="48" t="s">
        <v>66</v>
      </c>
      <c r="O14" s="48" t="s">
        <v>67</v>
      </c>
      <c r="P14" s="48" t="s">
        <v>68</v>
      </c>
      <c r="Q14" s="48" t="s">
        <v>69</v>
      </c>
      <c r="R14" s="48" t="s">
        <v>70</v>
      </c>
      <c r="S14" s="48" t="s">
        <v>71</v>
      </c>
      <c r="V14" s="9" t="s">
        <v>46</v>
      </c>
      <c r="X14" s="9" t="s">
        <v>47</v>
      </c>
    </row>
    <row r="16" spans="1:24" x14ac:dyDescent="0.25">
      <c r="L16" s="3"/>
      <c r="M16" s="3"/>
      <c r="N16" s="3"/>
      <c r="O16" s="3"/>
      <c r="P16" s="3"/>
      <c r="Q16" s="3"/>
      <c r="R16" s="3"/>
      <c r="S16" s="3"/>
    </row>
    <row r="17" spans="2:22" s="9" customFormat="1" x14ac:dyDescent="0.25">
      <c r="B17" s="9" t="s">
        <v>360</v>
      </c>
    </row>
    <row r="19" spans="2:22" ht="12.75" customHeight="1" x14ac:dyDescent="0.2">
      <c r="B19" s="3" t="s">
        <v>361</v>
      </c>
      <c r="F19" s="3" t="s">
        <v>370</v>
      </c>
      <c r="L19" s="152">
        <v>532701.29699999734</v>
      </c>
      <c r="M19" s="152">
        <v>1029264.81</v>
      </c>
      <c r="N19" s="152">
        <v>10444121.318135591</v>
      </c>
      <c r="O19" s="152">
        <v>10870240.24</v>
      </c>
      <c r="P19" s="152">
        <v>368325.15</v>
      </c>
      <c r="Q19" s="152">
        <v>8221051.6499999994</v>
      </c>
      <c r="R19" s="152">
        <v>623761.14999999991</v>
      </c>
      <c r="S19" s="142"/>
      <c r="V19" s="3" t="s">
        <v>386</v>
      </c>
    </row>
    <row r="20" spans="2:22" ht="12.75" customHeight="1" x14ac:dyDescent="0.2">
      <c r="B20" s="3" t="s">
        <v>362</v>
      </c>
      <c r="F20" s="3" t="s">
        <v>371</v>
      </c>
      <c r="L20" s="152">
        <v>572467.20999999903</v>
      </c>
      <c r="M20" s="152">
        <v>1063322.1499999999</v>
      </c>
      <c r="N20" s="152">
        <v>9617129.2651409041</v>
      </c>
      <c r="O20" s="152">
        <v>9841317</v>
      </c>
      <c r="P20" s="152">
        <v>395732.5</v>
      </c>
      <c r="Q20" s="152">
        <v>8657261.8999999985</v>
      </c>
      <c r="R20" s="152">
        <v>430942.15</v>
      </c>
      <c r="S20" s="142"/>
      <c r="V20" s="3" t="s">
        <v>387</v>
      </c>
    </row>
    <row r="21" spans="2:22" ht="12.75" customHeight="1" x14ac:dyDescent="0.2">
      <c r="B21" s="3" t="s">
        <v>363</v>
      </c>
      <c r="F21" s="3" t="s">
        <v>372</v>
      </c>
      <c r="L21" s="152">
        <v>646173.90999999992</v>
      </c>
      <c r="M21" s="152">
        <v>973967.9</v>
      </c>
      <c r="N21" s="152">
        <v>9949851.6899997871</v>
      </c>
      <c r="O21" s="152">
        <v>12015294.780000001</v>
      </c>
      <c r="P21" s="152">
        <v>384793.25</v>
      </c>
      <c r="Q21" s="152">
        <v>11334314.370000001</v>
      </c>
      <c r="R21" s="152">
        <v>480630.68</v>
      </c>
      <c r="S21" s="142"/>
      <c r="V21" s="3" t="s">
        <v>388</v>
      </c>
    </row>
    <row r="23" spans="2:22" ht="12.75" customHeight="1" x14ac:dyDescent="0.25">
      <c r="B23" s="3" t="s">
        <v>364</v>
      </c>
      <c r="F23" s="3" t="s">
        <v>138</v>
      </c>
      <c r="H23" s="153">
        <v>3.3007719701627636E-4</v>
      </c>
      <c r="V23" s="3" t="s">
        <v>389</v>
      </c>
    </row>
    <row r="24" spans="2:22" ht="12.75" customHeight="1" x14ac:dyDescent="0.25">
      <c r="B24" s="3" t="s">
        <v>365</v>
      </c>
      <c r="F24" s="3" t="s">
        <v>138</v>
      </c>
      <c r="H24" s="151">
        <v>1.2E-2</v>
      </c>
      <c r="V24" s="3" t="s">
        <v>390</v>
      </c>
    </row>
    <row r="26" spans="2:22" ht="12.75" customHeight="1" x14ac:dyDescent="0.2">
      <c r="B26" s="3" t="s">
        <v>366</v>
      </c>
      <c r="F26" s="3" t="s">
        <v>373</v>
      </c>
      <c r="L26" s="152">
        <v>4469797.0037227059</v>
      </c>
      <c r="M26" s="152">
        <v>6214723.0918605244</v>
      </c>
      <c r="N26" s="152">
        <v>72164106.861459926</v>
      </c>
      <c r="O26" s="152">
        <v>81197409.838007689</v>
      </c>
      <c r="P26" s="152">
        <v>3363222.481822182</v>
      </c>
      <c r="Q26" s="152">
        <v>59847252.093036763</v>
      </c>
      <c r="R26" s="152">
        <v>2087895.8561172751</v>
      </c>
      <c r="S26" s="142"/>
      <c r="V26" s="3" t="s">
        <v>391</v>
      </c>
    </row>
    <row r="27" spans="2:22" ht="12.75" customHeight="1" x14ac:dyDescent="0.2">
      <c r="B27" s="3" t="s">
        <v>367</v>
      </c>
      <c r="F27" s="3" t="s">
        <v>374</v>
      </c>
      <c r="L27" s="152">
        <v>4862667.8971840777</v>
      </c>
      <c r="M27" s="152">
        <v>6760972.6012204299</v>
      </c>
      <c r="N27" s="152">
        <v>78506457.296749592</v>
      </c>
      <c r="O27" s="152">
        <v>88334340.096959665</v>
      </c>
      <c r="P27" s="152">
        <v>3658836.3979063458</v>
      </c>
      <c r="Q27" s="152">
        <v>65107588.170629077</v>
      </c>
      <c r="R27" s="152">
        <v>2271413.6203266541</v>
      </c>
      <c r="S27" s="142"/>
      <c r="V27" s="3" t="s">
        <v>392</v>
      </c>
    </row>
    <row r="29" spans="2:22" ht="12.75" customHeight="1" x14ac:dyDescent="0.25">
      <c r="B29" s="3" t="s">
        <v>368</v>
      </c>
      <c r="F29" s="3" t="s">
        <v>373</v>
      </c>
      <c r="H29" s="152">
        <v>33573675.307985611</v>
      </c>
      <c r="V29" s="3" t="s">
        <v>393</v>
      </c>
    </row>
    <row r="31" spans="2:22" s="9" customFormat="1" x14ac:dyDescent="0.25">
      <c r="B31" s="9" t="s">
        <v>375</v>
      </c>
    </row>
    <row r="33" spans="2:22" ht="12.75" customHeight="1" x14ac:dyDescent="0.2">
      <c r="B33" s="3" t="s">
        <v>376</v>
      </c>
      <c r="F33" s="3" t="s">
        <v>373</v>
      </c>
      <c r="L33" s="152">
        <v>15725703.855824513</v>
      </c>
      <c r="M33" s="152">
        <v>21302332.517037828</v>
      </c>
      <c r="N33" s="152">
        <v>257201929.79485595</v>
      </c>
      <c r="O33" s="152">
        <v>299464911.51838356</v>
      </c>
      <c r="P33" s="152">
        <v>13710862.93933597</v>
      </c>
      <c r="Q33" s="152">
        <v>222697603.7810151</v>
      </c>
      <c r="R33" s="152">
        <v>14042171.044573437</v>
      </c>
      <c r="S33" s="142"/>
      <c r="V33" s="3" t="s">
        <v>394</v>
      </c>
    </row>
    <row r="34" spans="2:22" ht="12.75" customHeight="1" x14ac:dyDescent="0.2">
      <c r="B34" s="3" t="s">
        <v>379</v>
      </c>
      <c r="F34" s="3" t="s">
        <v>373</v>
      </c>
      <c r="L34" s="160"/>
      <c r="M34" s="152">
        <v>1055707.1971594964</v>
      </c>
      <c r="N34" s="152">
        <v>647568.45694419218</v>
      </c>
      <c r="O34" s="150">
        <v>0</v>
      </c>
      <c r="P34" s="160"/>
      <c r="Q34" s="160"/>
      <c r="R34" s="142"/>
      <c r="S34" s="152">
        <v>5086673.7044375269</v>
      </c>
      <c r="V34" s="3" t="s">
        <v>395</v>
      </c>
    </row>
    <row r="36" spans="2:22" ht="12.75" customHeight="1" x14ac:dyDescent="0.2">
      <c r="B36" s="3" t="s">
        <v>381</v>
      </c>
      <c r="F36" s="3" t="s">
        <v>374</v>
      </c>
      <c r="L36" s="152">
        <v>14989824.571676228</v>
      </c>
      <c r="M36" s="152">
        <v>20354201.588207666</v>
      </c>
      <c r="N36" s="152">
        <v>245290315.43734559</v>
      </c>
      <c r="O36" s="152">
        <v>288144736.85341024</v>
      </c>
      <c r="P36" s="152">
        <v>13206603.872515034</v>
      </c>
      <c r="Q36" s="152">
        <v>213723615.84802988</v>
      </c>
      <c r="R36" s="152">
        <v>13385339.145880563</v>
      </c>
      <c r="S36" s="142"/>
      <c r="V36" s="3" t="s">
        <v>396</v>
      </c>
    </row>
    <row r="37" spans="2:22" ht="12.75" customHeight="1" x14ac:dyDescent="0.25">
      <c r="B37" s="3" t="s">
        <v>384</v>
      </c>
      <c r="F37" s="3" t="s">
        <v>374</v>
      </c>
      <c r="L37" s="160"/>
      <c r="M37" s="152">
        <v>1001291.2281927696</v>
      </c>
      <c r="N37" s="152">
        <v>614189.82208054967</v>
      </c>
      <c r="O37" s="150">
        <v>0</v>
      </c>
      <c r="P37" s="160"/>
      <c r="Q37" s="160"/>
      <c r="R37" s="160"/>
      <c r="S37" s="152">
        <v>4824483.3175676726</v>
      </c>
      <c r="V37" s="3" t="s">
        <v>397</v>
      </c>
    </row>
  </sheetData>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5"/>
  <cols>
    <col min="1" max="16384" width="9.140625" style="33"/>
  </cols>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2:Z35"/>
  <sheetViews>
    <sheetView showGridLines="0" zoomScale="85" zoomScaleNormal="85" workbookViewId="0">
      <pane xSplit="6" ySplit="9" topLeftCell="G10" activePane="bottomRight" state="frozen"/>
      <selection activeCell="A4" sqref="A4"/>
      <selection pane="topRight" activeCell="A4" sqref="A4"/>
      <selection pane="bottomLeft" activeCell="A4" sqref="A4"/>
      <selection pane="bottomRight" activeCell="G10" sqref="G10"/>
    </sheetView>
  </sheetViews>
  <sheetFormatPr defaultRowHeight="12.75" x14ac:dyDescent="0.25"/>
  <cols>
    <col min="1" max="1" width="4" style="3" customWidth="1"/>
    <col min="2" max="2" width="48" style="3" customWidth="1"/>
    <col min="3" max="5" width="4.5703125" style="3" customWidth="1"/>
    <col min="6" max="6" width="13.7109375" style="3" customWidth="1"/>
    <col min="7" max="7" width="2.7109375" style="3" customWidth="1"/>
    <col min="8" max="8" width="13.7109375" style="3" customWidth="1"/>
    <col min="9" max="9" width="2.7109375" style="3" customWidth="1"/>
    <col min="10" max="10" width="13.7109375" style="3" customWidth="1"/>
    <col min="11" max="11" width="2.7109375" style="3" customWidth="1"/>
    <col min="12" max="22" width="12.5703125" style="3" customWidth="1"/>
    <col min="23" max="23" width="2.7109375" style="3" customWidth="1"/>
    <col min="24" max="24" width="25.5703125" style="3" customWidth="1"/>
    <col min="25" max="25" width="3.140625" style="3" customWidth="1"/>
    <col min="26" max="26" width="18" style="3" customWidth="1"/>
    <col min="27" max="39" width="13.7109375" style="3" customWidth="1"/>
    <col min="40" max="16384" width="9.140625" style="3"/>
  </cols>
  <sheetData>
    <row r="2" spans="1:26" s="28" customFormat="1" ht="18" x14ac:dyDescent="0.25">
      <c r="B2" s="28" t="s">
        <v>158</v>
      </c>
    </row>
    <row r="4" spans="1:26" x14ac:dyDescent="0.25">
      <c r="B4" s="2" t="s">
        <v>58</v>
      </c>
      <c r="C4" s="2"/>
      <c r="D4" s="2"/>
    </row>
    <row r="5" spans="1:26" x14ac:dyDescent="0.25">
      <c r="A5" s="10"/>
      <c r="B5" s="35" t="s">
        <v>229</v>
      </c>
      <c r="C5" s="35"/>
      <c r="D5" s="35"/>
      <c r="H5" s="29"/>
    </row>
    <row r="6" spans="1:26" x14ac:dyDescent="0.25">
      <c r="B6" s="35" t="s">
        <v>235</v>
      </c>
      <c r="C6" s="35"/>
      <c r="D6" s="35"/>
      <c r="H6" s="29"/>
    </row>
    <row r="8" spans="1:26" s="9" customFormat="1" x14ac:dyDescent="0.25">
      <c r="B8" s="9" t="s">
        <v>45</v>
      </c>
      <c r="F8" s="9" t="s">
        <v>27</v>
      </c>
      <c r="H8" s="9" t="s">
        <v>28</v>
      </c>
      <c r="J8" s="9" t="s">
        <v>49</v>
      </c>
      <c r="L8" s="113">
        <v>2011</v>
      </c>
      <c r="M8" s="113">
        <v>2012</v>
      </c>
      <c r="N8" s="113">
        <v>2013</v>
      </c>
      <c r="O8" s="113">
        <v>2014</v>
      </c>
      <c r="P8" s="113">
        <v>2015</v>
      </c>
      <c r="Q8" s="113">
        <v>2016</v>
      </c>
      <c r="R8" s="113">
        <v>2017</v>
      </c>
      <c r="S8" s="113">
        <v>2018</v>
      </c>
      <c r="T8" s="113">
        <v>2019</v>
      </c>
      <c r="U8" s="113">
        <v>2020</v>
      </c>
      <c r="V8" s="113">
        <v>2021</v>
      </c>
      <c r="W8" s="134"/>
      <c r="X8" s="9" t="s">
        <v>46</v>
      </c>
      <c r="Z8" s="9" t="s">
        <v>47</v>
      </c>
    </row>
    <row r="11" spans="1:26" s="9" customFormat="1" x14ac:dyDescent="0.25">
      <c r="B11" s="9" t="s">
        <v>48</v>
      </c>
    </row>
    <row r="13" spans="1:26" x14ac:dyDescent="0.25">
      <c r="B13" s="2" t="s">
        <v>141</v>
      </c>
    </row>
    <row r="14" spans="1:26" x14ac:dyDescent="0.25">
      <c r="B14" s="3" t="s">
        <v>142</v>
      </c>
      <c r="F14" s="3" t="s">
        <v>138</v>
      </c>
      <c r="L14" s="109">
        <f>'Input parameters'!L33</f>
        <v>2.5000000000000001E-2</v>
      </c>
      <c r="M14" s="109">
        <f>'Input parameters'!M33</f>
        <v>2.8500000000000001E-2</v>
      </c>
      <c r="N14" s="109">
        <f>'Input parameters'!N33</f>
        <v>0.03</v>
      </c>
      <c r="O14" s="109">
        <f>'Input parameters'!O33</f>
        <v>0.03</v>
      </c>
      <c r="P14" s="109">
        <f>'Input parameters'!P33</f>
        <v>0.04</v>
      </c>
      <c r="Q14" s="109">
        <f>'Input parameters'!Q33</f>
        <v>0.04</v>
      </c>
      <c r="R14" s="109">
        <f>'Input parameters'!R33</f>
        <v>0.04</v>
      </c>
      <c r="S14" s="109">
        <f>'Input parameters'!S33</f>
        <v>0.04</v>
      </c>
      <c r="T14" s="109">
        <f>'Input parameters'!T33</f>
        <v>0.04</v>
      </c>
      <c r="U14" s="109">
        <f>'Input parameters'!U33</f>
        <v>0.04</v>
      </c>
    </row>
    <row r="15" spans="1:26" x14ac:dyDescent="0.25">
      <c r="B15" s="3" t="s">
        <v>143</v>
      </c>
      <c r="F15" s="3" t="s">
        <v>138</v>
      </c>
      <c r="L15" s="109">
        <f>'Input parameters'!L34</f>
        <v>2.5000000000000001E-2</v>
      </c>
      <c r="M15" s="109">
        <f>'Input parameters'!M34</f>
        <v>2.3E-2</v>
      </c>
      <c r="N15" s="109">
        <f>'Input parameters'!N34</f>
        <v>0.03</v>
      </c>
      <c r="O15" s="109">
        <f>'Input parameters'!O34</f>
        <v>0.04</v>
      </c>
      <c r="P15" s="109">
        <f>'Input parameters'!P34</f>
        <v>0.04</v>
      </c>
      <c r="Q15" s="109">
        <f>'Input parameters'!Q34</f>
        <v>0.04</v>
      </c>
      <c r="R15" s="109">
        <f>'Input parameters'!R34</f>
        <v>0.04</v>
      </c>
      <c r="S15" s="109">
        <f>'Input parameters'!S34</f>
        <v>0.04</v>
      </c>
      <c r="T15" s="109">
        <f>'Input parameters'!T34</f>
        <v>0.04</v>
      </c>
      <c r="U15" s="109">
        <f>'Input parameters'!U34</f>
        <v>0.04</v>
      </c>
    </row>
    <row r="16" spans="1:26" x14ac:dyDescent="0.25">
      <c r="B16" s="3" t="s">
        <v>144</v>
      </c>
      <c r="F16" s="3" t="s">
        <v>138</v>
      </c>
      <c r="L16" s="109">
        <f>'Input parameters'!L35</f>
        <v>2.75E-2</v>
      </c>
      <c r="M16" s="109">
        <f>'Input parameters'!M35</f>
        <v>2.5000000000000001E-2</v>
      </c>
      <c r="N16" s="109">
        <f>'Input parameters'!N35</f>
        <v>0.03</v>
      </c>
      <c r="O16" s="109">
        <f>'Input parameters'!O35</f>
        <v>0.04</v>
      </c>
      <c r="P16" s="109">
        <f>'Input parameters'!P35</f>
        <v>0.04</v>
      </c>
      <c r="Q16" s="109">
        <f>'Input parameters'!Q35</f>
        <v>0.04</v>
      </c>
      <c r="R16" s="109">
        <f>'Input parameters'!R35</f>
        <v>0.04</v>
      </c>
      <c r="S16" s="109">
        <f>'Input parameters'!S35</f>
        <v>0.04</v>
      </c>
      <c r="T16" s="109">
        <f>'Input parameters'!T35</f>
        <v>0.04</v>
      </c>
    </row>
    <row r="17" spans="2:21" x14ac:dyDescent="0.25">
      <c r="B17" s="3" t="s">
        <v>145</v>
      </c>
      <c r="F17" s="3" t="s">
        <v>138</v>
      </c>
      <c r="L17" s="109">
        <f>'Input parameters'!L36</f>
        <v>0.03</v>
      </c>
      <c r="M17" s="109">
        <f>'Input parameters'!M36</f>
        <v>2.2499999999999999E-2</v>
      </c>
      <c r="N17" s="109">
        <f>'Input parameters'!N36</f>
        <v>0.03</v>
      </c>
      <c r="O17" s="109">
        <f>'Input parameters'!O36</f>
        <v>0.04</v>
      </c>
      <c r="P17" s="109">
        <f>'Input parameters'!P36</f>
        <v>0.04</v>
      </c>
      <c r="Q17" s="109">
        <f>'Input parameters'!Q36</f>
        <v>0.04</v>
      </c>
      <c r="R17" s="109">
        <f>'Input parameters'!R36</f>
        <v>0.04</v>
      </c>
      <c r="S17" s="109">
        <f>'Input parameters'!S36</f>
        <v>0.04</v>
      </c>
      <c r="T17" s="109">
        <f>'Input parameters'!T36</f>
        <v>0.04</v>
      </c>
    </row>
    <row r="20" spans="2:21" s="9" customFormat="1" x14ac:dyDescent="0.25">
      <c r="B20" s="9" t="s">
        <v>157</v>
      </c>
    </row>
    <row r="22" spans="2:21" x14ac:dyDescent="0.25">
      <c r="B22" s="2" t="s">
        <v>156</v>
      </c>
    </row>
    <row r="23" spans="2:21" x14ac:dyDescent="0.25">
      <c r="B23" s="3" t="s">
        <v>155</v>
      </c>
      <c r="M23" s="111">
        <f t="shared" ref="M23:U23" si="0">M8</f>
        <v>2012</v>
      </c>
      <c r="N23" s="111">
        <f t="shared" si="0"/>
        <v>2013</v>
      </c>
      <c r="O23" s="111">
        <f t="shared" si="0"/>
        <v>2014</v>
      </c>
      <c r="P23" s="111">
        <f t="shared" si="0"/>
        <v>2015</v>
      </c>
      <c r="Q23" s="111">
        <f t="shared" si="0"/>
        <v>2016</v>
      </c>
      <c r="R23" s="111">
        <f t="shared" si="0"/>
        <v>2017</v>
      </c>
      <c r="S23" s="111">
        <f t="shared" si="0"/>
        <v>2018</v>
      </c>
      <c r="T23" s="111">
        <f t="shared" si="0"/>
        <v>2019</v>
      </c>
      <c r="U23" s="111">
        <f t="shared" si="0"/>
        <v>2020</v>
      </c>
    </row>
    <row r="24" spans="2:21" x14ac:dyDescent="0.25">
      <c r="B24" s="3" t="s">
        <v>154</v>
      </c>
      <c r="F24" s="3" t="s">
        <v>138</v>
      </c>
      <c r="M24" s="110">
        <f t="shared" ref="M24:U24" si="1">((1+L16)*(1+L17)*(1+M14)*(1+M15))^(1/4)-1</f>
        <v>2.7246679826694153E-2</v>
      </c>
      <c r="N24" s="110">
        <f t="shared" si="1"/>
        <v>2.6869862241643006E-2</v>
      </c>
      <c r="O24" s="110">
        <f t="shared" si="1"/>
        <v>3.2490949264880609E-2</v>
      </c>
      <c r="P24" s="110">
        <f t="shared" si="1"/>
        <v>4.0000000000000036E-2</v>
      </c>
      <c r="Q24" s="110">
        <f t="shared" si="1"/>
        <v>4.0000000000000036E-2</v>
      </c>
      <c r="R24" s="110">
        <f t="shared" si="1"/>
        <v>4.0000000000000036E-2</v>
      </c>
      <c r="S24" s="110">
        <f t="shared" si="1"/>
        <v>4.0000000000000036E-2</v>
      </c>
      <c r="T24" s="110">
        <f t="shared" si="1"/>
        <v>4.0000000000000036E-2</v>
      </c>
      <c r="U24" s="112">
        <f t="shared" si="1"/>
        <v>4.0000000000000036E-2</v>
      </c>
    </row>
    <row r="26" spans="2:21" x14ac:dyDescent="0.25">
      <c r="B26" s="2" t="s">
        <v>153</v>
      </c>
    </row>
    <row r="27" spans="2:21" x14ac:dyDescent="0.25">
      <c r="B27" s="3" t="s">
        <v>152</v>
      </c>
      <c r="F27" s="3" t="s">
        <v>138</v>
      </c>
      <c r="M27" s="109">
        <f>M24</f>
        <v>2.7246679826694153E-2</v>
      </c>
      <c r="N27" s="110">
        <f t="shared" ref="N27:U28" si="2">(1+M27)*(1+N$24)-1</f>
        <v>5.4848656601822476E-2</v>
      </c>
      <c r="O27" s="110">
        <f t="shared" si="2"/>
        <v>8.9121690785599839E-2</v>
      </c>
      <c r="P27" s="110">
        <f t="shared" si="2"/>
        <v>0.13268655841702381</v>
      </c>
      <c r="Q27" s="110">
        <f t="shared" si="2"/>
        <v>0.17799402075370474</v>
      </c>
      <c r="R27" s="110">
        <f t="shared" si="2"/>
        <v>0.22511378158385287</v>
      </c>
      <c r="S27" s="110">
        <f t="shared" si="2"/>
        <v>0.27411833284720699</v>
      </c>
      <c r="T27" s="110">
        <f t="shared" si="2"/>
        <v>0.32508306616109528</v>
      </c>
      <c r="U27" s="110">
        <f t="shared" si="2"/>
        <v>0.3780863888075392</v>
      </c>
    </row>
    <row r="28" spans="2:21" x14ac:dyDescent="0.25">
      <c r="B28" s="3" t="s">
        <v>151</v>
      </c>
      <c r="F28" s="3" t="s">
        <v>138</v>
      </c>
      <c r="M28" s="20"/>
      <c r="N28" s="109">
        <f>N24</f>
        <v>2.6869862241643006E-2</v>
      </c>
      <c r="O28" s="110">
        <f t="shared" ref="O28:U29" si="3">(1+N28)*(1+O$24)-1</f>
        <v>6.0233838837371101E-2</v>
      </c>
      <c r="P28" s="110">
        <f t="shared" si="3"/>
        <v>0.10264319239086594</v>
      </c>
      <c r="Q28" s="110">
        <f t="shared" si="3"/>
        <v>0.14674892008650064</v>
      </c>
      <c r="R28" s="110">
        <f t="shared" si="3"/>
        <v>0.19261887688996082</v>
      </c>
      <c r="S28" s="110">
        <f t="shared" si="3"/>
        <v>0.24032363196555928</v>
      </c>
      <c r="T28" s="110">
        <f t="shared" si="3"/>
        <v>0.28993657724418176</v>
      </c>
      <c r="U28" s="110">
        <f t="shared" si="2"/>
        <v>0.34153404033394907</v>
      </c>
    </row>
    <row r="29" spans="2:21" x14ac:dyDescent="0.25">
      <c r="B29" s="3" t="s">
        <v>150</v>
      </c>
      <c r="F29" s="3" t="s">
        <v>138</v>
      </c>
      <c r="M29" s="20"/>
      <c r="N29" s="20"/>
      <c r="O29" s="109">
        <f>O24</f>
        <v>3.2490949264880609E-2</v>
      </c>
      <c r="P29" s="110">
        <f>(1+O29)*(1+P$24)-1</f>
        <v>7.3790587235475824E-2</v>
      </c>
      <c r="Q29" s="110">
        <f>(1+P29)*(1+Q$24)-1</f>
        <v>0.11674221072489499</v>
      </c>
      <c r="R29" s="110">
        <f>(1+Q29)*(1+R$24)-1</f>
        <v>0.16141189915389087</v>
      </c>
      <c r="S29" s="110">
        <f>(1+R29)*(1+S$24)-1</f>
        <v>0.20786837512004652</v>
      </c>
      <c r="T29" s="110">
        <f>(1+S29)*(1+T$24)-1</f>
        <v>0.2561831101248484</v>
      </c>
      <c r="U29" s="110">
        <f t="shared" si="3"/>
        <v>0.30643043452984231</v>
      </c>
    </row>
    <row r="30" spans="2:21" x14ac:dyDescent="0.25">
      <c r="B30" s="3" t="s">
        <v>149</v>
      </c>
      <c r="F30" s="3" t="s">
        <v>138</v>
      </c>
      <c r="M30" s="20"/>
      <c r="N30" s="20"/>
      <c r="O30" s="20"/>
      <c r="P30" s="109">
        <f>P24</f>
        <v>4.0000000000000036E-2</v>
      </c>
      <c r="Q30" s="110">
        <f>(1+P30)*(1+Q$24)-1</f>
        <v>8.1600000000000117E-2</v>
      </c>
      <c r="R30" s="110">
        <f>(1+Q30)*(1+R$24)-1</f>
        <v>0.12486400000000009</v>
      </c>
      <c r="S30" s="110">
        <f>(1+R30)*(1+S$24)-1</f>
        <v>0.16985856000000021</v>
      </c>
      <c r="T30" s="110">
        <f>(1+S30)*(1+T$24)-1</f>
        <v>0.21665290240000035</v>
      </c>
      <c r="U30" s="110">
        <f>(1+T30)*(1+U$24)-1</f>
        <v>0.26531901849600037</v>
      </c>
    </row>
    <row r="31" spans="2:21" x14ac:dyDescent="0.25">
      <c r="B31" s="3" t="s">
        <v>148</v>
      </c>
      <c r="F31" s="3" t="s">
        <v>138</v>
      </c>
      <c r="M31" s="20"/>
      <c r="N31" s="20"/>
      <c r="O31" s="20"/>
      <c r="P31" s="20"/>
      <c r="Q31" s="109">
        <f>Q24</f>
        <v>4.0000000000000036E-2</v>
      </c>
      <c r="R31" s="110">
        <f>(1+Q31)*(1+R$24)-1</f>
        <v>8.1600000000000117E-2</v>
      </c>
      <c r="S31" s="110">
        <f>(1+R31)*(1+S$24)-1</f>
        <v>0.12486400000000009</v>
      </c>
      <c r="T31" s="110">
        <f>(1+S31)*(1+T$24)-1</f>
        <v>0.16985856000000021</v>
      </c>
      <c r="U31" s="110">
        <f>(1+T31)*(1+U$24)-1</f>
        <v>0.21665290240000035</v>
      </c>
    </row>
    <row r="32" spans="2:21" x14ac:dyDescent="0.25">
      <c r="B32" s="3" t="s">
        <v>147</v>
      </c>
      <c r="F32" s="3" t="s">
        <v>138</v>
      </c>
      <c r="M32" s="20"/>
      <c r="N32" s="20"/>
      <c r="O32" s="20"/>
      <c r="P32" s="20"/>
      <c r="Q32" s="20"/>
      <c r="R32" s="109">
        <f>R24</f>
        <v>4.0000000000000036E-2</v>
      </c>
      <c r="S32" s="110">
        <f>(1+R32)*(1+S$24)-1</f>
        <v>8.1600000000000117E-2</v>
      </c>
      <c r="T32" s="110">
        <f>(1+S32)*(1+T$24)-1</f>
        <v>0.12486400000000009</v>
      </c>
      <c r="U32" s="110">
        <f>(1+T32)*(1+U$24)-1</f>
        <v>0.16985856000000021</v>
      </c>
    </row>
    <row r="33" spans="2:21" x14ac:dyDescent="0.25">
      <c r="B33" s="3" t="s">
        <v>146</v>
      </c>
      <c r="F33" s="3" t="s">
        <v>138</v>
      </c>
      <c r="M33" s="20"/>
      <c r="N33" s="20"/>
      <c r="O33" s="20"/>
      <c r="P33" s="20"/>
      <c r="Q33" s="20"/>
      <c r="R33" s="20"/>
      <c r="S33" s="109">
        <f>S24</f>
        <v>4.0000000000000036E-2</v>
      </c>
      <c r="T33" s="110">
        <f>(1+S33)*(1+T$24)-1</f>
        <v>8.1600000000000117E-2</v>
      </c>
      <c r="U33" s="110">
        <f>(1+T33)*(1+U$24)-1</f>
        <v>0.12486400000000009</v>
      </c>
    </row>
    <row r="34" spans="2:21" x14ac:dyDescent="0.25">
      <c r="B34" s="3" t="s">
        <v>230</v>
      </c>
      <c r="F34" s="3" t="s">
        <v>138</v>
      </c>
      <c r="M34" s="20"/>
      <c r="N34" s="20"/>
      <c r="O34" s="20"/>
      <c r="P34" s="20"/>
      <c r="Q34" s="20"/>
      <c r="R34" s="20"/>
      <c r="S34" s="20"/>
      <c r="T34" s="109">
        <f>T24</f>
        <v>4.0000000000000036E-2</v>
      </c>
      <c r="U34" s="110">
        <f>(1+T34)*(1+U$24)-1</f>
        <v>8.1600000000000117E-2</v>
      </c>
    </row>
    <row r="35" spans="2:21" x14ac:dyDescent="0.25">
      <c r="B35" s="3" t="s">
        <v>253</v>
      </c>
      <c r="F35" s="3" t="s">
        <v>138</v>
      </c>
      <c r="M35" s="20"/>
      <c r="N35" s="20"/>
      <c r="O35" s="20"/>
      <c r="P35" s="20"/>
      <c r="Q35" s="20"/>
      <c r="R35" s="20"/>
      <c r="S35" s="20"/>
      <c r="T35" s="20"/>
      <c r="U35" s="109">
        <f>U24</f>
        <v>4.0000000000000036E-2</v>
      </c>
    </row>
  </sheetData>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V46"/>
  <sheetViews>
    <sheetView showGridLines="0" zoomScale="85" zoomScaleNormal="85" workbookViewId="0">
      <pane xSplit="6" ySplit="11" topLeftCell="G12" activePane="bottomRight" state="frozen"/>
      <selection activeCell="Q51" sqref="Q51"/>
      <selection pane="topRight" activeCell="Q51" sqref="Q51"/>
      <selection pane="bottomLeft" activeCell="Q51" sqref="Q51"/>
      <selection pane="bottomRight" activeCell="G12" sqref="G12"/>
    </sheetView>
  </sheetViews>
  <sheetFormatPr defaultRowHeight="12.75" customHeight="1" x14ac:dyDescent="0.25"/>
  <cols>
    <col min="1" max="1" width="4" style="3" customWidth="1"/>
    <col min="2" max="2" width="59.42578125" style="3" customWidth="1"/>
    <col min="3" max="4" width="4.5703125" style="3" customWidth="1"/>
    <col min="5" max="5" width="12.140625" style="3" customWidth="1"/>
    <col min="6" max="6" width="13.7109375" style="3" customWidth="1"/>
    <col min="7" max="7" width="2.7109375" style="3" customWidth="1"/>
    <col min="8" max="8" width="13.7109375" style="3" customWidth="1"/>
    <col min="9" max="9" width="2.7109375" style="3" customWidth="1"/>
    <col min="10" max="10" width="13.7109375" style="3" customWidth="1"/>
    <col min="11" max="11" width="2.7109375" style="3" customWidth="1"/>
    <col min="12" max="13" width="14.7109375" style="47" bestFit="1" customWidth="1"/>
    <col min="14" max="15" width="15.85546875" style="47" bestFit="1" customWidth="1"/>
    <col min="16" max="16" width="12.5703125" style="47" customWidth="1"/>
    <col min="17" max="17" width="15.85546875" style="47" bestFit="1" customWidth="1"/>
    <col min="18" max="19" width="12.5703125" style="47" customWidth="1"/>
    <col min="20" max="21" width="2.7109375" style="3" customWidth="1"/>
    <col min="22" max="36" width="13.7109375" style="3" customWidth="1"/>
    <col min="37" max="16384" width="9.140625" style="3"/>
  </cols>
  <sheetData>
    <row r="2" spans="2:22" s="28" customFormat="1" ht="18" x14ac:dyDescent="0.25">
      <c r="B2" s="28" t="s">
        <v>280</v>
      </c>
      <c r="L2" s="46"/>
      <c r="M2" s="46"/>
      <c r="N2" s="46"/>
      <c r="O2" s="46"/>
      <c r="P2" s="46"/>
      <c r="Q2" s="46"/>
      <c r="R2" s="46"/>
      <c r="S2" s="46"/>
    </row>
    <row r="4" spans="2:22" ht="12.75" customHeight="1" x14ac:dyDescent="0.25">
      <c r="B4" s="2" t="s">
        <v>58</v>
      </c>
      <c r="C4" s="2"/>
      <c r="D4" s="2"/>
    </row>
    <row r="5" spans="2:22" ht="12.75" customHeight="1" x14ac:dyDescent="0.2">
      <c r="B5" s="70" t="s">
        <v>281</v>
      </c>
    </row>
    <row r="6" spans="2:22" ht="12.75" customHeight="1" x14ac:dyDescent="0.2">
      <c r="B6" s="70" t="s">
        <v>282</v>
      </c>
    </row>
    <row r="7" spans="2:22" ht="12.75" customHeight="1" x14ac:dyDescent="0.2">
      <c r="B7" s="70" t="s">
        <v>232</v>
      </c>
      <c r="C7" s="4"/>
      <c r="D7" s="4"/>
      <c r="H7" s="29"/>
    </row>
    <row r="8" spans="2:22" ht="12.75" customHeight="1" x14ac:dyDescent="0.2">
      <c r="B8" s="70"/>
      <c r="C8" s="4"/>
      <c r="D8" s="4"/>
      <c r="H8" s="29"/>
    </row>
    <row r="9" spans="2:22" ht="12.75" customHeight="1" x14ac:dyDescent="0.25">
      <c r="B9" s="4"/>
    </row>
    <row r="10" spans="2:22" s="9" customFormat="1" ht="12.75" customHeight="1" x14ac:dyDescent="0.25">
      <c r="B10" s="9" t="s">
        <v>45</v>
      </c>
      <c r="F10" s="9" t="s">
        <v>27</v>
      </c>
      <c r="H10" s="9" t="s">
        <v>28</v>
      </c>
      <c r="J10" s="9" t="s">
        <v>49</v>
      </c>
      <c r="L10" s="48" t="s">
        <v>172</v>
      </c>
      <c r="M10" s="48" t="s">
        <v>65</v>
      </c>
      <c r="N10" s="48" t="s">
        <v>66</v>
      </c>
      <c r="O10" s="48" t="s">
        <v>67</v>
      </c>
      <c r="P10" s="48" t="s">
        <v>68</v>
      </c>
      <c r="Q10" s="48" t="s">
        <v>69</v>
      </c>
      <c r="R10" s="48" t="s">
        <v>70</v>
      </c>
      <c r="S10" s="48" t="s">
        <v>71</v>
      </c>
      <c r="V10" s="9" t="s">
        <v>47</v>
      </c>
    </row>
    <row r="13" spans="2:22" s="9" customFormat="1" ht="12.75" customHeight="1" x14ac:dyDescent="0.25">
      <c r="B13" s="9" t="s">
        <v>265</v>
      </c>
    </row>
    <row r="14" spans="2:22" x14ac:dyDescent="0.25">
      <c r="L14" s="3"/>
      <c r="M14" s="3"/>
      <c r="N14" s="3"/>
      <c r="O14" s="3"/>
      <c r="P14" s="3"/>
      <c r="Q14" s="3"/>
      <c r="R14" s="3"/>
      <c r="S14" s="3"/>
    </row>
    <row r="15" spans="2:22" x14ac:dyDescent="0.2">
      <c r="B15" s="3" t="s">
        <v>162</v>
      </c>
      <c r="F15" s="81" t="s">
        <v>138</v>
      </c>
      <c r="H15" s="109">
        <f>'Input parameters'!R19</f>
        <v>2E-3</v>
      </c>
      <c r="L15" s="3"/>
      <c r="M15" s="3"/>
      <c r="N15" s="3"/>
      <c r="O15" s="3"/>
      <c r="P15" s="3"/>
      <c r="Q15" s="3"/>
      <c r="R15" s="3"/>
      <c r="S15" s="3"/>
    </row>
    <row r="16" spans="2:22" x14ac:dyDescent="0.2">
      <c r="B16" s="3" t="s">
        <v>163</v>
      </c>
      <c r="F16" s="81" t="s">
        <v>138</v>
      </c>
      <c r="H16" s="109">
        <f>'Input parameters'!S19</f>
        <v>1.4E-2</v>
      </c>
      <c r="L16" s="3"/>
      <c r="M16" s="3"/>
      <c r="N16" s="3"/>
      <c r="O16" s="3"/>
      <c r="P16" s="3"/>
      <c r="Q16" s="3"/>
      <c r="R16" s="3"/>
      <c r="S16" s="3"/>
    </row>
    <row r="17" spans="2:19" x14ac:dyDescent="0.2">
      <c r="F17" s="81"/>
      <c r="L17" s="3"/>
      <c r="M17" s="3"/>
      <c r="N17" s="3"/>
      <c r="O17" s="3"/>
      <c r="P17" s="3"/>
      <c r="Q17" s="3"/>
      <c r="R17" s="3"/>
      <c r="S17" s="3"/>
    </row>
    <row r="18" spans="2:19" s="10" customFormat="1" x14ac:dyDescent="0.2">
      <c r="B18" s="79" t="s">
        <v>448</v>
      </c>
    </row>
    <row r="19" spans="2:19" x14ac:dyDescent="0.2">
      <c r="B19" s="3" t="s">
        <v>160</v>
      </c>
      <c r="F19" s="81" t="s">
        <v>184</v>
      </c>
      <c r="L19" s="102">
        <f>'Input x-factor, begininkomsten'!L15</f>
        <v>20195500.85954722</v>
      </c>
      <c r="M19" s="102">
        <f>'Input x-factor, begininkomsten'!M15</f>
        <v>28572762.806057848</v>
      </c>
      <c r="N19" s="102">
        <f>'Input x-factor, begininkomsten'!N15</f>
        <v>330013605.11326003</v>
      </c>
      <c r="O19" s="102">
        <f>'Input x-factor, begininkomsten'!O15</f>
        <v>380662873.09869272</v>
      </c>
      <c r="P19" s="102">
        <f>'Input x-factor, begininkomsten'!P15</f>
        <v>17074085.421158154</v>
      </c>
      <c r="Q19" s="102">
        <f>'Input x-factor, begininkomsten'!Q15</f>
        <v>282544855.87405187</v>
      </c>
      <c r="R19" s="102">
        <f>'Input x-factor, begininkomsten'!R15</f>
        <v>16130066.900690712</v>
      </c>
      <c r="S19" s="102">
        <f>'Input x-factor, begininkomsten'!S15</f>
        <v>5086673.7044375269</v>
      </c>
    </row>
    <row r="20" spans="2:19" x14ac:dyDescent="0.2">
      <c r="B20" s="3" t="s">
        <v>161</v>
      </c>
      <c r="F20" s="81" t="s">
        <v>77</v>
      </c>
      <c r="L20" s="64">
        <f>'Input x-factor, begininkomsten'!L18</f>
        <v>1.54</v>
      </c>
      <c r="M20" s="64">
        <f>'Input x-factor, begininkomsten'!M18</f>
        <v>1.52</v>
      </c>
      <c r="N20" s="64">
        <f>'Input x-factor, begininkomsten'!N18</f>
        <v>1.54</v>
      </c>
      <c r="O20" s="64">
        <f>'Input x-factor, begininkomsten'!O18</f>
        <v>1.42</v>
      </c>
      <c r="P20" s="64">
        <f>'Input x-factor, begininkomsten'!P18</f>
        <v>1.44</v>
      </c>
      <c r="Q20" s="64">
        <f>'Input x-factor, begininkomsten'!Q18</f>
        <v>1.46</v>
      </c>
      <c r="R20" s="64">
        <f>'Input x-factor, begininkomsten'!R18</f>
        <v>1.79</v>
      </c>
      <c r="S20" s="64">
        <f>'Input x-factor, begininkomsten'!S18</f>
        <v>2.25</v>
      </c>
    </row>
    <row r="21" spans="2:19" x14ac:dyDescent="0.25">
      <c r="L21" s="3"/>
      <c r="M21" s="3"/>
      <c r="N21" s="3"/>
      <c r="O21" s="3"/>
      <c r="P21" s="3"/>
      <c r="Q21" s="3"/>
      <c r="R21" s="3"/>
      <c r="S21" s="3"/>
    </row>
    <row r="22" spans="2:19" x14ac:dyDescent="0.2">
      <c r="B22" s="3" t="s">
        <v>165</v>
      </c>
      <c r="F22" s="81" t="s">
        <v>187</v>
      </c>
      <c r="J22" s="69">
        <f>SUM(L22:S22)</f>
        <v>1065562690.9833938</v>
      </c>
      <c r="L22" s="103">
        <f t="shared" ref="L22:S22" si="0">L19*(1-L20/100+$H$15)*(1-L20/100+$H$16)</f>
        <v>19896986.314422045</v>
      </c>
      <c r="M22" s="103">
        <f t="shared" si="0"/>
        <v>28161767.614213467</v>
      </c>
      <c r="N22" s="103">
        <f t="shared" si="0"/>
        <v>325135594.81281573</v>
      </c>
      <c r="O22" s="103">
        <f t="shared" si="0"/>
        <v>375943582.28967929</v>
      </c>
      <c r="P22" s="103">
        <f t="shared" si="0"/>
        <v>16855621.815231018</v>
      </c>
      <c r="Q22" s="103">
        <f t="shared" si="0"/>
        <v>278817399.81562483</v>
      </c>
      <c r="R22" s="103">
        <f t="shared" si="0"/>
        <v>15811691.801505547</v>
      </c>
      <c r="S22" s="103">
        <f t="shared" si="0"/>
        <v>4940046.5199018372</v>
      </c>
    </row>
    <row r="23" spans="2:19" s="145" customFormat="1" ht="15" x14ac:dyDescent="0.25"/>
    <row r="24" spans="2:19" s="10" customFormat="1" x14ac:dyDescent="0.2">
      <c r="B24" s="79"/>
    </row>
    <row r="25" spans="2:19" ht="12.75" customHeight="1" x14ac:dyDescent="0.25">
      <c r="B25" s="2" t="s">
        <v>262</v>
      </c>
    </row>
    <row r="26" spans="2:19" ht="12.75" customHeight="1" x14ac:dyDescent="0.2">
      <c r="B26" s="87" t="s">
        <v>177</v>
      </c>
      <c r="C26" s="10"/>
      <c r="D26" s="10"/>
      <c r="E26" s="10"/>
      <c r="F26" s="87" t="s">
        <v>184</v>
      </c>
      <c r="G26" s="10"/>
      <c r="H26" s="10"/>
      <c r="I26" s="10"/>
      <c r="J26" s="65"/>
      <c r="K26" s="10"/>
      <c r="L26" s="102">
        <f>'Input lokale heffingen 2018'!L45</f>
        <v>20195038.327987451</v>
      </c>
      <c r="M26" s="102">
        <f>'Input lokale heffingen 2018'!M45</f>
        <v>28581616.499825902</v>
      </c>
      <c r="N26" s="102">
        <f>'Input lokale heffingen 2018'!N45</f>
        <v>330728579.02088535</v>
      </c>
      <c r="O26" s="102">
        <f>'Input lokale heffingen 2018'!O45</f>
        <v>410981757.82584947</v>
      </c>
      <c r="P26" s="102">
        <f>'Input lokale heffingen 2018'!P45</f>
        <v>16766499.242208339</v>
      </c>
      <c r="Q26" s="102">
        <f>'Input lokale heffingen 2018'!Q45</f>
        <v>294484484.56993276</v>
      </c>
      <c r="R26" s="102">
        <f>'Input lokale heffingen 2018'!R45</f>
        <v>16140308.05200607</v>
      </c>
      <c r="S26" s="102">
        <f>'Input lokale heffingen 2018'!S45</f>
        <v>5086673.7044375269</v>
      </c>
    </row>
    <row r="27" spans="2:19" ht="12.75" customHeight="1" x14ac:dyDescent="0.2">
      <c r="B27" s="87" t="s">
        <v>178</v>
      </c>
      <c r="C27" s="10"/>
      <c r="D27" s="10"/>
      <c r="E27" s="10"/>
      <c r="F27" s="87" t="s">
        <v>77</v>
      </c>
      <c r="G27" s="10"/>
      <c r="H27" s="10"/>
      <c r="I27" s="10"/>
      <c r="J27" s="10"/>
      <c r="K27" s="10"/>
      <c r="L27" s="64">
        <f>'Input lokale heffingen 2018'!L46</f>
        <v>1.54</v>
      </c>
      <c r="M27" s="64">
        <f>'Input lokale heffingen 2018'!M46</f>
        <v>1.52</v>
      </c>
      <c r="N27" s="64">
        <f>'Input lokale heffingen 2018'!N46</f>
        <v>1.53</v>
      </c>
      <c r="O27" s="64">
        <f>'Input lokale heffingen 2018'!O46</f>
        <v>1.31</v>
      </c>
      <c r="P27" s="64">
        <f>'Input lokale heffingen 2018'!P46</f>
        <v>1.35</v>
      </c>
      <c r="Q27" s="64">
        <f>'Input lokale heffingen 2018'!Q46</f>
        <v>1.4</v>
      </c>
      <c r="R27" s="64">
        <f>'Input lokale heffingen 2018'!R46</f>
        <v>1.79</v>
      </c>
      <c r="S27" s="64">
        <f>'Input lokale heffingen 2018'!S46</f>
        <v>2.25</v>
      </c>
    </row>
    <row r="28" spans="2:19" ht="12.75" customHeight="1" x14ac:dyDescent="0.2">
      <c r="B28" s="90"/>
      <c r="C28" s="91"/>
      <c r="D28" s="91"/>
      <c r="E28" s="91"/>
      <c r="F28" s="90"/>
      <c r="G28" s="91"/>
      <c r="H28" s="91"/>
      <c r="I28" s="91"/>
      <c r="J28" s="91"/>
      <c r="K28" s="91"/>
      <c r="L28" s="91"/>
      <c r="M28" s="91"/>
      <c r="N28" s="91"/>
      <c r="O28" s="91"/>
      <c r="P28" s="91"/>
      <c r="Q28" s="91"/>
      <c r="R28" s="91"/>
      <c r="S28" s="91"/>
    </row>
    <row r="29" spans="2:19" ht="12.75" customHeight="1" x14ac:dyDescent="0.2">
      <c r="B29" s="71" t="s">
        <v>284</v>
      </c>
      <c r="C29" s="10"/>
      <c r="D29" s="10"/>
      <c r="E29" s="10"/>
      <c r="F29" s="70" t="s">
        <v>187</v>
      </c>
      <c r="G29" s="10"/>
      <c r="H29" s="10"/>
      <c r="I29" s="10"/>
      <c r="J29" s="69">
        <f>SUM(L29:S29)</f>
        <v>1109052742.2585104</v>
      </c>
      <c r="K29" s="10"/>
      <c r="L29" s="103">
        <f>L26*(1-L27/100+$H$15)*(1-L27/100+$H$16)</f>
        <v>19896530.619652271</v>
      </c>
      <c r="M29" s="103">
        <f t="shared" ref="M29:S29" si="1">M26*(1-M27/100+$H$15)*(1-M27/100+$H$16)</f>
        <v>28170493.955033768</v>
      </c>
      <c r="N29" s="103">
        <f t="shared" si="1"/>
        <v>325905660.06431168</v>
      </c>
      <c r="O29" s="103">
        <f t="shared" si="1"/>
        <v>406785638.18826509</v>
      </c>
      <c r="P29" s="103">
        <f t="shared" si="1"/>
        <v>16581971.343173405</v>
      </c>
      <c r="Q29" s="103">
        <f t="shared" si="1"/>
        <v>290950670.75509357</v>
      </c>
      <c r="R29" s="103">
        <f t="shared" si="1"/>
        <v>15821730.813078653</v>
      </c>
      <c r="S29" s="103">
        <f t="shared" si="1"/>
        <v>4940046.5199018372</v>
      </c>
    </row>
    <row r="30" spans="2:19" ht="12.75" customHeight="1" x14ac:dyDescent="0.2">
      <c r="B30" s="10"/>
      <c r="C30" s="10"/>
      <c r="D30" s="10"/>
      <c r="E30" s="10"/>
      <c r="F30" s="58"/>
      <c r="G30" s="10"/>
      <c r="H30" s="10"/>
      <c r="I30" s="10"/>
      <c r="J30" s="65"/>
      <c r="K30" s="10"/>
      <c r="L30" s="59"/>
      <c r="M30" s="59"/>
      <c r="N30" s="59"/>
      <c r="O30" s="59"/>
      <c r="P30" s="59"/>
      <c r="Q30" s="59"/>
      <c r="R30" s="59"/>
      <c r="S30" s="59"/>
    </row>
    <row r="31" spans="2:19" s="9" customFormat="1" ht="12.75" customHeight="1" x14ac:dyDescent="0.25">
      <c r="B31" s="9" t="s">
        <v>124</v>
      </c>
    </row>
    <row r="32" spans="2:19" s="83" customFormat="1" ht="12.75" customHeight="1" x14ac:dyDescent="0.2">
      <c r="G32" s="104"/>
      <c r="H32" s="104"/>
      <c r="I32" s="105"/>
      <c r="J32" s="104"/>
      <c r="K32" s="104"/>
      <c r="L32" s="104"/>
      <c r="M32" s="104"/>
      <c r="N32" s="104"/>
      <c r="P32" s="106"/>
    </row>
    <row r="33" spans="1:20" s="71" customFormat="1" ht="12.75" customHeight="1" x14ac:dyDescent="0.2">
      <c r="A33" s="70"/>
      <c r="B33" s="71" t="s">
        <v>285</v>
      </c>
      <c r="F33" s="70" t="s">
        <v>187</v>
      </c>
      <c r="L33" s="69">
        <f>L29-L22</f>
        <v>-455.69476977363229</v>
      </c>
      <c r="M33" s="69">
        <f t="shared" ref="M33:S33" si="2">M29-M22</f>
        <v>8726.3408203013241</v>
      </c>
      <c r="N33" s="69">
        <f t="shared" si="2"/>
        <v>770065.25149595737</v>
      </c>
      <c r="O33" s="69">
        <f t="shared" si="2"/>
        <v>30842055.898585796</v>
      </c>
      <c r="P33" s="69">
        <f t="shared" si="2"/>
        <v>-273650.47205761261</v>
      </c>
      <c r="Q33" s="69">
        <f t="shared" si="2"/>
        <v>12133270.939468741</v>
      </c>
      <c r="R33" s="69">
        <f t="shared" si="2"/>
        <v>10039.01157310605</v>
      </c>
      <c r="S33" s="69">
        <f t="shared" si="2"/>
        <v>0</v>
      </c>
    </row>
    <row r="35" spans="1:20" ht="12.75" customHeight="1" x14ac:dyDescent="0.2">
      <c r="B35" s="82" t="s">
        <v>286</v>
      </c>
      <c r="C35" s="58"/>
      <c r="D35" s="58"/>
      <c r="E35" s="58"/>
      <c r="F35" s="107" t="s">
        <v>138</v>
      </c>
      <c r="H35" s="109">
        <f>Parameters!U34</f>
        <v>8.1600000000000117E-2</v>
      </c>
    </row>
    <row r="37" spans="1:20" ht="12.75" customHeight="1" x14ac:dyDescent="0.2">
      <c r="B37" s="71" t="s">
        <v>287</v>
      </c>
      <c r="F37" s="42" t="s">
        <v>244</v>
      </c>
      <c r="L37" s="68">
        <f t="shared" ref="L37:S37" si="3">L33*(1+$H$35)</f>
        <v>-492.87946298716076</v>
      </c>
      <c r="M37" s="68">
        <f t="shared" si="3"/>
        <v>9438.4102312379127</v>
      </c>
      <c r="N37" s="68">
        <f t="shared" si="3"/>
        <v>832902.57601802761</v>
      </c>
      <c r="O37" s="68">
        <f t="shared" si="3"/>
        <v>33358767.659910399</v>
      </c>
      <c r="P37" s="68">
        <f t="shared" si="3"/>
        <v>-295980.35057751386</v>
      </c>
      <c r="Q37" s="68">
        <f t="shared" si="3"/>
        <v>13123345.848129392</v>
      </c>
      <c r="R37" s="68">
        <f t="shared" si="3"/>
        <v>10858.194917471505</v>
      </c>
      <c r="S37" s="68">
        <f t="shared" si="3"/>
        <v>0</v>
      </c>
    </row>
    <row r="41" spans="1:20" ht="12.75" customHeight="1" x14ac:dyDescent="0.25">
      <c r="T41" s="47">
        <f t="shared" ref="T41" si="4">T39-T37</f>
        <v>0</v>
      </c>
    </row>
    <row r="44" spans="1:20" ht="12.75" customHeight="1" x14ac:dyDescent="0.25">
      <c r="N44" s="3"/>
    </row>
    <row r="46" spans="1:20" ht="12.75" customHeight="1" x14ac:dyDescent="0.25">
      <c r="T46" s="47"/>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W93"/>
  <sheetViews>
    <sheetView showGridLines="0" zoomScale="85" zoomScaleNormal="85" workbookViewId="0">
      <pane xSplit="6" ySplit="11" topLeftCell="G12" activePane="bottomRight" state="frozen"/>
      <selection activeCell="Q51" sqref="Q51"/>
      <selection pane="topRight" activeCell="Q51" sqref="Q51"/>
      <selection pane="bottomLeft" activeCell="Q51" sqref="Q51"/>
      <selection pane="bottomRight" activeCell="G12" sqref="G12"/>
    </sheetView>
  </sheetViews>
  <sheetFormatPr defaultRowHeight="12.75" x14ac:dyDescent="0.25"/>
  <cols>
    <col min="1" max="1" width="4" style="3" customWidth="1"/>
    <col min="2" max="2" width="73.85546875" style="3" customWidth="1"/>
    <col min="3" max="5" width="4.5703125" style="3" customWidth="1"/>
    <col min="6" max="6" width="20" style="3" customWidth="1"/>
    <col min="7" max="7" width="2.7109375" style="3" customWidth="1"/>
    <col min="8" max="8" width="13.7109375" style="3" customWidth="1"/>
    <col min="9" max="9" width="2.7109375" style="3" customWidth="1"/>
    <col min="10" max="10" width="13.7109375" style="3" customWidth="1"/>
    <col min="11" max="11" width="2.7109375" style="3" customWidth="1"/>
    <col min="12" max="19" width="12.5703125" style="47" customWidth="1"/>
    <col min="20" max="22" width="2.7109375" style="3" customWidth="1"/>
    <col min="23" max="37" width="13.7109375" style="3" customWidth="1"/>
    <col min="38" max="16384" width="9.140625" style="3"/>
  </cols>
  <sheetData>
    <row r="2" spans="2:23" s="28" customFormat="1" ht="18" x14ac:dyDescent="0.25">
      <c r="B2" s="28" t="s">
        <v>110</v>
      </c>
      <c r="L2" s="46"/>
      <c r="M2" s="46"/>
      <c r="N2" s="46"/>
      <c r="O2" s="46"/>
      <c r="P2" s="46"/>
      <c r="Q2" s="46"/>
      <c r="R2" s="46"/>
      <c r="S2" s="46"/>
    </row>
    <row r="4" spans="2:23" ht="15" x14ac:dyDescent="0.25">
      <c r="B4" s="2" t="s">
        <v>58</v>
      </c>
      <c r="C4" s="2"/>
      <c r="D4" s="2"/>
      <c r="L4" s="40"/>
    </row>
    <row r="5" spans="2:23" x14ac:dyDescent="0.25">
      <c r="B5" s="3" t="s">
        <v>72</v>
      </c>
    </row>
    <row r="6" spans="2:23" x14ac:dyDescent="0.25">
      <c r="B6" s="3" t="s">
        <v>73</v>
      </c>
    </row>
    <row r="7" spans="2:23" x14ac:dyDescent="0.25">
      <c r="B7" s="35" t="s">
        <v>231</v>
      </c>
      <c r="C7" s="4"/>
      <c r="D7" s="4"/>
      <c r="H7" s="29"/>
    </row>
    <row r="8" spans="2:23" x14ac:dyDescent="0.25">
      <c r="B8" s="35" t="s">
        <v>288</v>
      </c>
      <c r="C8" s="4"/>
      <c r="D8" s="4"/>
      <c r="H8" s="29"/>
    </row>
    <row r="10" spans="2:23" s="9" customFormat="1" x14ac:dyDescent="0.25">
      <c r="B10" s="9" t="s">
        <v>45</v>
      </c>
      <c r="F10" s="9" t="s">
        <v>27</v>
      </c>
      <c r="H10" s="9" t="s">
        <v>28</v>
      </c>
      <c r="J10" s="9" t="s">
        <v>49</v>
      </c>
      <c r="L10" s="48" t="s">
        <v>172</v>
      </c>
      <c r="M10" s="48" t="s">
        <v>65</v>
      </c>
      <c r="N10" s="48" t="s">
        <v>66</v>
      </c>
      <c r="O10" s="48" t="s">
        <v>67</v>
      </c>
      <c r="P10" s="48" t="s">
        <v>68</v>
      </c>
      <c r="Q10" s="48" t="s">
        <v>69</v>
      </c>
      <c r="R10" s="48" t="s">
        <v>70</v>
      </c>
      <c r="S10" s="48" t="s">
        <v>71</v>
      </c>
      <c r="W10" s="9" t="s">
        <v>47</v>
      </c>
    </row>
    <row r="13" spans="2:23" s="9" customFormat="1" x14ac:dyDescent="0.25">
      <c r="B13" s="49" t="s">
        <v>109</v>
      </c>
      <c r="L13" s="48"/>
      <c r="M13" s="48"/>
      <c r="N13" s="48"/>
      <c r="O13" s="48"/>
      <c r="P13" s="48"/>
      <c r="Q13" s="48"/>
      <c r="R13" s="48"/>
      <c r="S13" s="48"/>
    </row>
    <row r="14" spans="2:23" customFormat="1" ht="15" x14ac:dyDescent="0.25">
      <c r="B14" s="50"/>
      <c r="C14" s="42"/>
      <c r="D14" s="42"/>
      <c r="E14" s="42"/>
      <c r="F14" s="44"/>
      <c r="G14" s="42"/>
      <c r="H14" s="43"/>
      <c r="I14" s="43"/>
      <c r="J14" s="43"/>
      <c r="K14" s="43"/>
      <c r="L14" s="43"/>
      <c r="M14" s="43"/>
      <c r="N14" s="43"/>
    </row>
    <row r="15" spans="2:23" customFormat="1" ht="15" x14ac:dyDescent="0.25">
      <c r="B15" s="50" t="s">
        <v>74</v>
      </c>
      <c r="C15" s="42"/>
      <c r="D15" s="42"/>
      <c r="E15" s="42"/>
      <c r="F15" s="44"/>
      <c r="G15" s="42"/>
      <c r="H15" s="43"/>
      <c r="I15" s="43"/>
      <c r="J15" s="43"/>
      <c r="K15" s="43"/>
      <c r="L15" s="43"/>
      <c r="M15" s="43"/>
      <c r="N15" s="43"/>
    </row>
    <row r="16" spans="2:23" customFormat="1" ht="15" x14ac:dyDescent="0.25">
      <c r="B16" s="42"/>
      <c r="C16" s="42"/>
      <c r="D16" s="42"/>
      <c r="E16" s="42"/>
      <c r="F16" s="44"/>
      <c r="G16" s="42"/>
      <c r="H16" s="43"/>
      <c r="I16" s="43"/>
      <c r="J16" s="43"/>
      <c r="K16" s="43"/>
      <c r="L16" s="43"/>
      <c r="M16" s="43"/>
      <c r="N16" s="43"/>
    </row>
    <row r="17" spans="2:23" customFormat="1" ht="15" x14ac:dyDescent="0.25">
      <c r="B17" s="50" t="s">
        <v>75</v>
      </c>
      <c r="C17" s="42"/>
      <c r="D17" s="42"/>
      <c r="E17" s="42"/>
      <c r="F17" s="44"/>
      <c r="G17" s="42"/>
      <c r="H17" s="43"/>
      <c r="I17" s="43"/>
      <c r="J17" s="43"/>
      <c r="K17" s="43"/>
      <c r="L17" s="43"/>
      <c r="M17" s="43"/>
      <c r="N17" s="43"/>
    </row>
    <row r="18" spans="2:23" customFormat="1" ht="15" x14ac:dyDescent="0.25">
      <c r="B18" s="42" t="s">
        <v>76</v>
      </c>
      <c r="C18" s="3"/>
      <c r="D18" s="3"/>
      <c r="E18" s="42"/>
      <c r="F18" s="42" t="s">
        <v>77</v>
      </c>
      <c r="G18" s="3"/>
      <c r="H18" s="3"/>
      <c r="I18" s="3"/>
      <c r="J18" s="57"/>
      <c r="K18" s="42"/>
      <c r="L18" s="102">
        <f>'Input invoeding groen gas 2019'!L122</f>
        <v>0</v>
      </c>
      <c r="M18" s="102">
        <f>'Input invoeding groen gas 2019'!M122</f>
        <v>0</v>
      </c>
      <c r="N18" s="102">
        <f>'Input invoeding groen gas 2019'!N122</f>
        <v>0</v>
      </c>
      <c r="O18" s="102">
        <f>'Input invoeding groen gas 2019'!O122</f>
        <v>0</v>
      </c>
      <c r="P18" s="102">
        <f>'Input invoeding groen gas 2019'!P122</f>
        <v>0</v>
      </c>
      <c r="Q18" s="102">
        <f>'Input invoeding groen gas 2019'!Q122</f>
        <v>0</v>
      </c>
      <c r="R18" s="102">
        <f>'Input invoeding groen gas 2019'!R122</f>
        <v>0</v>
      </c>
      <c r="S18" s="102">
        <f>'Input invoeding groen gas 2019'!S122</f>
        <v>0</v>
      </c>
    </row>
    <row r="19" spans="2:23" customFormat="1" ht="15" x14ac:dyDescent="0.25">
      <c r="B19" s="42" t="s">
        <v>79</v>
      </c>
      <c r="C19" s="3"/>
      <c r="D19" s="3"/>
      <c r="E19" s="42"/>
      <c r="F19" s="42" t="s">
        <v>77</v>
      </c>
      <c r="G19" s="3"/>
      <c r="H19" s="3"/>
      <c r="I19" s="3"/>
      <c r="J19" s="57"/>
      <c r="K19" s="42"/>
      <c r="L19" s="102">
        <f>'Input invoeding groen gas 2019'!L123</f>
        <v>0</v>
      </c>
      <c r="M19" s="102">
        <f>'Input invoeding groen gas 2019'!M123</f>
        <v>0</v>
      </c>
      <c r="N19" s="102">
        <f>'Input invoeding groen gas 2019'!N123</f>
        <v>0</v>
      </c>
      <c r="O19" s="102">
        <f>'Input invoeding groen gas 2019'!O123</f>
        <v>0</v>
      </c>
      <c r="P19" s="102">
        <f>'Input invoeding groen gas 2019'!P123</f>
        <v>0</v>
      </c>
      <c r="Q19" s="102">
        <f>'Input invoeding groen gas 2019'!Q123</f>
        <v>0</v>
      </c>
      <c r="R19" s="102">
        <f>'Input invoeding groen gas 2019'!R123</f>
        <v>0</v>
      </c>
      <c r="S19" s="102">
        <f>'Input invoeding groen gas 2019'!S123</f>
        <v>0</v>
      </c>
    </row>
    <row r="20" spans="2:23" customFormat="1" ht="15" x14ac:dyDescent="0.25">
      <c r="B20" s="42" t="s">
        <v>80</v>
      </c>
      <c r="C20" s="3"/>
      <c r="D20" s="3"/>
      <c r="E20" s="42"/>
      <c r="F20" s="42" t="s">
        <v>77</v>
      </c>
      <c r="G20" s="3"/>
      <c r="H20" s="3"/>
      <c r="I20" s="3"/>
      <c r="J20" s="57"/>
      <c r="K20" s="42"/>
      <c r="L20" s="102">
        <f>'Input invoeding groen gas 2019'!L124</f>
        <v>0</v>
      </c>
      <c r="M20" s="102">
        <f>'Input invoeding groen gas 2019'!M124</f>
        <v>0</v>
      </c>
      <c r="N20" s="102">
        <f>'Input invoeding groen gas 2019'!N124</f>
        <v>0</v>
      </c>
      <c r="O20" s="102">
        <f>'Input invoeding groen gas 2019'!O124</f>
        <v>0</v>
      </c>
      <c r="P20" s="102">
        <f>'Input invoeding groen gas 2019'!P124</f>
        <v>0</v>
      </c>
      <c r="Q20" s="102">
        <f>'Input invoeding groen gas 2019'!Q124</f>
        <v>0</v>
      </c>
      <c r="R20" s="102">
        <f>'Input invoeding groen gas 2019'!R124</f>
        <v>0</v>
      </c>
      <c r="S20" s="102">
        <f>'Input invoeding groen gas 2019'!S124</f>
        <v>0</v>
      </c>
    </row>
    <row r="21" spans="2:23" customFormat="1" ht="15" x14ac:dyDescent="0.25">
      <c r="B21" s="42" t="s">
        <v>81</v>
      </c>
      <c r="C21" s="3"/>
      <c r="D21" s="3"/>
      <c r="E21" s="42"/>
      <c r="F21" s="42" t="s">
        <v>77</v>
      </c>
      <c r="G21" s="3"/>
      <c r="H21" s="3"/>
      <c r="I21" s="3"/>
      <c r="J21" s="57"/>
      <c r="K21" s="42"/>
      <c r="L21" s="102">
        <f>'Input invoeding groen gas 2019'!L125</f>
        <v>0</v>
      </c>
      <c r="M21" s="102">
        <f>'Input invoeding groen gas 2019'!M125</f>
        <v>0</v>
      </c>
      <c r="N21" s="102">
        <f>'Input invoeding groen gas 2019'!N125</f>
        <v>0</v>
      </c>
      <c r="O21" s="102">
        <f>'Input invoeding groen gas 2019'!O125</f>
        <v>0</v>
      </c>
      <c r="P21" s="102">
        <f>'Input invoeding groen gas 2019'!P125</f>
        <v>0</v>
      </c>
      <c r="Q21" s="102">
        <f>'Input invoeding groen gas 2019'!Q125</f>
        <v>0</v>
      </c>
      <c r="R21" s="102">
        <f>'Input invoeding groen gas 2019'!R125</f>
        <v>0</v>
      </c>
      <c r="S21" s="102">
        <f>'Input invoeding groen gas 2019'!S125</f>
        <v>0</v>
      </c>
    </row>
    <row r="22" spans="2:23" customFormat="1" ht="15" x14ac:dyDescent="0.25">
      <c r="B22" s="42" t="s">
        <v>82</v>
      </c>
      <c r="C22" s="3"/>
      <c r="D22" s="3"/>
      <c r="E22" s="42"/>
      <c r="F22" s="42" t="s">
        <v>77</v>
      </c>
      <c r="G22" s="3"/>
      <c r="H22" s="3"/>
      <c r="I22" s="3"/>
      <c r="J22" s="57"/>
      <c r="K22" s="42"/>
      <c r="L22" s="102">
        <f>'Input invoeding groen gas 2019'!L126</f>
        <v>0</v>
      </c>
      <c r="M22" s="102">
        <f>'Input invoeding groen gas 2019'!M126</f>
        <v>0</v>
      </c>
      <c r="N22" s="102">
        <f>'Input invoeding groen gas 2019'!N126</f>
        <v>0</v>
      </c>
      <c r="O22" s="102">
        <f>'Input invoeding groen gas 2019'!O126</f>
        <v>0</v>
      </c>
      <c r="P22" s="102">
        <f>'Input invoeding groen gas 2019'!P126</f>
        <v>0</v>
      </c>
      <c r="Q22" s="102">
        <f>'Input invoeding groen gas 2019'!Q126</f>
        <v>0</v>
      </c>
      <c r="R22" s="102">
        <f>'Input invoeding groen gas 2019'!R126</f>
        <v>0</v>
      </c>
      <c r="S22" s="102">
        <f>'Input invoeding groen gas 2019'!S126</f>
        <v>0</v>
      </c>
    </row>
    <row r="23" spans="2:23" customFormat="1" ht="15" x14ac:dyDescent="0.25">
      <c r="B23" s="42" t="s">
        <v>83</v>
      </c>
      <c r="C23" s="3"/>
      <c r="D23" s="3"/>
      <c r="E23" s="42"/>
      <c r="F23" s="42" t="s">
        <v>77</v>
      </c>
      <c r="G23" s="3"/>
      <c r="H23" s="3"/>
      <c r="I23" s="3"/>
      <c r="J23" s="57"/>
      <c r="K23" s="42"/>
      <c r="L23" s="102">
        <f>'Input invoeding groen gas 2019'!L127</f>
        <v>0</v>
      </c>
      <c r="M23" s="102">
        <f>'Input invoeding groen gas 2019'!M127</f>
        <v>0</v>
      </c>
      <c r="N23" s="102">
        <f>'Input invoeding groen gas 2019'!N127</f>
        <v>0</v>
      </c>
      <c r="O23" s="102">
        <f>'Input invoeding groen gas 2019'!O127</f>
        <v>0</v>
      </c>
      <c r="P23" s="102">
        <f>'Input invoeding groen gas 2019'!P127</f>
        <v>0</v>
      </c>
      <c r="Q23" s="102">
        <f>'Input invoeding groen gas 2019'!Q127</f>
        <v>0.1050228310502283</v>
      </c>
      <c r="R23" s="102">
        <f>'Input invoeding groen gas 2019'!R127</f>
        <v>0</v>
      </c>
      <c r="S23" s="102">
        <f>'Input invoeding groen gas 2019'!S127</f>
        <v>0</v>
      </c>
    </row>
    <row r="24" spans="2:23" customFormat="1" ht="15" x14ac:dyDescent="0.25">
      <c r="B24" s="42"/>
      <c r="C24" s="3"/>
      <c r="D24" s="3"/>
      <c r="E24" s="42"/>
      <c r="F24" s="42"/>
      <c r="G24" s="3"/>
      <c r="H24" s="3"/>
      <c r="I24" s="3"/>
      <c r="J24" s="57"/>
      <c r="K24" s="58"/>
      <c r="L24" s="59"/>
      <c r="M24" s="59"/>
      <c r="N24" s="59"/>
      <c r="O24" s="59"/>
      <c r="P24" s="59"/>
      <c r="Q24" s="59"/>
      <c r="R24" s="59"/>
      <c r="S24" s="59"/>
    </row>
    <row r="25" spans="2:23" customFormat="1" ht="15" x14ac:dyDescent="0.25">
      <c r="B25" s="50" t="s">
        <v>84</v>
      </c>
      <c r="C25" s="3"/>
      <c r="D25" s="3"/>
      <c r="E25" s="42"/>
      <c r="F25" s="42"/>
      <c r="G25" s="3"/>
      <c r="H25" s="3"/>
      <c r="I25" s="3"/>
      <c r="J25" s="57"/>
      <c r="K25" s="58"/>
      <c r="L25" s="59"/>
      <c r="M25" s="59"/>
      <c r="N25" s="59"/>
      <c r="O25" s="59"/>
      <c r="P25" s="59"/>
      <c r="Q25" s="59"/>
      <c r="R25" s="59"/>
      <c r="S25" s="59"/>
    </row>
    <row r="26" spans="2:23" customFormat="1" ht="15" x14ac:dyDescent="0.25">
      <c r="B26" s="42" t="s">
        <v>85</v>
      </c>
      <c r="C26" s="3"/>
      <c r="D26" s="3"/>
      <c r="E26" s="42"/>
      <c r="F26" s="42" t="s">
        <v>77</v>
      </c>
      <c r="G26" s="3"/>
      <c r="H26" s="3"/>
      <c r="I26" s="3"/>
      <c r="J26" s="57"/>
      <c r="K26" s="42"/>
      <c r="L26" s="102">
        <f>'Input invoeding groen gas 2019'!L130</f>
        <v>0</v>
      </c>
      <c r="M26" s="102">
        <f>'Input invoeding groen gas 2019'!M130</f>
        <v>0</v>
      </c>
      <c r="N26" s="102">
        <f>'Input invoeding groen gas 2019'!N130</f>
        <v>0</v>
      </c>
      <c r="O26" s="102">
        <f>'Input invoeding groen gas 2019'!O130</f>
        <v>0</v>
      </c>
      <c r="P26" s="102">
        <f>'Input invoeding groen gas 2019'!P130</f>
        <v>0</v>
      </c>
      <c r="Q26" s="102">
        <f>'Input invoeding groen gas 2019'!Q130</f>
        <v>0</v>
      </c>
      <c r="R26" s="102">
        <f>'Input invoeding groen gas 2019'!R130</f>
        <v>0</v>
      </c>
      <c r="S26" s="102">
        <f>'Input invoeding groen gas 2019'!S130</f>
        <v>0</v>
      </c>
    </row>
    <row r="27" spans="2:23" customFormat="1" ht="15" x14ac:dyDescent="0.25">
      <c r="B27" s="42" t="s">
        <v>86</v>
      </c>
      <c r="C27" s="3"/>
      <c r="D27" s="3"/>
      <c r="E27" s="42"/>
      <c r="F27" s="42" t="s">
        <v>77</v>
      </c>
      <c r="G27" s="3"/>
      <c r="H27" s="3"/>
      <c r="I27" s="3"/>
      <c r="J27" s="57"/>
      <c r="K27" s="42"/>
      <c r="L27" s="102">
        <f>'Input invoeding groen gas 2019'!L131</f>
        <v>0</v>
      </c>
      <c r="M27" s="102">
        <f>'Input invoeding groen gas 2019'!M131</f>
        <v>0</v>
      </c>
      <c r="N27" s="102">
        <f>'Input invoeding groen gas 2019'!N131</f>
        <v>0</v>
      </c>
      <c r="O27" s="102">
        <f>'Input invoeding groen gas 2019'!O131</f>
        <v>0.33333333333333331</v>
      </c>
      <c r="P27" s="102">
        <f>'Input invoeding groen gas 2019'!P131</f>
        <v>0</v>
      </c>
      <c r="Q27" s="102">
        <f>'Input invoeding groen gas 2019'!Q131</f>
        <v>0</v>
      </c>
      <c r="R27" s="102">
        <f>'Input invoeding groen gas 2019'!R131</f>
        <v>0</v>
      </c>
      <c r="S27" s="102">
        <f>'Input invoeding groen gas 2019'!S131</f>
        <v>0</v>
      </c>
    </row>
    <row r="28" spans="2:23" customFormat="1" ht="15" x14ac:dyDescent="0.25">
      <c r="B28" s="42" t="s">
        <v>87</v>
      </c>
      <c r="C28" s="3"/>
      <c r="D28" s="3"/>
      <c r="E28" s="42"/>
      <c r="F28" s="42" t="s">
        <v>77</v>
      </c>
      <c r="G28" s="3"/>
      <c r="H28" s="3"/>
      <c r="I28" s="3"/>
      <c r="J28" s="57"/>
      <c r="K28" s="42"/>
      <c r="L28" s="102">
        <f>'Input invoeding groen gas 2019'!L132</f>
        <v>0</v>
      </c>
      <c r="M28" s="102">
        <f>'Input invoeding groen gas 2019'!M132</f>
        <v>0</v>
      </c>
      <c r="N28" s="102">
        <f>'Input invoeding groen gas 2019'!N132</f>
        <v>0</v>
      </c>
      <c r="O28" s="102">
        <f>'Input invoeding groen gas 2019'!O132</f>
        <v>0</v>
      </c>
      <c r="P28" s="102">
        <f>'Input invoeding groen gas 2019'!P132</f>
        <v>0</v>
      </c>
      <c r="Q28" s="102">
        <f>'Input invoeding groen gas 2019'!Q132</f>
        <v>0</v>
      </c>
      <c r="R28" s="102">
        <f>'Input invoeding groen gas 2019'!R132</f>
        <v>0</v>
      </c>
      <c r="S28" s="102">
        <f>'Input invoeding groen gas 2019'!S132</f>
        <v>0</v>
      </c>
    </row>
    <row r="29" spans="2:23" customFormat="1" ht="15" x14ac:dyDescent="0.25">
      <c r="B29" s="42" t="s">
        <v>88</v>
      </c>
      <c r="C29" s="3"/>
      <c r="D29" s="3"/>
      <c r="E29" s="42"/>
      <c r="F29" s="42" t="s">
        <v>77</v>
      </c>
      <c r="G29" s="3"/>
      <c r="H29" s="3"/>
      <c r="I29" s="3"/>
      <c r="J29" s="57"/>
      <c r="K29" s="42"/>
      <c r="L29" s="102">
        <f>'Input invoeding groen gas 2019'!L133</f>
        <v>0</v>
      </c>
      <c r="M29" s="102">
        <f>'Input invoeding groen gas 2019'!M133</f>
        <v>0</v>
      </c>
      <c r="N29" s="102">
        <f>'Input invoeding groen gas 2019'!N133</f>
        <v>0</v>
      </c>
      <c r="O29" s="102">
        <f>'Input invoeding groen gas 2019'!O133</f>
        <v>0</v>
      </c>
      <c r="P29" s="102">
        <f>'Input invoeding groen gas 2019'!P133</f>
        <v>0</v>
      </c>
      <c r="Q29" s="102">
        <f>'Input invoeding groen gas 2019'!Q133</f>
        <v>0</v>
      </c>
      <c r="R29" s="102">
        <f>'Input invoeding groen gas 2019'!R133</f>
        <v>0</v>
      </c>
      <c r="S29" s="102">
        <f>'Input invoeding groen gas 2019'!S133</f>
        <v>0</v>
      </c>
    </row>
    <row r="30" spans="2:23" customFormat="1" ht="15" x14ac:dyDescent="0.25">
      <c r="B30" s="42" t="s">
        <v>89</v>
      </c>
      <c r="C30" s="3"/>
      <c r="D30" s="3"/>
      <c r="E30" s="42"/>
      <c r="F30" s="42" t="s">
        <v>77</v>
      </c>
      <c r="G30" s="3"/>
      <c r="H30" s="3"/>
      <c r="I30" s="3"/>
      <c r="J30" s="57"/>
      <c r="K30" s="42"/>
      <c r="L30" s="102">
        <f>'Input invoeding groen gas 2019'!L134</f>
        <v>0</v>
      </c>
      <c r="M30" s="102">
        <f>'Input invoeding groen gas 2019'!M134</f>
        <v>0</v>
      </c>
      <c r="N30" s="102">
        <f>'Input invoeding groen gas 2019'!N134</f>
        <v>0</v>
      </c>
      <c r="O30" s="102">
        <f>'Input invoeding groen gas 2019'!O134</f>
        <v>0</v>
      </c>
      <c r="P30" s="102">
        <f>'Input invoeding groen gas 2019'!P134</f>
        <v>0</v>
      </c>
      <c r="Q30" s="102">
        <f>'Input invoeding groen gas 2019'!Q134</f>
        <v>0</v>
      </c>
      <c r="R30" s="102">
        <f>'Input invoeding groen gas 2019'!R134</f>
        <v>0</v>
      </c>
      <c r="S30" s="102">
        <f>'Input invoeding groen gas 2019'!S134</f>
        <v>0</v>
      </c>
    </row>
    <row r="31" spans="2:23" customFormat="1" ht="15" x14ac:dyDescent="0.25">
      <c r="B31" s="42"/>
      <c r="C31" s="3"/>
      <c r="D31" s="3"/>
      <c r="E31" s="42"/>
      <c r="F31" s="42"/>
      <c r="G31" s="3"/>
      <c r="H31" s="3"/>
      <c r="I31" s="3"/>
      <c r="J31" s="57"/>
      <c r="K31" s="58"/>
      <c r="L31" s="59"/>
      <c r="M31" s="59"/>
      <c r="N31" s="59"/>
      <c r="O31" s="59"/>
      <c r="P31" s="59"/>
      <c r="Q31" s="59"/>
      <c r="R31" s="59"/>
      <c r="S31" s="59"/>
      <c r="T31" s="60"/>
      <c r="U31" s="60"/>
      <c r="V31" s="60"/>
      <c r="W31" s="60"/>
    </row>
    <row r="32" spans="2:23" customFormat="1" ht="15" x14ac:dyDescent="0.25">
      <c r="B32" s="50" t="s">
        <v>90</v>
      </c>
      <c r="C32" s="3"/>
      <c r="D32" s="3"/>
      <c r="E32" s="42"/>
      <c r="F32" s="42"/>
      <c r="G32" s="3"/>
      <c r="H32" s="3"/>
      <c r="I32" s="3"/>
      <c r="J32" s="57"/>
      <c r="K32" s="58"/>
      <c r="L32" s="59"/>
      <c r="M32" s="59"/>
      <c r="N32" s="59"/>
      <c r="O32" s="59"/>
      <c r="P32" s="59"/>
      <c r="Q32" s="59"/>
      <c r="R32" s="59"/>
      <c r="S32" s="59"/>
      <c r="T32" s="60"/>
      <c r="U32" s="60"/>
      <c r="V32" s="60"/>
      <c r="W32" s="60"/>
    </row>
    <row r="33" spans="2:23" customFormat="1" ht="15" x14ac:dyDescent="0.25">
      <c r="B33" s="42"/>
      <c r="C33" s="3"/>
      <c r="D33" s="3"/>
      <c r="E33" s="42"/>
      <c r="F33" s="42"/>
      <c r="G33" s="3"/>
      <c r="H33" s="3"/>
      <c r="I33" s="3"/>
      <c r="J33" s="57"/>
      <c r="K33" s="58"/>
      <c r="L33" s="59"/>
      <c r="M33" s="59"/>
      <c r="N33" s="59"/>
      <c r="O33" s="59"/>
      <c r="P33" s="59"/>
      <c r="Q33" s="59"/>
      <c r="R33" s="59"/>
      <c r="S33" s="59"/>
      <c r="T33" s="60"/>
      <c r="U33" s="60"/>
      <c r="V33" s="60"/>
      <c r="W33" s="60"/>
    </row>
    <row r="34" spans="2:23" customFormat="1" ht="15" x14ac:dyDescent="0.25">
      <c r="B34" s="50" t="s">
        <v>91</v>
      </c>
      <c r="C34" s="3"/>
      <c r="D34" s="3"/>
      <c r="E34" s="42"/>
      <c r="F34" s="42"/>
      <c r="G34" s="3"/>
      <c r="H34" s="3"/>
      <c r="I34" s="3"/>
      <c r="J34" s="60"/>
      <c r="K34" s="58"/>
      <c r="L34" s="59"/>
      <c r="M34" s="59"/>
      <c r="N34" s="59"/>
      <c r="O34" s="59"/>
      <c r="P34" s="59"/>
      <c r="Q34" s="59"/>
      <c r="R34" s="59"/>
      <c r="S34" s="59"/>
      <c r="T34" s="60"/>
      <c r="U34" s="60"/>
      <c r="V34" s="60"/>
      <c r="W34" s="60"/>
    </row>
    <row r="35" spans="2:23" customFormat="1" ht="15" x14ac:dyDescent="0.25">
      <c r="B35" s="42" t="s">
        <v>92</v>
      </c>
      <c r="C35" s="3"/>
      <c r="D35" s="3"/>
      <c r="E35" s="42"/>
      <c r="F35" s="42" t="s">
        <v>77</v>
      </c>
      <c r="G35" s="3"/>
      <c r="H35" s="3"/>
      <c r="I35" s="3"/>
      <c r="J35" s="57"/>
      <c r="K35" s="42"/>
      <c r="L35" s="102">
        <f>'Input invoeding groen gas 2019'!L139</f>
        <v>1</v>
      </c>
      <c r="M35" s="102">
        <f>'Input invoeding groen gas 2019'!M139</f>
        <v>0</v>
      </c>
      <c r="N35" s="102">
        <f>'Input invoeding groen gas 2019'!N139</f>
        <v>0</v>
      </c>
      <c r="O35" s="102">
        <f>'Input invoeding groen gas 2019'!O139</f>
        <v>0</v>
      </c>
      <c r="P35" s="102">
        <f>'Input invoeding groen gas 2019'!P139</f>
        <v>0.47333333333333333</v>
      </c>
      <c r="Q35" s="102">
        <f>'Input invoeding groen gas 2019'!Q139</f>
        <v>0</v>
      </c>
      <c r="R35" s="102">
        <f>'Input invoeding groen gas 2019'!R139</f>
        <v>0</v>
      </c>
      <c r="S35" s="102">
        <f>'Input invoeding groen gas 2019'!S139</f>
        <v>0</v>
      </c>
    </row>
    <row r="36" spans="2:23" customFormat="1" ht="15" x14ac:dyDescent="0.25">
      <c r="B36" s="42" t="s">
        <v>93</v>
      </c>
      <c r="C36" s="3"/>
      <c r="D36" s="3"/>
      <c r="E36" s="42"/>
      <c r="F36" s="42" t="s">
        <v>77</v>
      </c>
      <c r="G36" s="3"/>
      <c r="H36" s="3"/>
      <c r="I36" s="3"/>
      <c r="J36" s="57"/>
      <c r="K36" s="42"/>
      <c r="L36" s="102">
        <f>'Input invoeding groen gas 2019'!L140</f>
        <v>0</v>
      </c>
      <c r="M36" s="102">
        <f>'Input invoeding groen gas 2019'!M140</f>
        <v>0</v>
      </c>
      <c r="N36" s="102">
        <f>'Input invoeding groen gas 2019'!N140</f>
        <v>0</v>
      </c>
      <c r="O36" s="102">
        <f>'Input invoeding groen gas 2019'!O140</f>
        <v>0</v>
      </c>
      <c r="P36" s="102">
        <f>'Input invoeding groen gas 2019'!P140</f>
        <v>0</v>
      </c>
      <c r="Q36" s="102">
        <f>'Input invoeding groen gas 2019'!Q140</f>
        <v>0</v>
      </c>
      <c r="R36" s="102">
        <f>'Input invoeding groen gas 2019'!R140</f>
        <v>0</v>
      </c>
      <c r="S36" s="102">
        <f>'Input invoeding groen gas 2019'!S140</f>
        <v>0</v>
      </c>
    </row>
    <row r="37" spans="2:23" customFormat="1" ht="15" x14ac:dyDescent="0.25">
      <c r="C37" s="3"/>
      <c r="D37" s="3"/>
      <c r="E37" s="42"/>
      <c r="F37" s="42"/>
      <c r="G37" s="3"/>
      <c r="H37" s="3"/>
      <c r="I37" s="3"/>
      <c r="J37" s="57"/>
      <c r="K37" s="58"/>
      <c r="L37" s="59"/>
      <c r="M37" s="59"/>
      <c r="N37" s="59"/>
      <c r="O37" s="59"/>
      <c r="P37" s="59"/>
      <c r="Q37" s="59"/>
      <c r="R37" s="59"/>
      <c r="S37" s="59"/>
      <c r="T37" s="60"/>
      <c r="U37" s="60"/>
    </row>
    <row r="38" spans="2:23" customFormat="1" ht="15" x14ac:dyDescent="0.25">
      <c r="B38" s="42" t="s">
        <v>94</v>
      </c>
      <c r="C38" s="3"/>
      <c r="D38" s="3"/>
      <c r="E38" s="42"/>
      <c r="F38" s="42" t="s">
        <v>77</v>
      </c>
      <c r="G38" s="3"/>
      <c r="H38" s="3"/>
      <c r="I38" s="3"/>
      <c r="J38" s="57"/>
      <c r="K38" s="42"/>
      <c r="L38" s="102">
        <f>'Input invoeding groen gas 2019'!L142</f>
        <v>0</v>
      </c>
      <c r="M38" s="102">
        <f>'Input invoeding groen gas 2019'!M142</f>
        <v>0</v>
      </c>
      <c r="N38" s="102">
        <f>'Input invoeding groen gas 2019'!N142</f>
        <v>11.967943271851601</v>
      </c>
      <c r="O38" s="102">
        <f>'Input invoeding groen gas 2019'!O142</f>
        <v>6.583333333333333</v>
      </c>
      <c r="P38" s="102">
        <f>'Input invoeding groen gas 2019'!P142</f>
        <v>0</v>
      </c>
      <c r="Q38" s="102">
        <f>'Input invoeding groen gas 2019'!Q142</f>
        <v>3</v>
      </c>
      <c r="R38" s="102">
        <f>'Input invoeding groen gas 2019'!R142</f>
        <v>0</v>
      </c>
      <c r="S38" s="102">
        <f>'Input invoeding groen gas 2019'!S142</f>
        <v>0</v>
      </c>
    </row>
    <row r="39" spans="2:23" customFormat="1" ht="15" x14ac:dyDescent="0.25">
      <c r="B39" s="42"/>
      <c r="C39" s="3"/>
      <c r="D39" s="3"/>
      <c r="E39" s="42"/>
      <c r="F39" s="42"/>
      <c r="G39" s="3"/>
      <c r="H39" s="3"/>
      <c r="I39" s="3"/>
      <c r="J39" s="57"/>
      <c r="K39" s="58"/>
      <c r="L39" s="59"/>
      <c r="M39" s="59"/>
      <c r="N39" s="59"/>
      <c r="O39" s="59"/>
      <c r="P39" s="59"/>
      <c r="Q39" s="59"/>
      <c r="R39" s="59"/>
      <c r="S39" s="59"/>
      <c r="T39" s="60"/>
      <c r="U39" s="60"/>
    </row>
    <row r="40" spans="2:23" customFormat="1" ht="15" x14ac:dyDescent="0.25">
      <c r="B40" s="50" t="s">
        <v>95</v>
      </c>
      <c r="C40" s="3"/>
      <c r="D40" s="3"/>
      <c r="E40" s="42"/>
      <c r="F40" s="42"/>
      <c r="G40" s="3"/>
      <c r="H40" s="3"/>
      <c r="I40" s="3"/>
      <c r="J40" s="57"/>
      <c r="K40" s="58"/>
      <c r="L40" s="59"/>
      <c r="M40" s="59"/>
      <c r="N40" s="59"/>
      <c r="O40" s="59"/>
      <c r="P40" s="59"/>
      <c r="Q40" s="59"/>
      <c r="R40" s="59"/>
      <c r="S40" s="59"/>
      <c r="T40" s="60"/>
      <c r="U40" s="60"/>
    </row>
    <row r="41" spans="2:23" customFormat="1" ht="15" x14ac:dyDescent="0.25">
      <c r="B41" s="42"/>
      <c r="C41" s="3"/>
      <c r="D41" s="3"/>
      <c r="E41" s="42"/>
      <c r="F41" s="42"/>
      <c r="G41" s="3"/>
      <c r="H41" s="3"/>
      <c r="I41" s="3"/>
      <c r="J41" s="57"/>
      <c r="K41" s="58"/>
      <c r="L41" s="59"/>
      <c r="M41" s="59"/>
      <c r="N41" s="59"/>
      <c r="O41" s="59"/>
      <c r="P41" s="59"/>
      <c r="Q41" s="59"/>
      <c r="R41" s="59"/>
      <c r="S41" s="59"/>
      <c r="T41" s="60"/>
      <c r="U41" s="60"/>
    </row>
    <row r="42" spans="2:23" customFormat="1" ht="15" x14ac:dyDescent="0.25">
      <c r="B42" s="50" t="s">
        <v>91</v>
      </c>
      <c r="C42" s="3"/>
      <c r="D42" s="3"/>
      <c r="E42" s="42"/>
      <c r="F42" s="42"/>
      <c r="G42" s="3"/>
      <c r="H42" s="3"/>
      <c r="I42" s="3"/>
      <c r="J42" s="57"/>
      <c r="K42" s="58"/>
      <c r="L42" s="59"/>
      <c r="M42" s="59"/>
      <c r="N42" s="59"/>
      <c r="O42" s="59"/>
      <c r="P42" s="59"/>
      <c r="Q42" s="59"/>
      <c r="R42" s="59"/>
      <c r="S42" s="59"/>
      <c r="T42" s="60"/>
      <c r="U42" s="60"/>
    </row>
    <row r="43" spans="2:23" customFormat="1" ht="15" x14ac:dyDescent="0.25">
      <c r="B43" s="42" t="s">
        <v>92</v>
      </c>
      <c r="C43" s="3"/>
      <c r="D43" s="3"/>
      <c r="E43" s="42"/>
      <c r="F43" s="42" t="s">
        <v>77</v>
      </c>
      <c r="G43" s="3"/>
      <c r="H43" s="3"/>
      <c r="I43" s="3"/>
      <c r="J43" s="57"/>
      <c r="K43" s="42"/>
      <c r="L43" s="102">
        <f>'Input invoeding groen gas 2019'!L147</f>
        <v>0</v>
      </c>
      <c r="M43" s="102">
        <f>'Input invoeding groen gas 2019'!M147</f>
        <v>0</v>
      </c>
      <c r="N43" s="102">
        <f>'Input invoeding groen gas 2019'!N147</f>
        <v>0</v>
      </c>
      <c r="O43" s="102">
        <f>'Input invoeding groen gas 2019'!O147</f>
        <v>0</v>
      </c>
      <c r="P43" s="102">
        <f>'Input invoeding groen gas 2019'!P147</f>
        <v>714.33333333333337</v>
      </c>
      <c r="Q43" s="102">
        <f>'Input invoeding groen gas 2019'!Q147</f>
        <v>0</v>
      </c>
      <c r="R43" s="102">
        <f>'Input invoeding groen gas 2019'!R147</f>
        <v>0</v>
      </c>
      <c r="S43" s="102">
        <f>'Input invoeding groen gas 2019'!S147</f>
        <v>0</v>
      </c>
    </row>
    <row r="44" spans="2:23" customFormat="1" ht="15" x14ac:dyDescent="0.25">
      <c r="B44" s="42" t="s">
        <v>93</v>
      </c>
      <c r="C44" s="3"/>
      <c r="D44" s="3"/>
      <c r="E44" s="42"/>
      <c r="F44" s="42" t="s">
        <v>77</v>
      </c>
      <c r="G44" s="3"/>
      <c r="H44" s="3"/>
      <c r="I44" s="3"/>
      <c r="J44" s="57"/>
      <c r="K44" s="42"/>
      <c r="L44" s="102">
        <f>'Input invoeding groen gas 2019'!L148</f>
        <v>0</v>
      </c>
      <c r="M44" s="102">
        <f>'Input invoeding groen gas 2019'!M148</f>
        <v>0</v>
      </c>
      <c r="N44" s="102">
        <f>'Input invoeding groen gas 2019'!N148</f>
        <v>0</v>
      </c>
      <c r="O44" s="102">
        <f>'Input invoeding groen gas 2019'!O148</f>
        <v>0</v>
      </c>
      <c r="P44" s="102">
        <f>'Input invoeding groen gas 2019'!P148</f>
        <v>0</v>
      </c>
      <c r="Q44" s="102">
        <f>'Input invoeding groen gas 2019'!Q148</f>
        <v>0</v>
      </c>
      <c r="R44" s="102">
        <f>'Input invoeding groen gas 2019'!R148</f>
        <v>0</v>
      </c>
      <c r="S44" s="102">
        <f>'Input invoeding groen gas 2019'!S148</f>
        <v>0</v>
      </c>
    </row>
    <row r="45" spans="2:23" customFormat="1" ht="15" x14ac:dyDescent="0.25">
      <c r="B45" s="42"/>
      <c r="C45" s="3"/>
      <c r="D45" s="3"/>
      <c r="E45" s="42"/>
      <c r="F45" s="42"/>
      <c r="G45" s="3"/>
      <c r="H45" s="3"/>
      <c r="I45" s="3"/>
      <c r="J45" s="57"/>
      <c r="K45" s="58"/>
      <c r="L45" s="59"/>
      <c r="M45" s="59"/>
      <c r="N45" s="59"/>
      <c r="O45" s="59"/>
      <c r="P45" s="59"/>
      <c r="Q45" s="59"/>
      <c r="R45" s="59"/>
      <c r="S45" s="59"/>
      <c r="T45" s="60"/>
      <c r="U45" s="60"/>
    </row>
    <row r="46" spans="2:23" customFormat="1" ht="15" x14ac:dyDescent="0.25">
      <c r="B46" s="42" t="s">
        <v>96</v>
      </c>
      <c r="C46" s="3"/>
      <c r="D46" s="3"/>
      <c r="E46" s="42"/>
      <c r="F46" s="42" t="s">
        <v>77</v>
      </c>
      <c r="G46" s="3"/>
      <c r="H46" s="3"/>
      <c r="I46" s="3"/>
      <c r="J46" s="57"/>
      <c r="K46" s="42"/>
      <c r="L46" s="102">
        <f>'Input invoeding groen gas 2019'!L150</f>
        <v>0</v>
      </c>
      <c r="M46" s="102">
        <f>'Input invoeding groen gas 2019'!M150</f>
        <v>0</v>
      </c>
      <c r="N46" s="102">
        <f>'Input invoeding groen gas 2019'!N150</f>
        <v>10672.483623519271</v>
      </c>
      <c r="O46" s="102">
        <f>'Input invoeding groen gas 2019'!O150</f>
        <v>2648.3333333333335</v>
      </c>
      <c r="P46" s="102">
        <f>'Input invoeding groen gas 2019'!P150</f>
        <v>0</v>
      </c>
      <c r="Q46" s="102">
        <f>'Input invoeding groen gas 2019'!Q150</f>
        <v>523.99964898424821</v>
      </c>
      <c r="R46" s="102">
        <f>'Input invoeding groen gas 2019'!R150</f>
        <v>0</v>
      </c>
      <c r="S46" s="102">
        <f>'Input invoeding groen gas 2019'!S150</f>
        <v>0</v>
      </c>
    </row>
    <row r="47" spans="2:23" customFormat="1" ht="15" x14ac:dyDescent="0.25">
      <c r="C47" s="3"/>
      <c r="D47" s="3"/>
    </row>
    <row r="48" spans="2:23" s="9" customFormat="1" x14ac:dyDescent="0.25">
      <c r="B48" s="9" t="s">
        <v>289</v>
      </c>
    </row>
    <row r="49" spans="1:19" customFormat="1" ht="15" x14ac:dyDescent="0.25">
      <c r="A49" s="42"/>
      <c r="B49" s="42"/>
      <c r="C49" s="42"/>
      <c r="D49" s="42"/>
      <c r="E49" s="42"/>
      <c r="F49" s="44"/>
      <c r="G49" s="42"/>
      <c r="H49" s="43"/>
      <c r="I49" s="43"/>
      <c r="J49" s="43"/>
      <c r="K49" s="43"/>
      <c r="L49" s="43"/>
      <c r="M49" s="43"/>
      <c r="N49" s="43"/>
    </row>
    <row r="50" spans="1:19" customFormat="1" ht="15" x14ac:dyDescent="0.25">
      <c r="B50" s="50" t="s">
        <v>98</v>
      </c>
      <c r="C50" s="42"/>
      <c r="D50" s="42"/>
      <c r="E50" s="42"/>
      <c r="F50" s="44"/>
      <c r="G50" s="42"/>
      <c r="H50" s="43"/>
      <c r="I50" s="43"/>
      <c r="J50" s="43"/>
      <c r="K50" s="43"/>
      <c r="L50" s="43"/>
      <c r="M50" s="43"/>
      <c r="N50" s="43"/>
    </row>
    <row r="51" spans="1:19" customFormat="1" ht="15" x14ac:dyDescent="0.25">
      <c r="B51" s="42"/>
      <c r="C51" s="42"/>
      <c r="D51" s="42"/>
      <c r="E51" s="42"/>
      <c r="F51" s="44"/>
      <c r="G51" s="42"/>
      <c r="H51" s="43"/>
      <c r="I51" s="43"/>
      <c r="J51" s="43"/>
      <c r="K51" s="43"/>
      <c r="L51" s="43"/>
      <c r="M51" s="43"/>
      <c r="N51" s="43"/>
    </row>
    <row r="52" spans="1:19" customFormat="1" ht="15" x14ac:dyDescent="0.25">
      <c r="B52" s="50" t="s">
        <v>99</v>
      </c>
      <c r="C52" s="42"/>
      <c r="D52" s="42"/>
      <c r="E52" s="42"/>
      <c r="F52" s="44"/>
      <c r="G52" s="42"/>
      <c r="H52" s="43"/>
      <c r="I52" s="43"/>
      <c r="J52" s="43"/>
      <c r="K52" s="43"/>
      <c r="L52" s="43"/>
      <c r="M52" s="43"/>
      <c r="N52" s="43"/>
    </row>
    <row r="53" spans="1:19" customFormat="1" ht="15" x14ac:dyDescent="0.25">
      <c r="B53" s="42" t="s">
        <v>100</v>
      </c>
      <c r="C53" s="42"/>
      <c r="D53" s="3"/>
      <c r="E53" s="42"/>
      <c r="F53" s="42" t="s">
        <v>185</v>
      </c>
      <c r="G53" s="42"/>
      <c r="H53" s="3"/>
      <c r="I53" s="3"/>
      <c r="J53" s="3"/>
      <c r="K53" s="3"/>
      <c r="L53" s="61"/>
      <c r="M53" s="61"/>
      <c r="N53" s="61"/>
      <c r="O53" s="61"/>
      <c r="P53" s="61"/>
      <c r="Q53" s="123">
        <f>'Input invoeding groen gas 2019'!Q157</f>
        <v>18</v>
      </c>
      <c r="R53" s="142"/>
      <c r="S53" s="142"/>
    </row>
    <row r="54" spans="1:19" customFormat="1" ht="15" x14ac:dyDescent="0.25">
      <c r="B54" s="42" t="s">
        <v>101</v>
      </c>
      <c r="C54" s="42"/>
      <c r="D54" s="3"/>
      <c r="E54" s="42"/>
      <c r="F54" s="42" t="s">
        <v>185</v>
      </c>
      <c r="G54" s="42"/>
      <c r="H54" s="3"/>
      <c r="I54" s="3"/>
      <c r="J54" s="3"/>
      <c r="K54" s="3"/>
      <c r="L54" s="61"/>
      <c r="M54" s="61"/>
      <c r="N54" s="61"/>
      <c r="O54" s="61"/>
      <c r="P54" s="61"/>
      <c r="Q54" s="123">
        <f>'Input invoeding groen gas 2019'!Q158</f>
        <v>27.8</v>
      </c>
      <c r="R54" s="142"/>
      <c r="S54" s="142"/>
    </row>
    <row r="55" spans="1:19" customFormat="1" ht="15" x14ac:dyDescent="0.25">
      <c r="B55" s="42"/>
      <c r="C55" s="42"/>
      <c r="D55" s="3"/>
      <c r="E55" s="42"/>
      <c r="F55" s="42"/>
      <c r="G55" s="42"/>
      <c r="H55" s="3"/>
      <c r="I55" s="3"/>
      <c r="J55" s="3"/>
      <c r="K55" s="3"/>
      <c r="L55" s="45"/>
      <c r="M55" s="45"/>
      <c r="N55" s="45"/>
      <c r="O55" s="45"/>
      <c r="P55" s="45"/>
      <c r="Q55" s="45"/>
      <c r="R55" s="45"/>
      <c r="S55" s="45"/>
    </row>
    <row r="56" spans="1:19" customFormat="1" ht="15" x14ac:dyDescent="0.25">
      <c r="B56" s="50" t="s">
        <v>102</v>
      </c>
      <c r="C56" s="42"/>
      <c r="D56" s="3"/>
      <c r="E56" s="42"/>
      <c r="F56" s="42"/>
      <c r="G56" s="42"/>
      <c r="H56" s="3"/>
      <c r="I56" s="3"/>
      <c r="J56" s="3"/>
      <c r="K56" s="3"/>
      <c r="L56" s="45"/>
      <c r="M56" s="45"/>
      <c r="N56" s="45"/>
      <c r="O56" s="45"/>
      <c r="P56" s="45"/>
      <c r="Q56" s="45"/>
      <c r="R56" s="45"/>
      <c r="S56" s="45"/>
    </row>
    <row r="57" spans="1:19" customFormat="1" ht="15" x14ac:dyDescent="0.25">
      <c r="B57" s="42" t="s">
        <v>100</v>
      </c>
      <c r="C57" s="42"/>
      <c r="D57" s="3"/>
      <c r="E57" s="42"/>
      <c r="F57" s="42" t="s">
        <v>185</v>
      </c>
      <c r="G57" s="42"/>
      <c r="H57" s="3"/>
      <c r="I57" s="3"/>
      <c r="J57" s="3"/>
      <c r="K57" s="3"/>
      <c r="L57" s="142"/>
      <c r="M57" s="142"/>
      <c r="N57" s="142"/>
      <c r="O57" s="123">
        <f>'Input invoeding groen gas 2019'!O161</f>
        <v>18</v>
      </c>
      <c r="P57" s="142"/>
      <c r="Q57" s="142"/>
      <c r="R57" s="142"/>
      <c r="S57" s="142"/>
    </row>
    <row r="58" spans="1:19" customFormat="1" ht="15" x14ac:dyDescent="0.25">
      <c r="B58" s="42" t="s">
        <v>101</v>
      </c>
      <c r="C58" s="42"/>
      <c r="D58" s="3"/>
      <c r="E58" s="42"/>
      <c r="F58" s="42" t="s">
        <v>185</v>
      </c>
      <c r="G58" s="42"/>
      <c r="H58" s="3"/>
      <c r="I58" s="3"/>
      <c r="J58" s="3"/>
      <c r="K58" s="3"/>
      <c r="L58" s="142"/>
      <c r="M58" s="142"/>
      <c r="N58" s="142"/>
      <c r="O58" s="123">
        <f>'Input invoeding groen gas 2019'!O162</f>
        <v>29.46</v>
      </c>
      <c r="P58" s="142"/>
      <c r="Q58" s="142"/>
      <c r="R58" s="142"/>
      <c r="S58" s="142"/>
    </row>
    <row r="59" spans="1:19" customFormat="1" ht="15" x14ac:dyDescent="0.25">
      <c r="B59" s="42"/>
      <c r="C59" s="42"/>
      <c r="D59" s="3"/>
      <c r="E59" s="42"/>
      <c r="F59" s="42"/>
      <c r="G59" s="42"/>
      <c r="H59" s="3"/>
      <c r="I59" s="3"/>
      <c r="J59" s="3"/>
      <c r="K59" s="3"/>
      <c r="L59" s="45"/>
      <c r="M59" s="45"/>
      <c r="N59" s="45"/>
      <c r="O59" s="45"/>
      <c r="P59" s="45"/>
      <c r="Q59" s="45"/>
      <c r="R59" s="45"/>
      <c r="S59" s="45"/>
    </row>
    <row r="60" spans="1:19" customFormat="1" ht="15" x14ac:dyDescent="0.25">
      <c r="B60" s="50" t="s">
        <v>103</v>
      </c>
      <c r="C60" s="42"/>
      <c r="D60" s="3"/>
      <c r="E60" s="42"/>
      <c r="F60" s="42"/>
      <c r="G60" s="44"/>
      <c r="H60" s="3"/>
      <c r="I60" s="3"/>
      <c r="J60" s="3"/>
      <c r="K60" s="3"/>
      <c r="L60" s="52"/>
      <c r="M60" s="52"/>
      <c r="N60" s="52"/>
      <c r="O60" s="52"/>
      <c r="P60" s="52"/>
      <c r="Q60" s="52"/>
      <c r="R60" s="45"/>
      <c r="S60" s="45"/>
    </row>
    <row r="61" spans="1:19" customFormat="1" ht="15" x14ac:dyDescent="0.25">
      <c r="B61" s="42" t="s">
        <v>100</v>
      </c>
      <c r="C61" s="42"/>
      <c r="D61" s="3"/>
      <c r="E61" s="42"/>
      <c r="F61" s="42" t="s">
        <v>185</v>
      </c>
      <c r="G61" s="42"/>
      <c r="H61" s="3"/>
      <c r="I61" s="3"/>
      <c r="J61" s="3"/>
      <c r="K61" s="3"/>
      <c r="L61" s="123">
        <f>'Input invoeding groen gas 2019'!L165</f>
        <v>500</v>
      </c>
      <c r="M61" s="142"/>
      <c r="N61" s="123">
        <f>'Input invoeding groen gas 2019'!N165</f>
        <v>972.26</v>
      </c>
      <c r="O61" s="123">
        <f>'Input invoeding groen gas 2019'!O165</f>
        <v>846</v>
      </c>
      <c r="P61" s="123">
        <f>'Input invoeding groen gas 2019'!P165</f>
        <v>581</v>
      </c>
      <c r="Q61" s="123">
        <f>'Input invoeding groen gas 2019'!Q165</f>
        <v>777.02</v>
      </c>
      <c r="R61" s="142"/>
      <c r="S61" s="142"/>
    </row>
    <row r="62" spans="1:19" customFormat="1" ht="15" x14ac:dyDescent="0.25">
      <c r="B62" s="42" t="s">
        <v>92</v>
      </c>
      <c r="C62" s="42"/>
      <c r="D62" s="3"/>
      <c r="E62" s="42"/>
      <c r="F62" s="42" t="s">
        <v>185</v>
      </c>
      <c r="G62" s="42"/>
      <c r="H62" s="3"/>
      <c r="I62" s="3"/>
      <c r="J62" s="3"/>
      <c r="K62" s="3"/>
      <c r="L62" s="142"/>
      <c r="M62" s="142"/>
      <c r="N62" s="142"/>
      <c r="O62" s="142"/>
      <c r="P62" s="123">
        <f>'Input invoeding groen gas 2019'!P166</f>
        <v>21.35</v>
      </c>
      <c r="Q62" s="142"/>
      <c r="R62" s="142"/>
      <c r="S62" s="142"/>
    </row>
    <row r="63" spans="1:19" customFormat="1" ht="15" x14ac:dyDescent="0.25">
      <c r="B63" s="42" t="s">
        <v>93</v>
      </c>
      <c r="C63" s="42"/>
      <c r="D63" s="3"/>
      <c r="E63" s="42"/>
      <c r="F63" s="42" t="s">
        <v>185</v>
      </c>
      <c r="G63" s="42"/>
      <c r="H63" s="3"/>
      <c r="I63" s="3"/>
      <c r="J63" s="3"/>
      <c r="K63" s="3"/>
      <c r="L63" s="142"/>
      <c r="M63" s="142"/>
      <c r="N63" s="142"/>
      <c r="O63" s="142"/>
      <c r="P63" s="142"/>
      <c r="Q63" s="142"/>
      <c r="R63" s="142"/>
      <c r="S63" s="142"/>
    </row>
    <row r="64" spans="1:19" customFormat="1" ht="15" x14ac:dyDescent="0.25">
      <c r="B64" s="42" t="s">
        <v>104</v>
      </c>
      <c r="C64" s="42"/>
      <c r="D64" s="3"/>
      <c r="E64" s="42"/>
      <c r="F64" s="42" t="s">
        <v>185</v>
      </c>
      <c r="G64" s="42"/>
      <c r="H64" s="3"/>
      <c r="I64" s="3"/>
      <c r="J64" s="3"/>
      <c r="K64" s="3"/>
      <c r="L64" s="142"/>
      <c r="M64" s="142"/>
      <c r="N64" s="123">
        <f>'Input invoeding groen gas 2019'!N168</f>
        <v>22.355599999999999</v>
      </c>
      <c r="O64" s="123">
        <f>'Input invoeding groen gas 2019'!O168</f>
        <v>20.28</v>
      </c>
      <c r="P64" s="142"/>
      <c r="Q64" s="123">
        <f>'Input invoeding groen gas 2019'!Q168</f>
        <v>24.35</v>
      </c>
      <c r="R64" s="142"/>
      <c r="S64" s="142"/>
    </row>
    <row r="65" spans="1:19" customFormat="1" ht="15" x14ac:dyDescent="0.25">
      <c r="D65" s="3"/>
      <c r="H65" s="3"/>
      <c r="I65" s="3"/>
      <c r="J65" s="3"/>
      <c r="K65" s="3"/>
      <c r="L65" s="53"/>
      <c r="M65" s="53"/>
      <c r="N65" s="53"/>
      <c r="O65" s="53"/>
      <c r="P65" s="53"/>
      <c r="Q65" s="53"/>
      <c r="R65" s="53"/>
      <c r="S65" s="53"/>
    </row>
    <row r="66" spans="1:19" customFormat="1" ht="15" x14ac:dyDescent="0.25">
      <c r="B66" s="54" t="s">
        <v>105</v>
      </c>
      <c r="D66" s="3"/>
      <c r="H66" s="3"/>
      <c r="I66" s="3"/>
      <c r="J66" s="3"/>
      <c r="K66" s="3"/>
      <c r="L66" s="53"/>
      <c r="M66" s="53"/>
      <c r="N66" s="53"/>
      <c r="O66" s="53"/>
      <c r="P66" s="53"/>
      <c r="Q66" s="53"/>
      <c r="R66" s="53"/>
      <c r="S66" s="53"/>
    </row>
    <row r="67" spans="1:19" customFormat="1" ht="15" x14ac:dyDescent="0.25">
      <c r="D67" s="3"/>
      <c r="H67" s="3"/>
      <c r="I67" s="3"/>
      <c r="J67" s="3"/>
      <c r="K67" s="3"/>
      <c r="L67" s="53"/>
      <c r="M67" s="53"/>
      <c r="N67" s="53"/>
      <c r="O67" s="53"/>
      <c r="P67" s="53"/>
      <c r="Q67" s="53"/>
      <c r="R67" s="53"/>
      <c r="S67" s="53"/>
    </row>
    <row r="68" spans="1:19" customFormat="1" ht="15" x14ac:dyDescent="0.25">
      <c r="B68" t="s">
        <v>83</v>
      </c>
      <c r="D68" s="3"/>
      <c r="F68" s="42" t="s">
        <v>185</v>
      </c>
      <c r="H68" s="3"/>
      <c r="I68" s="3"/>
      <c r="J68" s="3"/>
      <c r="K68" s="3"/>
      <c r="L68" s="142"/>
      <c r="M68" s="142"/>
      <c r="N68" s="142"/>
      <c r="O68" s="142"/>
      <c r="P68" s="142"/>
      <c r="Q68" s="123">
        <f>'Input invoeding groen gas 2019'!Q172</f>
        <v>25</v>
      </c>
      <c r="R68" s="142"/>
      <c r="S68" s="142"/>
    </row>
    <row r="69" spans="1:19" customFormat="1" ht="15" x14ac:dyDescent="0.25">
      <c r="B69" t="s">
        <v>86</v>
      </c>
      <c r="D69" s="3"/>
      <c r="F69" s="42" t="s">
        <v>185</v>
      </c>
      <c r="H69" s="3"/>
      <c r="I69" s="3"/>
      <c r="J69" s="3"/>
      <c r="K69" s="3"/>
      <c r="L69" s="142"/>
      <c r="M69" s="142"/>
      <c r="N69" s="142"/>
      <c r="O69" s="123">
        <f>'Input invoeding groen gas 2019'!O173</f>
        <v>65</v>
      </c>
      <c r="P69" s="142"/>
      <c r="Q69" s="142"/>
      <c r="R69" s="142"/>
      <c r="S69" s="142"/>
    </row>
    <row r="70" spans="1:19" customFormat="1" ht="15" x14ac:dyDescent="0.25">
      <c r="D70" s="3"/>
      <c r="F70" s="42"/>
      <c r="H70" s="3"/>
      <c r="I70" s="3"/>
      <c r="J70" s="3"/>
      <c r="K70" s="3"/>
      <c r="L70" s="122"/>
      <c r="M70" s="122"/>
      <c r="N70" s="122"/>
      <c r="O70" s="59"/>
      <c r="P70" s="122"/>
      <c r="Q70" s="122"/>
      <c r="R70" s="122"/>
      <c r="S70" s="122"/>
    </row>
    <row r="71" spans="1:19" s="9" customFormat="1" x14ac:dyDescent="0.25">
      <c r="B71" s="49" t="s">
        <v>290</v>
      </c>
      <c r="L71" s="48"/>
      <c r="M71" s="48"/>
      <c r="N71" s="48"/>
      <c r="O71" s="48"/>
      <c r="P71" s="48"/>
      <c r="Q71" s="48"/>
      <c r="R71" s="48"/>
      <c r="S71" s="48"/>
    </row>
    <row r="72" spans="1:19" customFormat="1" ht="15" x14ac:dyDescent="0.25">
      <c r="A72" s="42"/>
      <c r="B72" s="42"/>
      <c r="C72" s="42"/>
      <c r="D72" s="42"/>
      <c r="E72" s="42"/>
      <c r="F72" s="44"/>
      <c r="G72" s="42"/>
      <c r="H72" s="43"/>
      <c r="I72" s="43"/>
      <c r="J72" s="43"/>
      <c r="K72" s="43"/>
      <c r="L72" s="43"/>
      <c r="M72" s="43"/>
      <c r="N72" s="43"/>
    </row>
    <row r="73" spans="1:19" customFormat="1" ht="15" x14ac:dyDescent="0.25">
      <c r="B73" s="50" t="s">
        <v>99</v>
      </c>
      <c r="C73" s="42"/>
      <c r="D73" s="42"/>
      <c r="E73" s="42"/>
      <c r="F73" s="44"/>
      <c r="G73" s="42"/>
      <c r="H73" s="43"/>
      <c r="I73" s="43"/>
      <c r="J73" s="59"/>
      <c r="K73" s="43"/>
      <c r="L73" s="43"/>
      <c r="M73" s="43"/>
      <c r="N73" s="43"/>
    </row>
    <row r="74" spans="1:19" customFormat="1" ht="15" x14ac:dyDescent="0.25">
      <c r="B74" s="42" t="s">
        <v>100</v>
      </c>
      <c r="C74" s="42"/>
      <c r="D74" s="3"/>
      <c r="E74" s="3"/>
      <c r="F74" s="42" t="s">
        <v>185</v>
      </c>
      <c r="G74" s="3"/>
      <c r="H74" s="3"/>
      <c r="I74" s="3"/>
      <c r="J74" s="57"/>
      <c r="K74" s="42"/>
      <c r="L74" s="61"/>
      <c r="M74" s="61"/>
      <c r="N74" s="61"/>
      <c r="O74" s="61"/>
      <c r="P74" s="61"/>
      <c r="Q74" s="69">
        <f>Q53*Q23</f>
        <v>1.8904109589041096</v>
      </c>
      <c r="R74" s="61"/>
      <c r="S74" s="61"/>
    </row>
    <row r="75" spans="1:19" customFormat="1" ht="15" x14ac:dyDescent="0.25">
      <c r="B75" s="42" t="s">
        <v>101</v>
      </c>
      <c r="C75" s="42"/>
      <c r="D75" s="3"/>
      <c r="E75" s="3"/>
      <c r="F75" s="42" t="s">
        <v>185</v>
      </c>
      <c r="G75" s="3"/>
      <c r="H75" s="3"/>
      <c r="I75" s="3"/>
      <c r="J75" s="57"/>
      <c r="K75" s="42"/>
      <c r="L75" s="61"/>
      <c r="M75" s="61"/>
      <c r="N75" s="61"/>
      <c r="O75" s="61"/>
      <c r="P75" s="61"/>
      <c r="Q75" s="69">
        <f>Q23*Q54*Q68</f>
        <v>72.990867579908667</v>
      </c>
      <c r="R75" s="61"/>
      <c r="S75" s="61"/>
    </row>
    <row r="76" spans="1:19" customFormat="1" ht="15" x14ac:dyDescent="0.25">
      <c r="B76" s="42"/>
      <c r="C76" s="42"/>
      <c r="D76" s="3"/>
      <c r="E76" s="3"/>
      <c r="F76" s="42"/>
      <c r="G76" s="3"/>
      <c r="H76" s="3"/>
      <c r="I76" s="3"/>
      <c r="J76" s="58"/>
      <c r="K76" s="42"/>
      <c r="L76" s="43"/>
      <c r="M76" s="43"/>
      <c r="N76" s="43"/>
      <c r="O76" s="43"/>
      <c r="P76" s="43"/>
      <c r="Q76" s="43"/>
      <c r="R76" s="43"/>
      <c r="S76" s="43"/>
    </row>
    <row r="77" spans="1:19" customFormat="1" ht="15" x14ac:dyDescent="0.25">
      <c r="B77" s="50" t="s">
        <v>102</v>
      </c>
      <c r="C77" s="42"/>
      <c r="D77" s="3"/>
      <c r="E77" s="3"/>
      <c r="F77" s="42"/>
      <c r="G77" s="3"/>
      <c r="H77" s="3"/>
      <c r="I77" s="3"/>
      <c r="J77" s="58"/>
      <c r="K77" s="42"/>
      <c r="L77" s="43"/>
      <c r="M77" s="43"/>
      <c r="N77" s="43"/>
      <c r="O77" s="43"/>
      <c r="P77" s="43"/>
      <c r="Q77" s="43"/>
      <c r="R77" s="43"/>
      <c r="S77" s="43"/>
    </row>
    <row r="78" spans="1:19" customFormat="1" ht="15" x14ac:dyDescent="0.25">
      <c r="B78" s="42" t="s">
        <v>100</v>
      </c>
      <c r="C78" s="42"/>
      <c r="D78" s="3"/>
      <c r="E78" s="3"/>
      <c r="F78" s="42" t="s">
        <v>185</v>
      </c>
      <c r="G78" s="3"/>
      <c r="H78" s="3"/>
      <c r="I78" s="3"/>
      <c r="J78" s="57"/>
      <c r="K78" s="42"/>
      <c r="L78" s="61"/>
      <c r="M78" s="61"/>
      <c r="N78" s="61"/>
      <c r="O78" s="69">
        <f>O57*O27</f>
        <v>6</v>
      </c>
      <c r="P78" s="61"/>
      <c r="Q78" s="61"/>
      <c r="R78" s="61"/>
      <c r="S78" s="61"/>
    </row>
    <row r="79" spans="1:19" customFormat="1" ht="15" x14ac:dyDescent="0.25">
      <c r="B79" s="42" t="s">
        <v>101</v>
      </c>
      <c r="C79" s="42"/>
      <c r="D79" s="3"/>
      <c r="E79" s="3"/>
      <c r="F79" s="42" t="s">
        <v>185</v>
      </c>
      <c r="G79" s="3"/>
      <c r="H79" s="3"/>
      <c r="I79" s="3"/>
      <c r="J79" s="57"/>
      <c r="K79" s="42"/>
      <c r="L79" s="61"/>
      <c r="M79" s="61"/>
      <c r="N79" s="61"/>
      <c r="O79" s="69">
        <f>O58*O69*O27</f>
        <v>638.29999999999995</v>
      </c>
      <c r="P79" s="61"/>
      <c r="Q79" s="61"/>
      <c r="R79" s="61"/>
      <c r="S79" s="61"/>
    </row>
    <row r="80" spans="1:19" customFormat="1" ht="15" x14ac:dyDescent="0.25">
      <c r="B80" s="42"/>
      <c r="C80" s="42"/>
      <c r="D80" s="3"/>
      <c r="E80" s="3"/>
      <c r="F80" s="42"/>
      <c r="G80" s="3"/>
      <c r="H80" s="3"/>
      <c r="I80" s="3"/>
      <c r="J80" s="58"/>
      <c r="K80" s="42"/>
      <c r="L80" s="43"/>
      <c r="M80" s="43"/>
      <c r="N80" s="43"/>
      <c r="O80" s="43"/>
      <c r="P80" s="43"/>
      <c r="Q80" s="43"/>
      <c r="R80" s="43"/>
      <c r="S80" s="43"/>
    </row>
    <row r="81" spans="2:19" customFormat="1" ht="15" x14ac:dyDescent="0.25">
      <c r="B81" s="50" t="s">
        <v>103</v>
      </c>
      <c r="C81" s="42"/>
      <c r="D81" s="3"/>
      <c r="E81" s="3"/>
      <c r="F81" s="42"/>
      <c r="G81" s="3"/>
      <c r="H81" s="3"/>
      <c r="I81" s="3"/>
      <c r="J81" s="58"/>
      <c r="K81" s="42"/>
    </row>
    <row r="82" spans="2:19" customFormat="1" ht="15" x14ac:dyDescent="0.25">
      <c r="B82" s="42" t="s">
        <v>100</v>
      </c>
      <c r="C82" s="42"/>
      <c r="D82" s="3"/>
      <c r="E82" s="3"/>
      <c r="F82" s="42" t="s">
        <v>185</v>
      </c>
      <c r="G82" s="3"/>
      <c r="H82" s="3"/>
      <c r="I82" s="3"/>
      <c r="J82" s="57"/>
      <c r="K82" s="42"/>
      <c r="L82" s="69">
        <f>L61*L35</f>
        <v>500</v>
      </c>
      <c r="M82" s="61"/>
      <c r="N82" s="69">
        <f>N61*N38</f>
        <v>11635.952525490437</v>
      </c>
      <c r="O82" s="69">
        <f>O61*O38</f>
        <v>5569.5</v>
      </c>
      <c r="P82" s="69">
        <f>P61*P35</f>
        <v>275.00666666666666</v>
      </c>
      <c r="Q82" s="69">
        <f>Q61*Q38</f>
        <v>2331.06</v>
      </c>
      <c r="R82" s="61"/>
      <c r="S82" s="61"/>
    </row>
    <row r="83" spans="2:19" customFormat="1" ht="15" x14ac:dyDescent="0.25">
      <c r="B83" s="42" t="s">
        <v>92</v>
      </c>
      <c r="C83" s="42"/>
      <c r="D83" s="3"/>
      <c r="E83" s="3"/>
      <c r="F83" s="42" t="s">
        <v>185</v>
      </c>
      <c r="G83" s="3"/>
      <c r="H83" s="3"/>
      <c r="I83" s="3"/>
      <c r="J83" s="57"/>
      <c r="K83" s="42"/>
      <c r="L83" s="61"/>
      <c r="M83" s="61"/>
      <c r="N83" s="61"/>
      <c r="O83" s="61"/>
      <c r="P83" s="69">
        <f>P62*P43</f>
        <v>15251.016666666668</v>
      </c>
      <c r="Q83" s="61"/>
      <c r="R83" s="61"/>
      <c r="S83" s="61"/>
    </row>
    <row r="84" spans="2:19" customFormat="1" ht="15" x14ac:dyDescent="0.25">
      <c r="B84" s="42" t="s">
        <v>93</v>
      </c>
      <c r="C84" s="42"/>
      <c r="D84" s="3"/>
      <c r="E84" s="3"/>
      <c r="F84" s="42" t="s">
        <v>185</v>
      </c>
      <c r="G84" s="3"/>
      <c r="H84" s="3"/>
      <c r="I84" s="3"/>
      <c r="J84" s="57"/>
      <c r="K84" s="42"/>
      <c r="L84" s="61"/>
      <c r="M84" s="61"/>
      <c r="N84" s="61"/>
      <c r="O84" s="61"/>
      <c r="P84" s="61"/>
      <c r="Q84" s="61"/>
      <c r="R84" s="61"/>
      <c r="S84" s="61"/>
    </row>
    <row r="85" spans="2:19" customFormat="1" ht="15" x14ac:dyDescent="0.25">
      <c r="B85" s="42" t="s">
        <v>104</v>
      </c>
      <c r="C85" s="42"/>
      <c r="D85" s="3"/>
      <c r="E85" s="3"/>
      <c r="F85" s="42" t="s">
        <v>185</v>
      </c>
      <c r="G85" s="3"/>
      <c r="H85" s="3"/>
      <c r="I85" s="3"/>
      <c r="J85" s="57"/>
      <c r="K85" s="42"/>
      <c r="L85" s="61"/>
      <c r="M85" s="61"/>
      <c r="N85" s="69">
        <f>N64*N46</f>
        <v>238589.77489394738</v>
      </c>
      <c r="O85" s="69">
        <f>O64*O46</f>
        <v>53708.200000000004</v>
      </c>
      <c r="P85" s="61"/>
      <c r="Q85" s="69">
        <f>Q64*Q46</f>
        <v>12759.391452766446</v>
      </c>
      <c r="R85" s="61"/>
      <c r="S85" s="61"/>
    </row>
    <row r="86" spans="2:19" customFormat="1" ht="15" x14ac:dyDescent="0.25">
      <c r="D86" s="3"/>
      <c r="E86" s="3"/>
      <c r="G86" s="3"/>
      <c r="H86" s="3"/>
      <c r="I86" s="3"/>
      <c r="J86" s="58"/>
    </row>
    <row r="87" spans="2:19" s="9" customFormat="1" x14ac:dyDescent="0.25">
      <c r="B87" s="49" t="s">
        <v>124</v>
      </c>
      <c r="L87" s="48"/>
      <c r="M87" s="48"/>
      <c r="N87" s="48"/>
      <c r="O87" s="48"/>
      <c r="P87" s="48"/>
      <c r="Q87" s="48"/>
      <c r="R87" s="48"/>
      <c r="S87" s="48"/>
    </row>
    <row r="88" spans="2:19" customFormat="1" ht="15" x14ac:dyDescent="0.25">
      <c r="D88" s="3"/>
      <c r="E88" s="3"/>
      <c r="G88" s="3"/>
      <c r="H88" s="3"/>
      <c r="I88" s="3"/>
      <c r="J88" s="58"/>
    </row>
    <row r="89" spans="2:19" customFormat="1" ht="15" x14ac:dyDescent="0.25">
      <c r="B89" s="42" t="s">
        <v>209</v>
      </c>
      <c r="D89" s="3"/>
      <c r="E89" s="3"/>
      <c r="F89" s="42" t="s">
        <v>185</v>
      </c>
      <c r="G89" s="3"/>
      <c r="H89" s="3"/>
      <c r="I89" s="3"/>
      <c r="J89" s="57"/>
      <c r="L89" s="69">
        <f t="shared" ref="L89:S89" si="0">SUM(L74:L85)</f>
        <v>500</v>
      </c>
      <c r="M89" s="69">
        <f t="shared" si="0"/>
        <v>0</v>
      </c>
      <c r="N89" s="69">
        <f t="shared" si="0"/>
        <v>250225.72741943781</v>
      </c>
      <c r="O89" s="69">
        <f t="shared" si="0"/>
        <v>59922.000000000007</v>
      </c>
      <c r="P89" s="69">
        <f t="shared" si="0"/>
        <v>15526.023333333334</v>
      </c>
      <c r="Q89" s="69">
        <f t="shared" si="0"/>
        <v>15165.332731305258</v>
      </c>
      <c r="R89" s="69">
        <f t="shared" si="0"/>
        <v>0</v>
      </c>
      <c r="S89" s="69">
        <f t="shared" si="0"/>
        <v>0</v>
      </c>
    </row>
    <row r="90" spans="2:19" x14ac:dyDescent="0.25">
      <c r="B90" s="2"/>
    </row>
    <row r="91" spans="2:19" x14ac:dyDescent="0.25">
      <c r="B91" s="3" t="s">
        <v>291</v>
      </c>
      <c r="F91" s="3" t="s">
        <v>138</v>
      </c>
      <c r="H91" s="124">
        <f>Parameters!U35</f>
        <v>4.0000000000000036E-2</v>
      </c>
    </row>
    <row r="93" spans="2:19" x14ac:dyDescent="0.2">
      <c r="B93" s="42" t="s">
        <v>210</v>
      </c>
      <c r="F93" s="42" t="s">
        <v>244</v>
      </c>
      <c r="L93" s="68">
        <f>L89*(1+$H$91)</f>
        <v>520</v>
      </c>
      <c r="M93" s="68">
        <f t="shared" ref="M93:S93" si="1">M89*(1+$H$91)</f>
        <v>0</v>
      </c>
      <c r="N93" s="68">
        <f t="shared" si="1"/>
        <v>260234.75651621533</v>
      </c>
      <c r="O93" s="68">
        <f t="shared" si="1"/>
        <v>62318.880000000012</v>
      </c>
      <c r="P93" s="68">
        <f t="shared" si="1"/>
        <v>16147.064266666668</v>
      </c>
      <c r="Q93" s="68">
        <f t="shared" si="1"/>
        <v>15771.946040557468</v>
      </c>
      <c r="R93" s="68">
        <f t="shared" si="1"/>
        <v>0</v>
      </c>
      <c r="S93" s="68">
        <f t="shared" si="1"/>
        <v>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W23"/>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activeCell="G12" sqref="G12"/>
    </sheetView>
  </sheetViews>
  <sheetFormatPr defaultRowHeight="12.75" x14ac:dyDescent="0.25"/>
  <cols>
    <col min="1" max="1" width="4.7109375" style="3" customWidth="1"/>
    <col min="2" max="2" width="41.42578125" style="3" customWidth="1"/>
    <col min="3" max="3" width="4.7109375" style="3" customWidth="1"/>
    <col min="4" max="5" width="4.5703125" style="3" customWidth="1"/>
    <col min="6" max="6" width="13.7109375" style="3" customWidth="1"/>
    <col min="7" max="7" width="2.7109375" style="3" customWidth="1"/>
    <col min="8" max="8" width="13.7109375" style="3" customWidth="1"/>
    <col min="9" max="9" width="2.7109375" style="3" customWidth="1"/>
    <col min="10" max="10" width="13.7109375" style="3" customWidth="1"/>
    <col min="11" max="11" width="2.7109375" style="3" customWidth="1"/>
    <col min="12" max="19" width="12.5703125" style="3" customWidth="1"/>
    <col min="20" max="20" width="2.7109375" style="3" customWidth="1"/>
    <col min="21" max="21" width="17.140625" style="3" customWidth="1"/>
    <col min="22" max="22" width="2.7109375" style="3" customWidth="1"/>
    <col min="23" max="23" width="13.7109375" style="3" customWidth="1"/>
    <col min="24" max="24" width="2.7109375" style="3" customWidth="1"/>
    <col min="25" max="39" width="13.7109375" style="3" customWidth="1"/>
    <col min="40" max="16384" width="9.140625" style="3"/>
  </cols>
  <sheetData>
    <row r="2" spans="2:23" s="28" customFormat="1" ht="18" x14ac:dyDescent="0.25">
      <c r="B2" s="28" t="s">
        <v>323</v>
      </c>
    </row>
    <row r="4" spans="2:23" x14ac:dyDescent="0.25">
      <c r="B4" s="41" t="s">
        <v>58</v>
      </c>
    </row>
    <row r="5" spans="2:23" ht="15" x14ac:dyDescent="0.25">
      <c r="B5" s="156" t="s">
        <v>327</v>
      </c>
      <c r="C5" s="2"/>
      <c r="D5" s="2"/>
      <c r="L5" s="145"/>
    </row>
    <row r="6" spans="2:23" ht="15" x14ac:dyDescent="0.25">
      <c r="B6" s="156" t="s">
        <v>479</v>
      </c>
      <c r="C6" s="2"/>
      <c r="D6" s="2"/>
      <c r="L6" s="145"/>
    </row>
    <row r="7" spans="2:23" x14ac:dyDescent="0.25">
      <c r="B7" s="156" t="s">
        <v>328</v>
      </c>
      <c r="C7" s="35"/>
      <c r="D7" s="35"/>
      <c r="H7" s="29"/>
    </row>
    <row r="10" spans="2:23" s="9" customFormat="1" x14ac:dyDescent="0.25">
      <c r="B10" s="9" t="s">
        <v>45</v>
      </c>
      <c r="F10" s="9" t="s">
        <v>27</v>
      </c>
      <c r="H10" s="9" t="s">
        <v>28</v>
      </c>
      <c r="J10" s="9" t="s">
        <v>49</v>
      </c>
      <c r="L10" s="9" t="s">
        <v>172</v>
      </c>
      <c r="M10" s="9" t="s">
        <v>65</v>
      </c>
      <c r="N10" s="9" t="s">
        <v>66</v>
      </c>
      <c r="O10" s="9" t="s">
        <v>67</v>
      </c>
      <c r="P10" s="9" t="s">
        <v>68</v>
      </c>
      <c r="Q10" s="9" t="s">
        <v>69</v>
      </c>
      <c r="R10" s="9" t="s">
        <v>70</v>
      </c>
      <c r="S10" s="9" t="s">
        <v>71</v>
      </c>
      <c r="U10" s="9" t="s">
        <v>46</v>
      </c>
      <c r="W10" s="9" t="s">
        <v>47</v>
      </c>
    </row>
    <row r="13" spans="2:23" s="9" customFormat="1" x14ac:dyDescent="0.25">
      <c r="B13" s="9" t="s">
        <v>176</v>
      </c>
    </row>
    <row r="15" spans="2:23" x14ac:dyDescent="0.2">
      <c r="B15" s="3" t="s">
        <v>320</v>
      </c>
      <c r="F15" s="70" t="s">
        <v>187</v>
      </c>
      <c r="L15" s="102">
        <f>'Input faillissement Flexenergie'!L17</f>
        <v>9374.7000000000007</v>
      </c>
      <c r="M15" s="102">
        <f>'Input faillissement Flexenergie'!M17</f>
        <v>15273.62</v>
      </c>
      <c r="N15" s="102">
        <f>'Input faillissement Flexenergie'!N17</f>
        <v>287399.28000000003</v>
      </c>
      <c r="O15" s="102">
        <f>'Input faillissement Flexenergie'!O17</f>
        <v>432401</v>
      </c>
      <c r="P15" s="102">
        <f>'Input faillissement Flexenergie'!P17</f>
        <v>10635</v>
      </c>
      <c r="Q15" s="102">
        <f>'Input faillissement Flexenergie'!Q17</f>
        <v>259436.26</v>
      </c>
      <c r="R15" s="102">
        <f>'Input faillissement Flexenergie'!R17</f>
        <v>6288.25</v>
      </c>
      <c r="S15" s="102">
        <f>'Input faillissement Flexenergie'!S17</f>
        <v>0</v>
      </c>
      <c r="U15" s="3" t="s">
        <v>322</v>
      </c>
    </row>
    <row r="17" spans="2:20" x14ac:dyDescent="0.25">
      <c r="B17" s="3" t="s">
        <v>477</v>
      </c>
      <c r="F17" s="3" t="s">
        <v>138</v>
      </c>
      <c r="H17" s="182">
        <f>'Input parameters'!H41</f>
        <v>0.21</v>
      </c>
    </row>
    <row r="18" spans="2:20" x14ac:dyDescent="0.2">
      <c r="B18" s="82" t="s">
        <v>286</v>
      </c>
      <c r="C18" s="58"/>
      <c r="D18" s="58"/>
      <c r="E18" s="58"/>
      <c r="F18" s="107" t="s">
        <v>138</v>
      </c>
      <c r="H18" s="109">
        <f>Parameters!U34</f>
        <v>8.1600000000000117E-2</v>
      </c>
    </row>
    <row r="20" spans="2:20" s="9" customFormat="1" x14ac:dyDescent="0.25">
      <c r="B20" s="9" t="s">
        <v>124</v>
      </c>
    </row>
    <row r="23" spans="2:20" x14ac:dyDescent="0.25">
      <c r="B23" s="3" t="s">
        <v>325</v>
      </c>
      <c r="F23" s="3" t="s">
        <v>244</v>
      </c>
      <c r="L23" s="69">
        <f>L15*(1+$H$17)*(1+$H$18)</f>
        <v>12269.007379200002</v>
      </c>
      <c r="M23" s="69">
        <f t="shared" ref="M23:S23" si="0">M15*(1+$H$17)*(1+$H$18)</f>
        <v>19989.136344320003</v>
      </c>
      <c r="N23" s="69">
        <f t="shared" si="0"/>
        <v>376129.78411008004</v>
      </c>
      <c r="O23" s="69">
        <f t="shared" si="0"/>
        <v>565898.75513599999</v>
      </c>
      <c r="P23" s="69">
        <f t="shared" si="0"/>
        <v>13918.407360000001</v>
      </c>
      <c r="Q23" s="69">
        <f t="shared" si="0"/>
        <v>339533.57316736004</v>
      </c>
      <c r="R23" s="69">
        <f t="shared" si="0"/>
        <v>8229.6591520000002</v>
      </c>
      <c r="S23" s="69">
        <f t="shared" si="0"/>
        <v>0</v>
      </c>
      <c r="T23" s="157"/>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V29"/>
  <sheetViews>
    <sheetView showGridLines="0" zoomScale="85" zoomScaleNormal="85" workbookViewId="0">
      <pane xSplit="6" ySplit="17" topLeftCell="G18" activePane="bottomRight" state="frozen"/>
      <selection activeCell="Q51" sqref="Q51"/>
      <selection pane="topRight" activeCell="Q51" sqref="Q51"/>
      <selection pane="bottomLeft" activeCell="Q51" sqref="Q51"/>
      <selection pane="bottomRight" activeCell="G18" sqref="G18"/>
    </sheetView>
  </sheetViews>
  <sheetFormatPr defaultRowHeight="12.75" customHeight="1" x14ac:dyDescent="0.25"/>
  <cols>
    <col min="1" max="1" width="4" style="3" customWidth="1"/>
    <col min="2" max="2" width="41.42578125" style="3" customWidth="1"/>
    <col min="3" max="5" width="4.5703125" style="3" customWidth="1"/>
    <col min="6" max="6" width="13.7109375" style="3" customWidth="1"/>
    <col min="7" max="7" width="2.7109375" style="3" customWidth="1"/>
    <col min="8" max="8" width="13.7109375" style="3" customWidth="1"/>
    <col min="9" max="9" width="2.7109375" style="3" customWidth="1"/>
    <col min="10" max="10" width="13.7109375" style="3" customWidth="1"/>
    <col min="11" max="11" width="2.7109375" style="3" customWidth="1"/>
    <col min="12" max="16" width="12.5703125" style="47" customWidth="1"/>
    <col min="17" max="17" width="13" style="47" bestFit="1" customWidth="1"/>
    <col min="18" max="19" width="12.5703125" style="47" customWidth="1"/>
    <col min="20" max="21" width="2.7109375" style="3" customWidth="1"/>
    <col min="22" max="36" width="13.7109375" style="3" customWidth="1"/>
    <col min="37" max="16384" width="9.140625" style="3"/>
  </cols>
  <sheetData>
    <row r="2" spans="2:22" s="28" customFormat="1" ht="18" x14ac:dyDescent="0.25">
      <c r="B2" s="28" t="s">
        <v>254</v>
      </c>
      <c r="L2" s="46"/>
      <c r="M2" s="46"/>
      <c r="N2" s="46"/>
      <c r="O2" s="46"/>
      <c r="P2" s="46"/>
      <c r="Q2" s="46"/>
      <c r="R2" s="46"/>
      <c r="S2" s="46"/>
    </row>
    <row r="4" spans="2:22" ht="12.75" customHeight="1" x14ac:dyDescent="0.25">
      <c r="B4" s="2" t="s">
        <v>58</v>
      </c>
      <c r="C4" s="2"/>
      <c r="D4" s="2"/>
    </row>
    <row r="5" spans="2:22" ht="12.75" customHeight="1" x14ac:dyDescent="0.25">
      <c r="B5" s="35"/>
      <c r="C5" s="4"/>
      <c r="D5" s="4"/>
      <c r="H5" s="29"/>
    </row>
    <row r="6" spans="2:22" s="42" customFormat="1" ht="12.75" customHeight="1" x14ac:dyDescent="0.2">
      <c r="B6" s="42" t="s">
        <v>173</v>
      </c>
    </row>
    <row r="7" spans="2:22" s="42" customFormat="1" ht="12.75" customHeight="1" x14ac:dyDescent="0.2">
      <c r="B7" s="42" t="s">
        <v>255</v>
      </c>
    </row>
    <row r="8" spans="2:22" s="42" customFormat="1" ht="12.75" customHeight="1" x14ac:dyDescent="0.2"/>
    <row r="9" spans="2:22" s="42" customFormat="1" ht="12.75" customHeight="1" x14ac:dyDescent="0.2">
      <c r="B9" s="42" t="s">
        <v>174</v>
      </c>
    </row>
    <row r="10" spans="2:22" s="42" customFormat="1" ht="12.75" customHeight="1" x14ac:dyDescent="0.2">
      <c r="B10" s="42" t="s">
        <v>175</v>
      </c>
    </row>
    <row r="11" spans="2:22" s="42" customFormat="1" ht="12.75" customHeight="1" x14ac:dyDescent="0.2">
      <c r="B11" s="42" t="s">
        <v>192</v>
      </c>
    </row>
    <row r="12" spans="2:22" s="42" customFormat="1" ht="12.75" customHeight="1" x14ac:dyDescent="0.2">
      <c r="B12" s="42" t="s">
        <v>256</v>
      </c>
    </row>
    <row r="13" spans="2:22" s="42" customFormat="1" ht="12.75" customHeight="1" x14ac:dyDescent="0.2"/>
    <row r="14" spans="2:22" s="42" customFormat="1" ht="12.75" customHeight="1" x14ac:dyDescent="0.2"/>
    <row r="16" spans="2:22" s="9" customFormat="1" ht="12.75" customHeight="1" x14ac:dyDescent="0.25">
      <c r="B16" s="9" t="s">
        <v>45</v>
      </c>
      <c r="F16" s="9" t="s">
        <v>27</v>
      </c>
      <c r="H16" s="9" t="s">
        <v>28</v>
      </c>
      <c r="J16" s="9" t="s">
        <v>49</v>
      </c>
      <c r="L16" s="48" t="s">
        <v>172</v>
      </c>
      <c r="M16" s="48" t="s">
        <v>65</v>
      </c>
      <c r="N16" s="48" t="s">
        <v>66</v>
      </c>
      <c r="O16" s="48" t="s">
        <v>67</v>
      </c>
      <c r="P16" s="48" t="s">
        <v>68</v>
      </c>
      <c r="Q16" s="48" t="s">
        <v>69</v>
      </c>
      <c r="R16" s="48" t="s">
        <v>70</v>
      </c>
      <c r="S16" s="48" t="s">
        <v>71</v>
      </c>
      <c r="V16" s="9" t="s">
        <v>47</v>
      </c>
    </row>
    <row r="19" spans="2:22" s="9" customFormat="1" ht="12.75" customHeight="1" x14ac:dyDescent="0.25">
      <c r="B19" s="49" t="s">
        <v>176</v>
      </c>
      <c r="L19" s="48"/>
      <c r="M19" s="48"/>
      <c r="N19" s="48"/>
      <c r="O19" s="48"/>
      <c r="P19" s="48"/>
      <c r="Q19" s="48"/>
      <c r="R19" s="48"/>
      <c r="S19" s="48"/>
    </row>
    <row r="20" spans="2:22" customFormat="1" ht="12.75" customHeight="1" x14ac:dyDescent="0.25">
      <c r="D20" s="3"/>
      <c r="E20" s="3"/>
      <c r="F20" s="3"/>
      <c r="G20" s="3"/>
      <c r="H20" s="3"/>
      <c r="I20" s="3"/>
      <c r="J20" s="58"/>
    </row>
    <row r="21" spans="2:22" ht="12.75" customHeight="1" x14ac:dyDescent="0.2">
      <c r="B21" s="42" t="s">
        <v>208</v>
      </c>
      <c r="C21" s="42"/>
      <c r="E21" s="42"/>
      <c r="F21" s="42" t="s">
        <v>138</v>
      </c>
      <c r="G21" s="42"/>
      <c r="H21" s="124">
        <f>'Input x-factor, begininkomsten'!H22</f>
        <v>1.0770378277281506E-2</v>
      </c>
      <c r="L21" s="135"/>
      <c r="M21" s="135"/>
      <c r="N21" s="136"/>
      <c r="O21" s="135"/>
      <c r="P21" s="135"/>
      <c r="Q21" s="137"/>
      <c r="R21" s="135"/>
      <c r="S21" s="135"/>
      <c r="V21" s="42"/>
    </row>
    <row r="22" spans="2:22" ht="12.75" customHeight="1" x14ac:dyDescent="0.2">
      <c r="B22" s="42"/>
      <c r="C22" s="42"/>
      <c r="E22" s="42"/>
      <c r="F22" s="42"/>
      <c r="G22" s="42"/>
      <c r="H22" s="120"/>
      <c r="L22" s="63"/>
      <c r="M22" s="63"/>
      <c r="N22" s="121"/>
      <c r="O22" s="63"/>
      <c r="P22" s="63"/>
      <c r="Q22" s="121"/>
      <c r="R22" s="63"/>
      <c r="S22" s="63"/>
      <c r="V22" s="42"/>
    </row>
    <row r="23" spans="2:22" s="42" customFormat="1" ht="12.75" customHeight="1" x14ac:dyDescent="0.2">
      <c r="B23" s="42" t="s">
        <v>257</v>
      </c>
      <c r="F23" s="42" t="s">
        <v>244</v>
      </c>
      <c r="H23" s="115">
        <f>'TI-berekening 2020'!Q23</f>
        <v>284361895.7121824</v>
      </c>
      <c r="K23" s="138"/>
      <c r="L23" s="135"/>
      <c r="M23" s="135"/>
      <c r="N23" s="135"/>
      <c r="O23" s="135"/>
      <c r="P23" s="135"/>
      <c r="Q23" s="139"/>
      <c r="R23" s="135"/>
      <c r="S23" s="135"/>
    </row>
    <row r="25" spans="2:22" s="9" customFormat="1" ht="12.75" customHeight="1" x14ac:dyDescent="0.25">
      <c r="B25" s="49" t="s">
        <v>124</v>
      </c>
      <c r="L25" s="48"/>
      <c r="M25" s="48"/>
      <c r="N25" s="48"/>
      <c r="O25" s="48"/>
      <c r="P25" s="48"/>
      <c r="Q25" s="48"/>
      <c r="R25" s="48"/>
      <c r="S25" s="48"/>
    </row>
    <row r="26" spans="2:22" ht="12.75" customHeight="1" x14ac:dyDescent="0.2">
      <c r="B26" s="42"/>
      <c r="C26" s="42"/>
      <c r="E26" s="42"/>
      <c r="F26" s="42"/>
      <c r="G26" s="42"/>
      <c r="H26" s="120"/>
    </row>
    <row r="27" spans="2:22" ht="12.75" customHeight="1" x14ac:dyDescent="0.2">
      <c r="B27" s="42" t="s">
        <v>258</v>
      </c>
      <c r="C27" s="42"/>
      <c r="E27" s="42"/>
      <c r="F27" s="42" t="s">
        <v>244</v>
      </c>
      <c r="H27" s="69">
        <f>H21*H23</f>
        <v>3062685.1844650782</v>
      </c>
    </row>
    <row r="29" spans="2:22" ht="12.75" customHeight="1" x14ac:dyDescent="0.2">
      <c r="B29" s="3" t="s">
        <v>211</v>
      </c>
      <c r="F29" s="42" t="s">
        <v>244</v>
      </c>
      <c r="L29" s="51"/>
      <c r="M29" s="51"/>
      <c r="N29" s="68">
        <f>H27</f>
        <v>3062685.1844650782</v>
      </c>
      <c r="O29" s="51"/>
      <c r="P29" s="51"/>
      <c r="Q29" s="68">
        <f>-H27</f>
        <v>-3062685.1844650782</v>
      </c>
      <c r="R29" s="51"/>
      <c r="S29" s="5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5"/>
  <cols>
    <col min="1" max="7" width="9.140625" style="3" customWidth="1"/>
    <col min="8" max="16384" width="9.140625" style="3"/>
  </cols>
  <sheetData>
    <row r="2" spans="2:18" s="15" customFormat="1" ht="18" x14ac:dyDescent="0.25">
      <c r="B2" s="5" t="s">
        <v>53</v>
      </c>
      <c r="D2" s="37"/>
    </row>
    <row r="4" spans="2:18" s="9" customFormat="1" x14ac:dyDescent="0.25">
      <c r="B4" s="9" t="s">
        <v>14</v>
      </c>
    </row>
    <row r="6" spans="2:18" x14ac:dyDescent="0.2">
      <c r="B6" s="82" t="s">
        <v>311</v>
      </c>
    </row>
    <row r="7" spans="2:18" x14ac:dyDescent="0.2">
      <c r="B7" s="42" t="s">
        <v>310</v>
      </c>
    </row>
    <row r="8" spans="2:18" x14ac:dyDescent="0.2">
      <c r="B8" s="128" t="s">
        <v>312</v>
      </c>
    </row>
    <row r="9" spans="2:18" x14ac:dyDescent="0.2">
      <c r="B9" s="128"/>
    </row>
    <row r="10" spans="2:18" s="9" customFormat="1" x14ac:dyDescent="0.25">
      <c r="B10" s="9" t="s">
        <v>61</v>
      </c>
    </row>
    <row r="12" spans="2:18" s="129" customFormat="1" ht="15" x14ac:dyDescent="0.25"/>
    <row r="13" spans="2:18" s="129" customFormat="1" ht="15" x14ac:dyDescent="0.25">
      <c r="B13" s="130"/>
      <c r="C13" s="130"/>
      <c r="D13" s="130"/>
      <c r="E13" s="130"/>
      <c r="F13" s="130"/>
      <c r="G13" s="130"/>
      <c r="H13" s="130"/>
      <c r="I13" s="130"/>
      <c r="J13" s="130"/>
      <c r="K13" s="130"/>
      <c r="L13" s="130"/>
      <c r="M13" s="130"/>
      <c r="N13" s="130"/>
      <c r="O13" s="130"/>
      <c r="P13" s="130"/>
      <c r="Q13" s="130"/>
      <c r="R13" s="131"/>
    </row>
    <row r="14" spans="2:18" s="129" customFormat="1" ht="15" x14ac:dyDescent="0.25">
      <c r="B14" s="130"/>
      <c r="C14" s="130"/>
      <c r="D14" s="130"/>
      <c r="E14" s="130"/>
      <c r="F14" s="130"/>
      <c r="G14" s="130"/>
      <c r="H14" s="130"/>
      <c r="I14" s="130"/>
      <c r="J14" s="130"/>
      <c r="K14" s="130"/>
      <c r="L14" s="130"/>
      <c r="M14" s="130"/>
      <c r="N14" s="130"/>
      <c r="O14" s="130"/>
      <c r="P14" s="130"/>
      <c r="Q14" s="130"/>
      <c r="R14" s="131"/>
    </row>
    <row r="15" spans="2:18" s="129" customFormat="1" ht="15" x14ac:dyDescent="0.25">
      <c r="B15" s="130"/>
      <c r="C15" s="130"/>
      <c r="D15" s="130"/>
      <c r="E15" s="130"/>
      <c r="F15" s="130"/>
      <c r="G15" s="130"/>
      <c r="H15" s="130"/>
      <c r="I15" s="130"/>
      <c r="J15" s="130"/>
      <c r="K15" s="130"/>
      <c r="L15" s="130"/>
      <c r="M15" s="130"/>
      <c r="N15" s="130"/>
      <c r="O15" s="130"/>
      <c r="P15" s="130"/>
      <c r="Q15" s="130"/>
      <c r="R15" s="131"/>
    </row>
    <row r="16" spans="2:18" s="129" customFormat="1" ht="15" x14ac:dyDescent="0.25">
      <c r="B16" s="130"/>
      <c r="C16" s="130"/>
      <c r="D16" s="130"/>
      <c r="E16" s="130"/>
      <c r="F16" s="130"/>
      <c r="G16" s="130"/>
      <c r="H16" s="130"/>
      <c r="I16" s="130"/>
      <c r="J16" s="130"/>
      <c r="K16" s="130"/>
      <c r="L16" s="130"/>
      <c r="M16" s="130"/>
      <c r="N16" s="130"/>
      <c r="O16" s="130"/>
      <c r="P16" s="130"/>
      <c r="Q16" s="130"/>
      <c r="R16" s="131"/>
    </row>
    <row r="17" spans="2:18" s="129" customFormat="1" ht="15" x14ac:dyDescent="0.25">
      <c r="B17" s="130"/>
      <c r="C17" s="130"/>
      <c r="D17" s="130"/>
      <c r="E17" s="130"/>
      <c r="F17" s="130"/>
      <c r="G17" s="130"/>
      <c r="H17" s="130"/>
      <c r="I17" s="130"/>
      <c r="J17" s="130"/>
      <c r="K17" s="130"/>
      <c r="L17" s="130"/>
      <c r="M17" s="130"/>
      <c r="N17" s="130"/>
      <c r="O17" s="130"/>
      <c r="P17" s="130"/>
      <c r="Q17" s="130"/>
      <c r="R17" s="131"/>
    </row>
    <row r="18" spans="2:18" s="129" customFormat="1" ht="15" x14ac:dyDescent="0.25">
      <c r="B18" s="130"/>
      <c r="C18" s="130"/>
      <c r="D18" s="130"/>
      <c r="E18" s="130"/>
      <c r="F18" s="130"/>
      <c r="G18" s="130"/>
      <c r="H18" s="130"/>
      <c r="I18" s="130"/>
      <c r="J18" s="130"/>
      <c r="K18" s="130"/>
      <c r="L18" s="130"/>
      <c r="M18" s="130"/>
      <c r="N18" s="130"/>
      <c r="O18" s="130"/>
      <c r="P18" s="130"/>
      <c r="Q18" s="130"/>
      <c r="R18" s="131"/>
    </row>
    <row r="19" spans="2:18" s="129" customFormat="1" ht="15" x14ac:dyDescent="0.25">
      <c r="B19" s="130"/>
      <c r="C19" s="130"/>
      <c r="D19" s="130"/>
      <c r="E19" s="130"/>
      <c r="F19" s="130"/>
      <c r="G19" s="130"/>
      <c r="H19" s="130"/>
      <c r="I19" s="130"/>
      <c r="J19" s="130"/>
      <c r="K19" s="130"/>
      <c r="L19" s="130"/>
      <c r="M19" s="130"/>
      <c r="N19" s="130"/>
      <c r="O19" s="130"/>
      <c r="P19" s="130"/>
      <c r="Q19" s="130"/>
      <c r="R19" s="131"/>
    </row>
    <row r="20" spans="2:18" s="129" customFormat="1" ht="15" x14ac:dyDescent="0.25">
      <c r="B20" s="130"/>
      <c r="C20" s="130"/>
      <c r="D20" s="130"/>
      <c r="E20" s="130"/>
      <c r="F20" s="130"/>
      <c r="G20" s="130"/>
      <c r="H20" s="130"/>
      <c r="I20" s="130"/>
      <c r="J20" s="130"/>
      <c r="K20" s="130"/>
      <c r="L20" s="130"/>
      <c r="M20" s="130"/>
      <c r="N20" s="130"/>
      <c r="O20" s="130"/>
      <c r="P20" s="130"/>
      <c r="Q20" s="130"/>
      <c r="R20" s="131"/>
    </row>
    <row r="21" spans="2:18" s="129" customFormat="1" ht="15" x14ac:dyDescent="0.25">
      <c r="B21" s="130"/>
      <c r="C21" s="130"/>
      <c r="D21" s="130"/>
      <c r="E21" s="130"/>
      <c r="F21" s="130"/>
      <c r="G21" s="130"/>
      <c r="H21" s="130"/>
      <c r="I21" s="130"/>
      <c r="J21" s="130"/>
      <c r="K21" s="130"/>
      <c r="L21" s="130"/>
      <c r="M21" s="130"/>
      <c r="N21" s="130"/>
      <c r="O21" s="130"/>
      <c r="P21" s="130"/>
      <c r="Q21" s="130"/>
      <c r="R21" s="131"/>
    </row>
    <row r="22" spans="2:18" s="129" customFormat="1" ht="15" x14ac:dyDescent="0.25">
      <c r="B22" s="130"/>
      <c r="C22" s="130"/>
      <c r="D22" s="130"/>
      <c r="E22" s="130"/>
      <c r="F22" s="130"/>
      <c r="G22" s="130"/>
      <c r="H22" s="130"/>
      <c r="I22" s="130"/>
      <c r="J22" s="130"/>
      <c r="K22" s="130"/>
      <c r="L22" s="130"/>
      <c r="M22" s="130"/>
      <c r="N22" s="130"/>
      <c r="O22" s="130"/>
      <c r="P22" s="130"/>
      <c r="Q22" s="130"/>
      <c r="R22" s="131"/>
    </row>
    <row r="23" spans="2:18" s="129" customFormat="1" ht="15" x14ac:dyDescent="0.25">
      <c r="B23" s="130"/>
      <c r="C23" s="130"/>
      <c r="D23" s="130"/>
      <c r="E23" s="130"/>
      <c r="F23" s="130"/>
      <c r="G23" s="130"/>
      <c r="H23" s="130"/>
      <c r="I23" s="130"/>
      <c r="J23" s="130"/>
      <c r="K23" s="130"/>
      <c r="L23" s="130"/>
      <c r="M23" s="130"/>
      <c r="N23" s="130"/>
      <c r="O23" s="130"/>
      <c r="P23" s="130"/>
      <c r="Q23" s="130"/>
      <c r="R23" s="131"/>
    </row>
    <row r="24" spans="2:18" s="129" customFormat="1" ht="15" x14ac:dyDescent="0.25">
      <c r="B24" s="130"/>
      <c r="C24" s="130"/>
      <c r="D24" s="130"/>
      <c r="E24" s="130"/>
      <c r="F24" s="130"/>
      <c r="G24" s="130"/>
      <c r="H24" s="130"/>
      <c r="I24" s="130"/>
      <c r="J24" s="130"/>
      <c r="K24" s="130"/>
      <c r="L24" s="130"/>
      <c r="M24" s="130"/>
      <c r="N24" s="130"/>
      <c r="O24" s="130"/>
      <c r="P24" s="130"/>
      <c r="Q24" s="130"/>
      <c r="R24" s="131"/>
    </row>
    <row r="26" spans="2:18" s="9" customFormat="1" x14ac:dyDescent="0.25">
      <c r="B26" s="9" t="s">
        <v>15</v>
      </c>
    </row>
    <row r="27" spans="2:18" x14ac:dyDescent="0.25">
      <c r="C27" s="10"/>
    </row>
    <row r="28" spans="2:18" x14ac:dyDescent="0.25">
      <c r="B28" s="2" t="s">
        <v>38</v>
      </c>
      <c r="C28" s="10"/>
      <c r="D28" s="2" t="s">
        <v>16</v>
      </c>
      <c r="F28" s="16"/>
    </row>
    <row r="29" spans="2:18" x14ac:dyDescent="0.25">
      <c r="C29" s="10"/>
    </row>
    <row r="30" spans="2:18" x14ac:dyDescent="0.25">
      <c r="B30" s="147">
        <v>123</v>
      </c>
      <c r="C30" s="10"/>
      <c r="D30" s="35" t="s">
        <v>309</v>
      </c>
    </row>
    <row r="31" spans="2:18" x14ac:dyDescent="0.25">
      <c r="B31" s="17">
        <f>B30</f>
        <v>123</v>
      </c>
      <c r="C31" s="10"/>
      <c r="D31" s="3" t="s">
        <v>17</v>
      </c>
    </row>
    <row r="32" spans="2:18" x14ac:dyDescent="0.25">
      <c r="B32" s="18">
        <f>B31+B30</f>
        <v>246</v>
      </c>
      <c r="C32" s="10"/>
      <c r="D32" s="3" t="s">
        <v>18</v>
      </c>
    </row>
    <row r="33" spans="2:7" x14ac:dyDescent="0.25">
      <c r="B33" s="19">
        <f>B31+B32</f>
        <v>369</v>
      </c>
      <c r="C33" s="10"/>
      <c r="D33" s="35" t="s">
        <v>54</v>
      </c>
      <c r="E33" s="16"/>
      <c r="F33" s="7"/>
    </row>
    <row r="34" spans="2:7" x14ac:dyDescent="0.25">
      <c r="B34" s="20"/>
      <c r="C34" s="10"/>
      <c r="D34" s="4" t="s">
        <v>19</v>
      </c>
      <c r="E34" s="16"/>
    </row>
    <row r="35" spans="2:7" x14ac:dyDescent="0.25">
      <c r="B35" s="10"/>
      <c r="C35" s="10"/>
    </row>
    <row r="36" spans="2:7" x14ac:dyDescent="0.25">
      <c r="B36" s="21" t="s">
        <v>20</v>
      </c>
      <c r="C36" s="10"/>
    </row>
    <row r="37" spans="2:7" x14ac:dyDescent="0.25">
      <c r="B37" s="150">
        <f>B33+16</f>
        <v>385</v>
      </c>
      <c r="C37" s="10"/>
      <c r="D37" s="3" t="s">
        <v>21</v>
      </c>
    </row>
    <row r="38" spans="2:7" x14ac:dyDescent="0.25">
      <c r="B38" s="22">
        <f>B31*PI()</f>
        <v>386.41589639154455</v>
      </c>
      <c r="C38" s="23"/>
      <c r="D38" s="3" t="s">
        <v>22</v>
      </c>
    </row>
    <row r="39" spans="2:7" x14ac:dyDescent="0.25">
      <c r="B39" s="23"/>
      <c r="C39" s="23"/>
    </row>
    <row r="40" spans="2:7" x14ac:dyDescent="0.25">
      <c r="B40" s="146" t="s">
        <v>23</v>
      </c>
      <c r="C40" s="24"/>
    </row>
    <row r="41" spans="2:7" x14ac:dyDescent="0.25">
      <c r="B41" s="149">
        <v>123</v>
      </c>
      <c r="C41" s="24"/>
      <c r="D41" s="35" t="s">
        <v>307</v>
      </c>
      <c r="G41" s="16"/>
    </row>
    <row r="42" spans="2:7" x14ac:dyDescent="0.25">
      <c r="B42" s="154">
        <v>124</v>
      </c>
      <c r="C42" s="24"/>
      <c r="D42" s="35" t="s">
        <v>308</v>
      </c>
    </row>
    <row r="43" spans="2:7" x14ac:dyDescent="0.25">
      <c r="B43" s="155">
        <f>B41-B42</f>
        <v>-1</v>
      </c>
      <c r="C43" s="25"/>
      <c r="D43" s="3" t="s">
        <v>60</v>
      </c>
    </row>
    <row r="46" spans="2:7" x14ac:dyDescent="0.25">
      <c r="B46" s="2" t="s">
        <v>33</v>
      </c>
    </row>
    <row r="47" spans="2:7" x14ac:dyDescent="0.25">
      <c r="B47" s="2"/>
    </row>
    <row r="48" spans="2:7" x14ac:dyDescent="0.25">
      <c r="B48" s="6" t="s">
        <v>39</v>
      </c>
    </row>
    <row r="49" spans="2:4" x14ac:dyDescent="0.25">
      <c r="B49" s="32" t="s">
        <v>32</v>
      </c>
      <c r="C49" s="10"/>
      <c r="D49" s="4" t="s">
        <v>42</v>
      </c>
    </row>
    <row r="50" spans="2:4" x14ac:dyDescent="0.25">
      <c r="B50" s="30" t="s">
        <v>30</v>
      </c>
      <c r="C50" s="10"/>
      <c r="D50" s="4" t="s">
        <v>34</v>
      </c>
    </row>
    <row r="51" spans="2:4" x14ac:dyDescent="0.25">
      <c r="B51" s="31" t="s">
        <v>31</v>
      </c>
      <c r="C51" s="10"/>
      <c r="D51" s="4" t="s">
        <v>35</v>
      </c>
    </row>
    <row r="52" spans="2:4" x14ac:dyDescent="0.25">
      <c r="B52" s="22" t="s">
        <v>31</v>
      </c>
      <c r="C52" s="10"/>
      <c r="D52" s="4" t="s">
        <v>37</v>
      </c>
    </row>
    <row r="53" spans="2:4" x14ac:dyDescent="0.25">
      <c r="C53" s="10"/>
      <c r="D53" s="4"/>
    </row>
    <row r="54" spans="2:4" x14ac:dyDescent="0.25">
      <c r="B54" s="6" t="s">
        <v>41</v>
      </c>
      <c r="C54" s="10"/>
      <c r="D54" s="4"/>
    </row>
    <row r="55" spans="2:4" x14ac:dyDescent="0.25">
      <c r="B55" s="33" t="s">
        <v>36</v>
      </c>
      <c r="C55" s="10"/>
      <c r="D55" s="4" t="s">
        <v>43</v>
      </c>
    </row>
    <row r="56" spans="2:4" x14ac:dyDescent="0.25">
      <c r="B56" s="34" t="s">
        <v>40</v>
      </c>
      <c r="D56" s="4" t="s">
        <v>44</v>
      </c>
    </row>
  </sheetData>
  <pageMargins left="0.75" right="0.75" top="1" bottom="1" header="0.5" footer="0.5"/>
  <pageSetup paperSize="9"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W134"/>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activeCell="G13" sqref="G13"/>
    </sheetView>
  </sheetViews>
  <sheetFormatPr defaultRowHeight="12.75" x14ac:dyDescent="0.25"/>
  <cols>
    <col min="1" max="1" width="4.7109375" style="3" customWidth="1"/>
    <col min="2" max="2" width="55" style="3" customWidth="1"/>
    <col min="3" max="3" width="4.7109375" style="3" customWidth="1"/>
    <col min="4" max="5" width="4.5703125" style="3" customWidth="1"/>
    <col min="6" max="6" width="14.42578125" style="3" customWidth="1"/>
    <col min="7" max="7" width="2.7109375" style="3" customWidth="1"/>
    <col min="8" max="8" width="13.7109375" style="3" customWidth="1"/>
    <col min="9" max="9" width="2.7109375" style="3" customWidth="1"/>
    <col min="10" max="10" width="13.7109375" style="3" customWidth="1"/>
    <col min="11" max="11" width="2.7109375" style="3" customWidth="1"/>
    <col min="12" max="19" width="12.5703125" style="3" customWidth="1"/>
    <col min="20" max="22" width="2.7109375" style="3" customWidth="1"/>
    <col min="23" max="37" width="13.7109375" style="3" customWidth="1"/>
    <col min="38" max="16384" width="9.140625" style="3"/>
  </cols>
  <sheetData>
    <row r="2" spans="1:23" s="28" customFormat="1" ht="18" x14ac:dyDescent="0.25">
      <c r="B2" s="28" t="s">
        <v>304</v>
      </c>
    </row>
    <row r="4" spans="1:23" x14ac:dyDescent="0.25">
      <c r="B4" s="41" t="s">
        <v>58</v>
      </c>
      <c r="C4" s="2"/>
      <c r="D4" s="2"/>
    </row>
    <row r="5" spans="1:23" x14ac:dyDescent="0.25">
      <c r="B5" s="35" t="s">
        <v>473</v>
      </c>
      <c r="C5" s="35"/>
      <c r="D5" s="35"/>
      <c r="H5" s="29"/>
    </row>
    <row r="6" spans="1:23" x14ac:dyDescent="0.25">
      <c r="B6" s="35" t="s">
        <v>299</v>
      </c>
      <c r="C6" s="35"/>
      <c r="D6" s="35"/>
      <c r="H6" s="29"/>
    </row>
    <row r="7" spans="1:23" x14ac:dyDescent="0.25">
      <c r="B7" s="168" t="s">
        <v>474</v>
      </c>
      <c r="C7" s="35"/>
      <c r="D7" s="35"/>
      <c r="H7" s="29"/>
    </row>
    <row r="8" spans="1:23" x14ac:dyDescent="0.25">
      <c r="B8" s="3" t="s">
        <v>475</v>
      </c>
      <c r="C8" s="35"/>
      <c r="D8" s="35"/>
    </row>
    <row r="9" spans="1:23" x14ac:dyDescent="0.25">
      <c r="B9" s="6"/>
      <c r="C9" s="35"/>
      <c r="D9" s="35"/>
    </row>
    <row r="11" spans="1:23" s="9" customFormat="1" x14ac:dyDescent="0.25">
      <c r="B11" s="9" t="s">
        <v>45</v>
      </c>
      <c r="F11" s="9" t="s">
        <v>27</v>
      </c>
      <c r="H11" s="9" t="s">
        <v>28</v>
      </c>
      <c r="J11" s="9" t="s">
        <v>49</v>
      </c>
      <c r="L11" s="9" t="s">
        <v>172</v>
      </c>
      <c r="M11" s="9" t="s">
        <v>65</v>
      </c>
      <c r="N11" s="9" t="s">
        <v>66</v>
      </c>
      <c r="O11" s="9" t="s">
        <v>67</v>
      </c>
      <c r="P11" s="9" t="s">
        <v>68</v>
      </c>
      <c r="Q11" s="9" t="s">
        <v>69</v>
      </c>
      <c r="R11" s="9" t="s">
        <v>70</v>
      </c>
      <c r="S11" s="9" t="s">
        <v>71</v>
      </c>
      <c r="W11" s="9" t="s">
        <v>47</v>
      </c>
    </row>
    <row r="14" spans="1:23" s="9" customFormat="1" x14ac:dyDescent="0.25">
      <c r="B14" s="9" t="s">
        <v>342</v>
      </c>
    </row>
    <row r="16" spans="1:23" x14ac:dyDescent="0.25">
      <c r="A16" s="169"/>
      <c r="B16" s="2" t="s">
        <v>338</v>
      </c>
      <c r="L16" s="158"/>
      <c r="M16" s="158"/>
      <c r="N16" s="158"/>
      <c r="O16" s="158"/>
      <c r="P16" s="158"/>
      <c r="Q16" s="158"/>
      <c r="R16" s="158"/>
      <c r="S16" s="158"/>
    </row>
    <row r="17" spans="2:23" x14ac:dyDescent="0.2">
      <c r="B17" s="3" t="s">
        <v>100</v>
      </c>
      <c r="L17" s="162"/>
      <c r="M17" s="102">
        <f>'Input gewijzigde x-factoren'!M15</f>
        <v>4</v>
      </c>
      <c r="N17" s="102">
        <f>'Input gewijzigde x-factoren'!N15</f>
        <v>3</v>
      </c>
      <c r="O17" s="142"/>
      <c r="P17" s="160"/>
      <c r="Q17" s="160"/>
      <c r="R17" s="160"/>
      <c r="S17" s="102">
        <f>'Input gewijzigde x-factoren'!S15</f>
        <v>8</v>
      </c>
    </row>
    <row r="18" spans="2:23" x14ac:dyDescent="0.2">
      <c r="B18" s="3" t="s">
        <v>101</v>
      </c>
      <c r="L18" s="162"/>
      <c r="M18" s="102">
        <f>'Input gewijzigde x-factoren'!M16</f>
        <v>72988.6804898298</v>
      </c>
      <c r="N18" s="102">
        <f>'Input gewijzigde x-factoren'!N16</f>
        <v>44690.66666687528</v>
      </c>
      <c r="O18" s="142"/>
      <c r="P18" s="160"/>
      <c r="Q18" s="160"/>
      <c r="R18" s="160"/>
      <c r="S18" s="102">
        <f>'Input gewijzigde x-factoren'!S16</f>
        <v>352547.58386682562</v>
      </c>
    </row>
    <row r="19" spans="2:23" x14ac:dyDescent="0.25">
      <c r="M19" s="159"/>
      <c r="N19" s="159"/>
      <c r="O19" s="159"/>
      <c r="P19" s="159"/>
      <c r="Q19" s="159"/>
      <c r="R19" s="159"/>
      <c r="S19" s="159"/>
      <c r="W19" s="167"/>
    </row>
    <row r="20" spans="2:23" x14ac:dyDescent="0.25">
      <c r="B20" s="2" t="s">
        <v>339</v>
      </c>
      <c r="M20" s="159"/>
      <c r="N20" s="159"/>
      <c r="O20" s="159"/>
      <c r="P20" s="159"/>
      <c r="Q20" s="159"/>
      <c r="R20" s="159"/>
      <c r="S20" s="159"/>
    </row>
    <row r="21" spans="2:23" x14ac:dyDescent="0.2">
      <c r="B21" s="3" t="s">
        <v>340</v>
      </c>
      <c r="L21" s="162"/>
      <c r="M21" s="102">
        <f>'Input gewijzigde x-factoren'!M19</f>
        <v>0</v>
      </c>
      <c r="N21" s="102">
        <f>'Input gewijzigde x-factoren'!N19</f>
        <v>0</v>
      </c>
      <c r="O21" s="142"/>
      <c r="P21" s="160"/>
      <c r="Q21" s="160"/>
      <c r="R21" s="160"/>
      <c r="S21" s="102">
        <f>'Input gewijzigde x-factoren'!S19</f>
        <v>0</v>
      </c>
    </row>
    <row r="22" spans="2:23" x14ac:dyDescent="0.25">
      <c r="M22" s="159"/>
      <c r="N22" s="159"/>
      <c r="O22" s="159"/>
      <c r="P22" s="159"/>
      <c r="Q22" s="159"/>
      <c r="R22" s="159"/>
      <c r="S22" s="159"/>
    </row>
    <row r="23" spans="2:23" x14ac:dyDescent="0.25">
      <c r="B23" s="2" t="s">
        <v>341</v>
      </c>
      <c r="M23" s="159"/>
      <c r="N23" s="159"/>
      <c r="O23" s="159"/>
      <c r="P23" s="159"/>
      <c r="Q23" s="159"/>
      <c r="R23" s="159"/>
      <c r="S23" s="159"/>
    </row>
    <row r="24" spans="2:23" x14ac:dyDescent="0.2">
      <c r="B24" s="3" t="s">
        <v>340</v>
      </c>
      <c r="L24" s="162"/>
      <c r="M24" s="102">
        <f>'Input gewijzigde x-factoren'!M22</f>
        <v>4</v>
      </c>
      <c r="N24" s="102">
        <f>'Input gewijzigde x-factoren'!N22</f>
        <v>4</v>
      </c>
      <c r="O24" s="142"/>
      <c r="P24" s="160"/>
      <c r="Q24" s="160"/>
      <c r="R24" s="160"/>
      <c r="S24" s="102">
        <f>'Input gewijzigde x-factoren'!S22</f>
        <v>8</v>
      </c>
    </row>
    <row r="26" spans="2:23" s="9" customFormat="1" x14ac:dyDescent="0.25">
      <c r="B26" s="9" t="s">
        <v>343</v>
      </c>
    </row>
    <row r="28" spans="2:23" x14ac:dyDescent="0.25">
      <c r="B28" s="2" t="s">
        <v>338</v>
      </c>
    </row>
    <row r="29" spans="2:23" x14ac:dyDescent="0.2">
      <c r="B29" s="3" t="s">
        <v>100</v>
      </c>
      <c r="F29" s="70" t="s">
        <v>186</v>
      </c>
      <c r="L29" s="162"/>
      <c r="M29" s="180">
        <f>'Input gewijzigde x-factoren'!M27</f>
        <v>210.84</v>
      </c>
      <c r="N29" s="180">
        <f>'Input gewijzigde x-factoren'!N27</f>
        <v>734.07</v>
      </c>
      <c r="O29" s="142"/>
      <c r="P29" s="160"/>
      <c r="Q29" s="160"/>
      <c r="R29" s="160"/>
      <c r="S29" s="180">
        <f>'Input gewijzigde x-factoren'!S27</f>
        <v>775.18</v>
      </c>
    </row>
    <row r="30" spans="2:23" x14ac:dyDescent="0.2">
      <c r="B30" s="3" t="s">
        <v>101</v>
      </c>
      <c r="F30" s="70" t="s">
        <v>186</v>
      </c>
      <c r="L30" s="162"/>
      <c r="M30" s="180">
        <f>'Input gewijzigde x-factoren'!M28</f>
        <v>9</v>
      </c>
      <c r="N30" s="180">
        <f>'Input gewijzigde x-factoren'!N28</f>
        <v>9.1377000000000006</v>
      </c>
      <c r="O30" s="142"/>
      <c r="P30" s="160"/>
      <c r="Q30" s="160"/>
      <c r="R30" s="160"/>
      <c r="S30" s="180">
        <f>'Input gewijzigde x-factoren'!S28</f>
        <v>9.2373999999999992</v>
      </c>
    </row>
    <row r="31" spans="2:23" x14ac:dyDescent="0.25">
      <c r="M31" s="159"/>
      <c r="N31" s="159"/>
      <c r="O31" s="159"/>
      <c r="P31" s="159"/>
      <c r="Q31" s="159"/>
      <c r="R31" s="159"/>
      <c r="S31" s="159"/>
    </row>
    <row r="32" spans="2:23" x14ac:dyDescent="0.25">
      <c r="B32" s="2" t="s">
        <v>339</v>
      </c>
      <c r="M32" s="159"/>
      <c r="N32" s="159"/>
      <c r="O32" s="159"/>
      <c r="P32" s="159"/>
      <c r="Q32" s="159"/>
      <c r="R32" s="159"/>
      <c r="S32" s="159"/>
    </row>
    <row r="33" spans="2:19" x14ac:dyDescent="0.2">
      <c r="B33" s="3" t="s">
        <v>340</v>
      </c>
      <c r="F33" s="70" t="s">
        <v>186</v>
      </c>
      <c r="L33" s="162"/>
      <c r="M33" s="180">
        <f>'Input gewijzigde x-factoren'!M31</f>
        <v>0</v>
      </c>
      <c r="N33" s="180">
        <f>'Input gewijzigde x-factoren'!N31</f>
        <v>0</v>
      </c>
      <c r="O33" s="142"/>
      <c r="P33" s="160"/>
      <c r="Q33" s="160"/>
      <c r="R33" s="160"/>
      <c r="S33" s="180">
        <f>'Input gewijzigde x-factoren'!S31</f>
        <v>0</v>
      </c>
    </row>
    <row r="34" spans="2:19" x14ac:dyDescent="0.25">
      <c r="M34" s="159"/>
      <c r="N34" s="159"/>
      <c r="O34" s="159"/>
      <c r="P34" s="159"/>
      <c r="Q34" s="159"/>
      <c r="R34" s="159"/>
      <c r="S34" s="159"/>
    </row>
    <row r="35" spans="2:19" x14ac:dyDescent="0.25">
      <c r="B35" s="2" t="s">
        <v>341</v>
      </c>
      <c r="M35" s="159"/>
      <c r="N35" s="159"/>
      <c r="O35" s="159"/>
      <c r="P35" s="159"/>
      <c r="Q35" s="159"/>
      <c r="R35" s="159"/>
      <c r="S35" s="159"/>
    </row>
    <row r="36" spans="2:19" x14ac:dyDescent="0.2">
      <c r="B36" s="3" t="s">
        <v>340</v>
      </c>
      <c r="F36" s="70" t="s">
        <v>186</v>
      </c>
      <c r="L36" s="162"/>
      <c r="M36" s="180">
        <f>'Input gewijzigde x-factoren'!M34</f>
        <v>3692.88</v>
      </c>
      <c r="N36" s="180">
        <f>'Input gewijzigde x-factoren'!N34</f>
        <v>1265.02</v>
      </c>
      <c r="O36" s="142"/>
      <c r="P36" s="160"/>
      <c r="Q36" s="160"/>
      <c r="R36" s="160"/>
      <c r="S36" s="180">
        <f>'Input gewijzigde x-factoren'!S34</f>
        <v>3617.18</v>
      </c>
    </row>
    <row r="38" spans="2:19" s="9" customFormat="1" x14ac:dyDescent="0.25">
      <c r="B38" s="9" t="s">
        <v>345</v>
      </c>
    </row>
    <row r="40" spans="2:19" x14ac:dyDescent="0.25">
      <c r="B40" s="2" t="s">
        <v>338</v>
      </c>
    </row>
    <row r="41" spans="2:19" x14ac:dyDescent="0.2">
      <c r="B41" s="3" t="s">
        <v>100</v>
      </c>
      <c r="F41" s="70" t="s">
        <v>187</v>
      </c>
      <c r="L41" s="162"/>
      <c r="M41" s="180">
        <f>'Input gewijzigde x-factoren'!M39</f>
        <v>212.28000000000003</v>
      </c>
      <c r="N41" s="180">
        <f>'Input gewijzigde x-factoren'!N39</f>
        <v>741.6</v>
      </c>
      <c r="O41" s="142"/>
      <c r="P41" s="160"/>
      <c r="Q41" s="160"/>
      <c r="R41" s="160"/>
      <c r="S41" s="180">
        <f>'Input gewijzigde x-factoren'!S39</f>
        <v>768.92</v>
      </c>
    </row>
    <row r="42" spans="2:19" x14ac:dyDescent="0.2">
      <c r="B42" s="3" t="s">
        <v>101</v>
      </c>
      <c r="F42" s="70" t="s">
        <v>187</v>
      </c>
      <c r="L42" s="162"/>
      <c r="M42" s="180">
        <f>'Input gewijzigde x-factoren'!M40</f>
        <v>9</v>
      </c>
      <c r="N42" s="180">
        <f>'Input gewijzigde x-factoren'!N40</f>
        <v>9.2314000000000007</v>
      </c>
      <c r="O42" s="142"/>
      <c r="P42" s="160"/>
      <c r="Q42" s="160"/>
      <c r="R42" s="160"/>
      <c r="S42" s="180">
        <f>'Input gewijzigde x-factoren'!S40</f>
        <v>9.1628000000000007</v>
      </c>
    </row>
    <row r="43" spans="2:19" x14ac:dyDescent="0.25">
      <c r="M43" s="159"/>
      <c r="N43" s="159"/>
      <c r="O43" s="159"/>
      <c r="P43" s="159"/>
      <c r="Q43" s="159"/>
      <c r="R43" s="159"/>
      <c r="S43" s="179"/>
    </row>
    <row r="44" spans="2:19" x14ac:dyDescent="0.25">
      <c r="B44" s="2" t="s">
        <v>339</v>
      </c>
      <c r="M44" s="159"/>
      <c r="N44" s="159"/>
      <c r="O44" s="159"/>
      <c r="P44" s="159"/>
      <c r="Q44" s="159"/>
      <c r="R44" s="159"/>
      <c r="S44" s="179"/>
    </row>
    <row r="45" spans="2:19" x14ac:dyDescent="0.2">
      <c r="B45" s="3" t="s">
        <v>340</v>
      </c>
      <c r="F45" s="70" t="s">
        <v>187</v>
      </c>
      <c r="L45" s="162"/>
      <c r="M45" s="180">
        <f>'Input gewijzigde x-factoren'!M43</f>
        <v>0</v>
      </c>
      <c r="N45" s="180">
        <f>'Input gewijzigde x-factoren'!N43</f>
        <v>0</v>
      </c>
      <c r="O45" s="142"/>
      <c r="P45" s="160"/>
      <c r="Q45" s="160"/>
      <c r="R45" s="160"/>
      <c r="S45" s="180">
        <f>'Input gewijzigde x-factoren'!S43</f>
        <v>0</v>
      </c>
    </row>
    <row r="46" spans="2:19" x14ac:dyDescent="0.25">
      <c r="M46" s="179"/>
      <c r="N46" s="179"/>
      <c r="O46" s="159"/>
      <c r="P46" s="159"/>
      <c r="Q46" s="159"/>
      <c r="R46" s="159"/>
      <c r="S46" s="179"/>
    </row>
    <row r="47" spans="2:19" x14ac:dyDescent="0.25">
      <c r="B47" s="2" t="s">
        <v>341</v>
      </c>
      <c r="M47" s="179"/>
      <c r="N47" s="179"/>
      <c r="O47" s="159"/>
      <c r="P47" s="159"/>
      <c r="Q47" s="159"/>
      <c r="R47" s="159"/>
      <c r="S47" s="179"/>
    </row>
    <row r="48" spans="2:19" x14ac:dyDescent="0.2">
      <c r="B48" s="3" t="s">
        <v>340</v>
      </c>
      <c r="F48" s="70" t="s">
        <v>187</v>
      </c>
      <c r="L48" s="162"/>
      <c r="M48" s="180">
        <f>'Input gewijzigde x-factoren'!M46</f>
        <v>3820.7999999999997</v>
      </c>
      <c r="N48" s="180">
        <f>'Input gewijzigde x-factoren'!N46</f>
        <v>1277.99</v>
      </c>
      <c r="O48" s="142"/>
      <c r="P48" s="160"/>
      <c r="Q48" s="160"/>
      <c r="R48" s="160"/>
      <c r="S48" s="180">
        <f>'Input gewijzigde x-factoren'!S46</f>
        <v>3587.97</v>
      </c>
    </row>
    <row r="50" spans="2:22" s="9" customFormat="1" x14ac:dyDescent="0.25">
      <c r="B50" s="9" t="s">
        <v>344</v>
      </c>
    </row>
    <row r="52" spans="2:22" x14ac:dyDescent="0.25">
      <c r="B52" s="2" t="s">
        <v>338</v>
      </c>
    </row>
    <row r="53" spans="2:22" x14ac:dyDescent="0.2">
      <c r="B53" s="3" t="s">
        <v>100</v>
      </c>
      <c r="F53" s="70" t="s">
        <v>185</v>
      </c>
      <c r="L53" s="162"/>
      <c r="M53" s="180">
        <f>'Input gewijzigde x-factoren'!M51</f>
        <v>213.6</v>
      </c>
      <c r="N53" s="180">
        <f>'Input gewijzigde x-factoren'!N51</f>
        <v>744.5</v>
      </c>
      <c r="O53" s="142"/>
      <c r="P53" s="160"/>
      <c r="Q53" s="160"/>
      <c r="R53" s="160"/>
      <c r="S53" s="180">
        <f>'Input gewijzigde x-factoren'!S51</f>
        <v>767.27</v>
      </c>
      <c r="T53" s="159"/>
      <c r="U53" s="159"/>
      <c r="V53" s="159"/>
    </row>
    <row r="54" spans="2:22" x14ac:dyDescent="0.2">
      <c r="B54" s="3" t="s">
        <v>101</v>
      </c>
      <c r="F54" s="70" t="s">
        <v>185</v>
      </c>
      <c r="L54" s="162"/>
      <c r="M54" s="180">
        <f>'Input gewijzigde x-factoren'!M52</f>
        <v>9</v>
      </c>
      <c r="N54" s="180">
        <f>'Input gewijzigde x-factoren'!N52</f>
        <v>9.2674000000000003</v>
      </c>
      <c r="O54" s="142"/>
      <c r="P54" s="160"/>
      <c r="Q54" s="160"/>
      <c r="R54" s="160"/>
      <c r="S54" s="180">
        <f>'Input gewijzigde x-factoren'!S52</f>
        <v>9.1296999999999997</v>
      </c>
      <c r="T54" s="159"/>
      <c r="U54" s="159"/>
      <c r="V54" s="159"/>
    </row>
    <row r="55" spans="2:22" x14ac:dyDescent="0.25">
      <c r="M55" s="179"/>
      <c r="N55" s="179"/>
      <c r="O55" s="159"/>
      <c r="P55" s="159"/>
      <c r="Q55" s="159"/>
      <c r="R55" s="159"/>
      <c r="S55" s="179"/>
      <c r="T55" s="159"/>
      <c r="U55" s="159"/>
      <c r="V55" s="159"/>
    </row>
    <row r="56" spans="2:22" x14ac:dyDescent="0.25">
      <c r="B56" s="2" t="s">
        <v>339</v>
      </c>
      <c r="M56" s="179"/>
      <c r="N56" s="179"/>
      <c r="O56" s="159"/>
      <c r="P56" s="159"/>
      <c r="Q56" s="159"/>
      <c r="R56" s="159"/>
      <c r="S56" s="179"/>
      <c r="T56" s="159"/>
      <c r="U56" s="159"/>
      <c r="V56" s="159"/>
    </row>
    <row r="57" spans="2:22" x14ac:dyDescent="0.2">
      <c r="B57" s="3" t="s">
        <v>340</v>
      </c>
      <c r="F57" s="70" t="s">
        <v>185</v>
      </c>
      <c r="L57" s="162"/>
      <c r="M57" s="180">
        <f>'Input gewijzigde x-factoren'!M55</f>
        <v>0</v>
      </c>
      <c r="N57" s="180">
        <f>'Input gewijzigde x-factoren'!N55</f>
        <v>0</v>
      </c>
      <c r="O57" s="142"/>
      <c r="P57" s="160"/>
      <c r="Q57" s="160"/>
      <c r="R57" s="160"/>
      <c r="S57" s="180">
        <f>'Input gewijzigde x-factoren'!S55</f>
        <v>0</v>
      </c>
      <c r="T57" s="159"/>
      <c r="U57" s="159"/>
      <c r="V57" s="159"/>
    </row>
    <row r="58" spans="2:22" x14ac:dyDescent="0.25">
      <c r="M58" s="179"/>
      <c r="N58" s="179"/>
      <c r="O58" s="159"/>
      <c r="P58" s="159"/>
      <c r="Q58" s="159"/>
      <c r="R58" s="159"/>
      <c r="S58" s="179"/>
      <c r="T58" s="159"/>
      <c r="U58" s="159"/>
      <c r="V58" s="159"/>
    </row>
    <row r="59" spans="2:22" x14ac:dyDescent="0.25">
      <c r="B59" s="2" t="s">
        <v>341</v>
      </c>
      <c r="M59" s="179"/>
      <c r="N59" s="179"/>
      <c r="O59" s="159"/>
      <c r="P59" s="159"/>
      <c r="Q59" s="159"/>
      <c r="R59" s="159"/>
      <c r="S59" s="179"/>
      <c r="T59" s="159"/>
      <c r="U59" s="159"/>
      <c r="V59" s="159"/>
    </row>
    <row r="60" spans="2:22" x14ac:dyDescent="0.2">
      <c r="B60" s="3" t="s">
        <v>340</v>
      </c>
      <c r="F60" s="70" t="s">
        <v>185</v>
      </c>
      <c r="L60" s="162"/>
      <c r="M60" s="180">
        <f>'Input gewijzigde x-factoren'!M58</f>
        <v>3911.52</v>
      </c>
      <c r="N60" s="180">
        <f>'Input gewijzigde x-factoren'!N58</f>
        <v>1282.9000000000001</v>
      </c>
      <c r="O60" s="142"/>
      <c r="P60" s="160"/>
      <c r="Q60" s="160"/>
      <c r="R60" s="160"/>
      <c r="S60" s="180">
        <f>'Input gewijzigde x-factoren'!S58</f>
        <v>3580.25</v>
      </c>
      <c r="T60" s="159"/>
      <c r="U60" s="159"/>
      <c r="V60" s="159"/>
    </row>
    <row r="61" spans="2:22" x14ac:dyDescent="0.25">
      <c r="M61" s="159"/>
      <c r="N61" s="159"/>
      <c r="O61" s="159"/>
      <c r="P61" s="159"/>
      <c r="Q61" s="159"/>
      <c r="R61" s="159"/>
      <c r="S61" s="159"/>
      <c r="T61" s="159"/>
      <c r="U61" s="159"/>
      <c r="V61" s="159"/>
    </row>
    <row r="62" spans="2:22" s="9" customFormat="1" x14ac:dyDescent="0.25">
      <c r="B62" s="9" t="s">
        <v>300</v>
      </c>
    </row>
    <row r="64" spans="2:22" x14ac:dyDescent="0.25">
      <c r="B64" s="41" t="s">
        <v>301</v>
      </c>
    </row>
    <row r="65" spans="2:19" x14ac:dyDescent="0.2">
      <c r="B65" s="3" t="s">
        <v>302</v>
      </c>
      <c r="F65" s="70" t="s">
        <v>184</v>
      </c>
      <c r="L65" s="160"/>
      <c r="M65" s="102">
        <f>'Input x-factor, begininkomsten'!M15</f>
        <v>28572762.806057848</v>
      </c>
      <c r="N65" s="102">
        <f>'Input x-factor, begininkomsten'!N15</f>
        <v>330013605.11326003</v>
      </c>
      <c r="O65" s="142"/>
      <c r="P65" s="160"/>
      <c r="Q65" s="160"/>
      <c r="R65" s="160"/>
      <c r="S65" s="102">
        <f>'Input x-factor, begininkomsten'!S15</f>
        <v>5086673.7044375269</v>
      </c>
    </row>
    <row r="66" spans="2:19" x14ac:dyDescent="0.2">
      <c r="B66" s="3" t="s">
        <v>161</v>
      </c>
      <c r="L66" s="161"/>
      <c r="M66" s="123">
        <f>'Input x-factor, begininkomsten'!M18</f>
        <v>1.52</v>
      </c>
      <c r="N66" s="123">
        <f>'Input x-factor, begininkomsten'!N18</f>
        <v>1.54</v>
      </c>
      <c r="O66" s="142"/>
      <c r="P66" s="161"/>
      <c r="Q66" s="161"/>
      <c r="R66" s="161"/>
      <c r="S66" s="123">
        <f>'Input x-factor, begininkomsten'!S18</f>
        <v>2.25</v>
      </c>
    </row>
    <row r="68" spans="2:19" x14ac:dyDescent="0.25">
      <c r="B68" s="3" t="s">
        <v>183</v>
      </c>
      <c r="F68" s="3" t="s">
        <v>138</v>
      </c>
      <c r="H68" s="124">
        <f>'Input parameters'!R19</f>
        <v>2E-3</v>
      </c>
    </row>
    <row r="69" spans="2:19" x14ac:dyDescent="0.25">
      <c r="B69" s="3" t="s">
        <v>283</v>
      </c>
      <c r="F69" s="3" t="s">
        <v>138</v>
      </c>
      <c r="H69" s="124">
        <f>'Input parameters'!S19</f>
        <v>1.4E-2</v>
      </c>
    </row>
    <row r="70" spans="2:19" x14ac:dyDescent="0.25">
      <c r="B70" s="3" t="s">
        <v>303</v>
      </c>
      <c r="F70" s="3" t="s">
        <v>138</v>
      </c>
      <c r="H70" s="124">
        <f>'Input parameters'!T19</f>
        <v>2.1000000000000001E-2</v>
      </c>
    </row>
    <row r="72" spans="2:19" ht="12.75" customHeight="1" x14ac:dyDescent="0.2">
      <c r="B72" s="3" t="s">
        <v>202</v>
      </c>
      <c r="F72" s="3" t="s">
        <v>138</v>
      </c>
      <c r="L72" s="163"/>
      <c r="M72" s="109">
        <f>Richtbedragen!M55</f>
        <v>3.6948026493807275E-2</v>
      </c>
      <c r="N72" s="109">
        <f>Richtbedragen!N55</f>
        <v>1.9622477586096728E-3</v>
      </c>
      <c r="O72" s="142"/>
      <c r="P72" s="166"/>
      <c r="Q72" s="166"/>
      <c r="R72" s="166"/>
      <c r="S72" s="109">
        <f>Richtbedragen!S55</f>
        <v>1</v>
      </c>
    </row>
    <row r="73" spans="2:19" ht="12.75" customHeight="1" x14ac:dyDescent="0.25">
      <c r="L73" s="132"/>
      <c r="M73" s="165"/>
      <c r="N73" s="165"/>
      <c r="O73" s="165"/>
      <c r="P73" s="165"/>
      <c r="Q73" s="165"/>
      <c r="R73" s="165"/>
      <c r="S73" s="165"/>
    </row>
    <row r="74" spans="2:19" ht="12.75" customHeight="1" x14ac:dyDescent="0.2">
      <c r="B74" s="3" t="s">
        <v>206</v>
      </c>
      <c r="F74" s="3" t="s">
        <v>138</v>
      </c>
      <c r="L74" s="163"/>
      <c r="M74" s="109">
        <f>Richtbedragen!M60</f>
        <v>3.561227250012907E-2</v>
      </c>
      <c r="N74" s="109">
        <f>Richtbedragen!N60</f>
        <v>1.8932461999467581E-3</v>
      </c>
      <c r="O74" s="142"/>
      <c r="P74" s="166"/>
      <c r="Q74" s="166"/>
      <c r="R74" s="166"/>
      <c r="S74" s="109">
        <f>Richtbedragen!S60</f>
        <v>1</v>
      </c>
    </row>
    <row r="75" spans="2:19" ht="12.75" customHeight="1" x14ac:dyDescent="0.25">
      <c r="L75" s="132"/>
      <c r="M75" s="132"/>
      <c r="N75" s="132"/>
      <c r="O75" s="132"/>
      <c r="P75" s="132"/>
      <c r="Q75" s="132"/>
      <c r="R75" s="132"/>
      <c r="S75" s="132"/>
    </row>
    <row r="76" spans="2:19" s="9" customFormat="1" x14ac:dyDescent="0.25">
      <c r="B76" s="9" t="s">
        <v>305</v>
      </c>
    </row>
    <row r="78" spans="2:19" x14ac:dyDescent="0.25">
      <c r="B78" s="41" t="s">
        <v>462</v>
      </c>
    </row>
    <row r="79" spans="2:19" x14ac:dyDescent="0.2">
      <c r="B79" s="3" t="s">
        <v>306</v>
      </c>
      <c r="F79" s="42" t="s">
        <v>186</v>
      </c>
      <c r="L79" s="160"/>
      <c r="M79" s="69">
        <f>(M65*(1-M66/100+$H$68))</f>
        <v>28195602.337017886</v>
      </c>
      <c r="N79" s="69">
        <f>N65*(1-N66/100+$H$68)</f>
        <v>325591422.80474234</v>
      </c>
      <c r="O79" s="142"/>
      <c r="P79" s="160"/>
      <c r="Q79" s="160"/>
      <c r="R79" s="160"/>
      <c r="S79" s="69">
        <f>S65*(1-S66/100+$H$68)</f>
        <v>4982396.8934965581</v>
      </c>
    </row>
    <row r="80" spans="2:19" x14ac:dyDescent="0.2">
      <c r="B80" s="3" t="s">
        <v>329</v>
      </c>
      <c r="F80" s="42" t="s">
        <v>187</v>
      </c>
      <c r="L80" s="160"/>
      <c r="M80" s="69">
        <f>M79*(1-M66/100+$H$69)</f>
        <v>28161767.614213467</v>
      </c>
      <c r="N80" s="69">
        <f>N79*(1-N66/100+$H$69)</f>
        <v>325135594.81281573</v>
      </c>
      <c r="O80" s="142"/>
      <c r="P80" s="160"/>
      <c r="Q80" s="160"/>
      <c r="R80" s="160"/>
      <c r="S80" s="69">
        <f>S79*(1-S66/100+$H$69)</f>
        <v>4940046.5199018372</v>
      </c>
    </row>
    <row r="81" spans="2:19" x14ac:dyDescent="0.2">
      <c r="B81" s="3" t="s">
        <v>330</v>
      </c>
      <c r="F81" s="42" t="s">
        <v>185</v>
      </c>
      <c r="L81" s="160"/>
      <c r="M81" s="69">
        <f>M80*(1-M66/100+$H$70)</f>
        <v>28325105.866375905</v>
      </c>
      <c r="N81" s="69">
        <f>N80*(1-N66/100+$H$70)</f>
        <v>326956354.14376754</v>
      </c>
      <c r="O81" s="142"/>
      <c r="P81" s="160"/>
      <c r="Q81" s="160"/>
      <c r="R81" s="160"/>
      <c r="S81" s="69">
        <f>S80*(1-S66/100+$H$70)</f>
        <v>4932636.4501219848</v>
      </c>
    </row>
    <row r="82" spans="2:19" x14ac:dyDescent="0.2">
      <c r="F82" s="88"/>
    </row>
    <row r="83" spans="2:19" x14ac:dyDescent="0.25">
      <c r="B83" s="41" t="s">
        <v>428</v>
      </c>
    </row>
    <row r="84" spans="2:19" x14ac:dyDescent="0.2">
      <c r="B84" s="3" t="s">
        <v>455</v>
      </c>
      <c r="F84" s="88" t="s">
        <v>186</v>
      </c>
      <c r="L84" s="160"/>
      <c r="M84" s="102">
        <f>'Input gewijzigde x-factoren'!M62</f>
        <v>-315427.03851944156</v>
      </c>
      <c r="N84" s="102">
        <f>'Input gewijzigde x-factoren'!N62</f>
        <v>-2642751.2784069027</v>
      </c>
      <c r="O84" s="142"/>
      <c r="P84" s="160"/>
      <c r="Q84" s="160"/>
      <c r="R84" s="160"/>
      <c r="S84" s="102">
        <f>'Input gewijzigde x-factoren'!S62</f>
        <v>15662.582433362299</v>
      </c>
    </row>
    <row r="85" spans="2:19" x14ac:dyDescent="0.2">
      <c r="B85" s="3" t="s">
        <v>456</v>
      </c>
      <c r="F85" s="88" t="s">
        <v>187</v>
      </c>
      <c r="L85" s="160"/>
      <c r="M85" s="102">
        <f>'Input gewijzigde x-factoren'!M63</f>
        <v>69540.534395046823</v>
      </c>
      <c r="N85" s="102">
        <f>'Input gewijzigde x-factoren'!N63</f>
        <v>3261556.51316333</v>
      </c>
      <c r="O85" s="142"/>
      <c r="P85" s="160"/>
      <c r="Q85" s="160"/>
      <c r="R85" s="160"/>
      <c r="S85" s="102">
        <f>'Input gewijzigde x-factoren'!S63</f>
        <v>14573.412182184509</v>
      </c>
    </row>
    <row r="86" spans="2:19" x14ac:dyDescent="0.2">
      <c r="B86" s="3" t="s">
        <v>457</v>
      </c>
      <c r="F86" s="88" t="s">
        <v>185</v>
      </c>
      <c r="L86" s="160"/>
      <c r="M86" s="102">
        <f>'Input gewijzigde x-factoren'!M64</f>
        <v>11236.128860153343</v>
      </c>
      <c r="N86" s="102">
        <f>'Input gewijzigde x-factoren'!N64</f>
        <v>4865346.4878493398</v>
      </c>
      <c r="O86" s="142"/>
      <c r="P86" s="160"/>
      <c r="Q86" s="160"/>
      <c r="R86" s="160"/>
      <c r="S86" s="102">
        <f>'Input gewijzigde x-factoren'!S64</f>
        <v>0</v>
      </c>
    </row>
    <row r="88" spans="2:19" x14ac:dyDescent="0.25">
      <c r="B88" s="41" t="s">
        <v>463</v>
      </c>
    </row>
    <row r="89" spans="2:19" x14ac:dyDescent="0.2">
      <c r="B89" s="3" t="s">
        <v>458</v>
      </c>
      <c r="F89" s="88" t="s">
        <v>186</v>
      </c>
      <c r="L89" s="160"/>
      <c r="M89" s="69">
        <f>M79+M84</f>
        <v>27880175.298498444</v>
      </c>
      <c r="N89" s="69">
        <f>N79+N84</f>
        <v>322948671.52633542</v>
      </c>
      <c r="O89" s="142"/>
      <c r="P89" s="160"/>
      <c r="Q89" s="160"/>
      <c r="R89" s="160"/>
      <c r="S89" s="69">
        <f>S79+S84</f>
        <v>4998059.4759299206</v>
      </c>
    </row>
    <row r="90" spans="2:19" x14ac:dyDescent="0.2">
      <c r="B90" s="3" t="s">
        <v>459</v>
      </c>
      <c r="F90" s="88" t="s">
        <v>187</v>
      </c>
      <c r="L90" s="160"/>
      <c r="M90" s="69">
        <f t="shared" ref="M90:N91" si="0">M80+M85</f>
        <v>28231308.148608513</v>
      </c>
      <c r="N90" s="69">
        <f t="shared" si="0"/>
        <v>328397151.32597905</v>
      </c>
      <c r="O90" s="142"/>
      <c r="P90" s="160"/>
      <c r="Q90" s="160"/>
      <c r="R90" s="160"/>
      <c r="S90" s="69">
        <f t="shared" ref="S90" si="1">S80+S85</f>
        <v>4954619.9320840221</v>
      </c>
    </row>
    <row r="91" spans="2:19" x14ac:dyDescent="0.2">
      <c r="B91" s="3" t="s">
        <v>460</v>
      </c>
      <c r="F91" s="88" t="s">
        <v>185</v>
      </c>
      <c r="L91" s="160"/>
      <c r="M91" s="69">
        <f t="shared" si="0"/>
        <v>28336341.995236058</v>
      </c>
      <c r="N91" s="69">
        <f t="shared" si="0"/>
        <v>331821700.63161689</v>
      </c>
      <c r="O91" s="142"/>
      <c r="P91" s="160"/>
      <c r="Q91" s="160"/>
      <c r="R91" s="160"/>
      <c r="S91" s="69">
        <f>S81+S86</f>
        <v>4932636.4501219848</v>
      </c>
    </row>
    <row r="93" spans="2:19" s="9" customFormat="1" ht="12.75" customHeight="1" x14ac:dyDescent="0.25">
      <c r="B93" s="49" t="s">
        <v>198</v>
      </c>
      <c r="L93" s="48"/>
      <c r="M93" s="48"/>
      <c r="N93" s="48"/>
      <c r="O93" s="48"/>
      <c r="P93" s="48"/>
      <c r="Q93" s="48"/>
      <c r="R93" s="48"/>
      <c r="S93" s="48"/>
    </row>
    <row r="94" spans="2:19" ht="12.75" customHeight="1" x14ac:dyDescent="0.25">
      <c r="L94" s="47"/>
      <c r="M94" s="47"/>
      <c r="N94" s="47"/>
      <c r="O94" s="47"/>
      <c r="P94" s="47"/>
      <c r="Q94" s="47"/>
      <c r="R94" s="47"/>
      <c r="S94" s="47"/>
    </row>
    <row r="95" spans="2:19" ht="12.75" customHeight="1" x14ac:dyDescent="0.2">
      <c r="B95" s="3" t="s">
        <v>351</v>
      </c>
      <c r="F95" s="3" t="s">
        <v>138</v>
      </c>
      <c r="L95" s="163"/>
      <c r="M95" s="164">
        <f>((5-(2017-2016))/5)*M72+((2017-2016)/5)*M74</f>
        <v>3.6680875695071634E-2</v>
      </c>
      <c r="N95" s="164">
        <f>((5-(2017-2016))/5)*N72+((2017-2016)/5)*N74</f>
        <v>1.9484474468770899E-3</v>
      </c>
      <c r="O95" s="142"/>
      <c r="P95" s="163"/>
      <c r="Q95" s="163"/>
      <c r="R95" s="163"/>
      <c r="S95" s="164">
        <f>((5-(2017-2016))/5)*S72+((2017-2016)/5)*S74</f>
        <v>1</v>
      </c>
    </row>
    <row r="96" spans="2:19" ht="12.75" customHeight="1" x14ac:dyDescent="0.2">
      <c r="B96" s="3" t="s">
        <v>352</v>
      </c>
      <c r="F96" s="3" t="s">
        <v>138</v>
      </c>
      <c r="L96" s="163"/>
      <c r="M96" s="164">
        <f>((5-(2018-2016))/5)*M72+((2018-2016)/5)*M74</f>
        <v>3.6413724896335993E-2</v>
      </c>
      <c r="N96" s="164">
        <f>((5-(2018-2016))/5)*N72+((2018-2016)/5)*N74</f>
        <v>1.934647135144507E-3</v>
      </c>
      <c r="O96" s="142"/>
      <c r="P96" s="163"/>
      <c r="Q96" s="163"/>
      <c r="R96" s="163"/>
      <c r="S96" s="164">
        <f>((5-(2018-2016))/5)*S72+((2018-2016)/5)*S74</f>
        <v>1</v>
      </c>
    </row>
    <row r="97" spans="2:20" ht="12.75" customHeight="1" x14ac:dyDescent="0.2">
      <c r="B97" s="3" t="s">
        <v>353</v>
      </c>
      <c r="F97" s="3" t="s">
        <v>138</v>
      </c>
      <c r="L97" s="163"/>
      <c r="M97" s="164">
        <f>((5-(2019-2016))/5)*M72+((2019-2016)/5)*M74</f>
        <v>3.6146574097600352E-2</v>
      </c>
      <c r="N97" s="164">
        <f>((5-(2019-2016))/5)*N72+((2019-2016)/5)*N74</f>
        <v>1.9208468234119241E-3</v>
      </c>
      <c r="O97" s="142"/>
      <c r="P97" s="163"/>
      <c r="Q97" s="163"/>
      <c r="R97" s="163"/>
      <c r="S97" s="164">
        <f>((5-(2019-2016))/5)*S72+((2019-2016)/5)*S74</f>
        <v>1</v>
      </c>
    </row>
    <row r="98" spans="2:20" ht="12.75" customHeight="1" x14ac:dyDescent="0.25">
      <c r="F98" s="3" t="s">
        <v>138</v>
      </c>
      <c r="L98"/>
      <c r="M98"/>
      <c r="N98"/>
      <c r="O98" s="1"/>
      <c r="P98"/>
      <c r="Q98"/>
      <c r="R98"/>
      <c r="S98"/>
      <c r="T98"/>
    </row>
    <row r="99" spans="2:20" s="9" customFormat="1" x14ac:dyDescent="0.25">
      <c r="B99" s="9" t="s">
        <v>354</v>
      </c>
    </row>
    <row r="101" spans="2:20" x14ac:dyDescent="0.25">
      <c r="B101" s="41" t="s">
        <v>355</v>
      </c>
    </row>
    <row r="102" spans="2:20" ht="12.75" customHeight="1" x14ac:dyDescent="0.2">
      <c r="B102" s="3" t="s">
        <v>464</v>
      </c>
      <c r="F102" s="42" t="s">
        <v>186</v>
      </c>
      <c r="L102" s="160"/>
      <c r="M102" s="69">
        <f>M95*M89</f>
        <v>1022669.2444810282</v>
      </c>
      <c r="N102" s="69">
        <f>N95*N89</f>
        <v>629248.5145078362</v>
      </c>
      <c r="O102" s="142"/>
      <c r="P102" s="160"/>
      <c r="Q102" s="160"/>
      <c r="R102" s="160"/>
      <c r="S102" s="69">
        <f>S95*S89</f>
        <v>4998059.4759299206</v>
      </c>
    </row>
    <row r="103" spans="2:20" x14ac:dyDescent="0.2">
      <c r="B103" s="3" t="s">
        <v>465</v>
      </c>
      <c r="F103" s="42" t="s">
        <v>187</v>
      </c>
      <c r="L103" s="160"/>
      <c r="M103" s="69">
        <f t="shared" ref="M103:N104" si="2">M96*M90</f>
        <v>1028007.088387119</v>
      </c>
      <c r="N103" s="69">
        <f t="shared" si="2"/>
        <v>635332.60800242249</v>
      </c>
      <c r="O103" s="142"/>
      <c r="P103" s="160"/>
      <c r="Q103" s="160"/>
      <c r="R103" s="160"/>
      <c r="S103" s="69">
        <f t="shared" ref="S103:S104" si="3">S96*S90</f>
        <v>4954619.9320840221</v>
      </c>
    </row>
    <row r="104" spans="2:20" ht="12.75" customHeight="1" x14ac:dyDescent="0.2">
      <c r="B104" s="3" t="s">
        <v>466</v>
      </c>
      <c r="F104" s="42" t="s">
        <v>185</v>
      </c>
      <c r="L104" s="160"/>
      <c r="M104" s="69">
        <f t="shared" si="2"/>
        <v>1024261.6855857448</v>
      </c>
      <c r="N104" s="69">
        <f t="shared" si="2"/>
        <v>637378.6595973837</v>
      </c>
      <c r="O104" s="142"/>
      <c r="P104" s="160"/>
      <c r="Q104" s="160"/>
      <c r="R104" s="160"/>
      <c r="S104" s="69">
        <f t="shared" si="3"/>
        <v>4932636.4501219848</v>
      </c>
    </row>
    <row r="105" spans="2:20" ht="12.75" customHeight="1" x14ac:dyDescent="0.25"/>
    <row r="106" spans="2:20" s="9" customFormat="1" ht="12.75" customHeight="1" x14ac:dyDescent="0.25">
      <c r="B106" s="9" t="s">
        <v>349</v>
      </c>
    </row>
    <row r="107" spans="2:20" ht="12.75" customHeight="1" x14ac:dyDescent="0.25">
      <c r="B107" s="41"/>
    </row>
    <row r="108" spans="2:20" ht="12.75" customHeight="1" x14ac:dyDescent="0.2">
      <c r="B108" s="3" t="s">
        <v>350</v>
      </c>
      <c r="F108" s="42" t="s">
        <v>186</v>
      </c>
      <c r="L108" s="160"/>
      <c r="M108" s="69">
        <f>M$17*M29+M$18*M30+M$21*M33+M$24*M36</f>
        <v>672513.00440846814</v>
      </c>
      <c r="N108" s="69">
        <f>N$17*N29+N$18*N30+N$21*N33+N$24*N36</f>
        <v>415632.1948019063</v>
      </c>
      <c r="O108" s="142"/>
      <c r="P108" s="160"/>
      <c r="Q108" s="160"/>
      <c r="R108" s="160"/>
      <c r="S108" s="69">
        <f>S$17*S29+S$18*S30+S$21*S33+S$24*S36</f>
        <v>3291761.9312114147</v>
      </c>
    </row>
    <row r="109" spans="2:20" ht="12.75" customHeight="1" x14ac:dyDescent="0.2">
      <c r="B109" s="3" t="s">
        <v>356</v>
      </c>
      <c r="F109" s="42" t="s">
        <v>187</v>
      </c>
      <c r="L109" s="160"/>
      <c r="M109" s="69">
        <f>M$17*M41+M$18*M42+M$21*M45+M$24*M48</f>
        <v>673030.44440846809</v>
      </c>
      <c r="N109" s="69">
        <f>N$17*N41+N$18*N42+N$21*N45+N$24*N48</f>
        <v>419894.18026859249</v>
      </c>
      <c r="O109" s="142"/>
      <c r="P109" s="160"/>
      <c r="Q109" s="160"/>
      <c r="R109" s="160"/>
      <c r="S109" s="69">
        <f>S$17*S41+S$18*S42+S$21*S45+S$24*S48</f>
        <v>3265178.1214549495</v>
      </c>
    </row>
    <row r="110" spans="2:20" ht="12.75" customHeight="1" x14ac:dyDescent="0.2">
      <c r="B110" s="3" t="s">
        <v>357</v>
      </c>
      <c r="F110" s="42" t="s">
        <v>185</v>
      </c>
      <c r="L110" s="160"/>
      <c r="M110" s="69">
        <f>M$17*M53+M$18*M54+M$21*M57+M$24*M60</f>
        <v>673398.60440846812</v>
      </c>
      <c r="N110" s="69">
        <f>N$17*N53+N$18*N54+N$21*N57+N$24*N60</f>
        <v>421531.38426859997</v>
      </c>
      <c r="O110" s="142"/>
      <c r="P110" s="160"/>
      <c r="Q110" s="160"/>
      <c r="R110" s="160"/>
      <c r="S110" s="69">
        <f>S$17*S53+S$18*S54+S$21*S57+S$24*S60</f>
        <v>3253433.836428958</v>
      </c>
    </row>
    <row r="111" spans="2:20" ht="12.75" customHeight="1" x14ac:dyDescent="0.25"/>
    <row r="112" spans="2:20" s="9" customFormat="1" ht="12.75" customHeight="1" x14ac:dyDescent="0.25">
      <c r="B112" s="49" t="s">
        <v>124</v>
      </c>
      <c r="L112" s="48"/>
      <c r="M112" s="48"/>
      <c r="N112" s="48"/>
      <c r="O112" s="48"/>
      <c r="P112" s="48"/>
      <c r="Q112" s="48"/>
      <c r="R112" s="48"/>
      <c r="S112" s="48"/>
    </row>
    <row r="113" spans="1:23" customFormat="1" ht="12.75" customHeight="1" x14ac:dyDescent="0.25">
      <c r="D113" s="3"/>
      <c r="E113" s="3"/>
      <c r="G113" s="3"/>
      <c r="H113" s="3"/>
      <c r="I113" s="3"/>
      <c r="J113" s="58"/>
      <c r="O113" s="1"/>
    </row>
    <row r="114" spans="1:23" customFormat="1" ht="12.75" customHeight="1" x14ac:dyDescent="0.25">
      <c r="B114" s="3" t="s">
        <v>449</v>
      </c>
      <c r="D114" s="3"/>
      <c r="E114" s="3"/>
      <c r="F114" s="42" t="s">
        <v>186</v>
      </c>
      <c r="G114" s="3"/>
      <c r="H114" s="3"/>
      <c r="I114" s="3"/>
      <c r="J114" s="58"/>
      <c r="L114" s="160"/>
      <c r="M114" s="69">
        <f t="shared" ref="M114:M116" si="4">M102-M108</f>
        <v>350156.24007256003</v>
      </c>
      <c r="N114" s="69">
        <f t="shared" ref="N114:N116" si="5">N102-N108</f>
        <v>213616.3197059299</v>
      </c>
      <c r="O114" s="142"/>
      <c r="P114" s="160"/>
      <c r="Q114" s="160"/>
      <c r="R114" s="160"/>
      <c r="S114" s="69">
        <f>S102-S108</f>
        <v>1706297.5447185058</v>
      </c>
    </row>
    <row r="115" spans="1:23" customFormat="1" ht="12.75" customHeight="1" x14ac:dyDescent="0.25">
      <c r="B115" s="3" t="s">
        <v>450</v>
      </c>
      <c r="D115" s="3"/>
      <c r="E115" s="3"/>
      <c r="F115" s="42" t="s">
        <v>187</v>
      </c>
      <c r="G115" s="3"/>
      <c r="H115" s="3"/>
      <c r="I115" s="3"/>
      <c r="J115" s="58"/>
      <c r="L115" s="160"/>
      <c r="M115" s="69">
        <f t="shared" si="4"/>
        <v>354976.64397865091</v>
      </c>
      <c r="N115" s="69">
        <f t="shared" si="5"/>
        <v>215438.42773383</v>
      </c>
      <c r="O115" s="142"/>
      <c r="P115" s="160"/>
      <c r="Q115" s="160"/>
      <c r="R115" s="160"/>
      <c r="S115" s="69">
        <f>S103-S109</f>
        <v>1689441.8106290726</v>
      </c>
    </row>
    <row r="116" spans="1:23" customFormat="1" ht="12.75" customHeight="1" x14ac:dyDescent="0.25">
      <c r="B116" s="3" t="s">
        <v>451</v>
      </c>
      <c r="D116" s="3"/>
      <c r="E116" s="3"/>
      <c r="F116" s="42" t="s">
        <v>185</v>
      </c>
      <c r="G116" s="3"/>
      <c r="H116" s="3"/>
      <c r="I116" s="3"/>
      <c r="J116" s="57"/>
      <c r="L116" s="160"/>
      <c r="M116" s="69">
        <f t="shared" si="4"/>
        <v>350863.08117727668</v>
      </c>
      <c r="N116" s="69">
        <f t="shared" si="5"/>
        <v>215847.27532878373</v>
      </c>
      <c r="O116" s="142"/>
      <c r="P116" s="160"/>
      <c r="Q116" s="160"/>
      <c r="R116" s="160"/>
      <c r="S116" s="69">
        <f>S104-S110</f>
        <v>1679202.6136930268</v>
      </c>
    </row>
    <row r="117" spans="1:23" s="145" customFormat="1" ht="12.75" customHeight="1" x14ac:dyDescent="0.25">
      <c r="B117" s="3"/>
      <c r="D117" s="3"/>
      <c r="E117" s="3"/>
      <c r="G117" s="3"/>
      <c r="H117" s="3"/>
      <c r="I117" s="3"/>
      <c r="J117" s="81"/>
    </row>
    <row r="118" spans="1:23" s="145" customFormat="1" ht="12.75" customHeight="1" x14ac:dyDescent="0.25">
      <c r="B118" s="3" t="s">
        <v>332</v>
      </c>
      <c r="D118" s="3"/>
      <c r="E118" s="3"/>
      <c r="F118" s="88" t="s">
        <v>186</v>
      </c>
      <c r="G118" s="3"/>
      <c r="H118" s="3"/>
      <c r="I118" s="3"/>
      <c r="J118" s="81"/>
      <c r="L118" s="160"/>
      <c r="M118" s="102">
        <f t="shared" ref="M118:N120" si="6">M114</f>
        <v>350156.24007256003</v>
      </c>
      <c r="N118" s="102">
        <f t="shared" si="6"/>
        <v>213616.3197059299</v>
      </c>
      <c r="O118" s="142"/>
      <c r="P118" s="160"/>
      <c r="Q118" s="160"/>
      <c r="R118" s="160"/>
      <c r="S118" s="118">
        <f>0*S114</f>
        <v>0</v>
      </c>
      <c r="W118" s="3" t="s">
        <v>452</v>
      </c>
    </row>
    <row r="119" spans="1:23" s="145" customFormat="1" ht="12.75" customHeight="1" x14ac:dyDescent="0.25">
      <c r="B119" s="3" t="s">
        <v>333</v>
      </c>
      <c r="D119" s="3"/>
      <c r="E119" s="3"/>
      <c r="F119" s="88" t="s">
        <v>187</v>
      </c>
      <c r="G119" s="3"/>
      <c r="H119" s="3"/>
      <c r="I119" s="3"/>
      <c r="J119" s="81"/>
      <c r="L119" s="160"/>
      <c r="M119" s="102">
        <f t="shared" si="6"/>
        <v>354976.64397865091</v>
      </c>
      <c r="N119" s="102">
        <f t="shared" si="6"/>
        <v>215438.42773383</v>
      </c>
      <c r="O119" s="142"/>
      <c r="P119" s="160"/>
      <c r="Q119" s="160"/>
      <c r="R119" s="160"/>
      <c r="S119" s="118">
        <f>0*S115</f>
        <v>0</v>
      </c>
      <c r="W119" s="3" t="s">
        <v>453</v>
      </c>
    </row>
    <row r="120" spans="1:23" s="145" customFormat="1" ht="12.75" customHeight="1" x14ac:dyDescent="0.25">
      <c r="B120" s="3" t="s">
        <v>331</v>
      </c>
      <c r="D120" s="3"/>
      <c r="E120" s="3"/>
      <c r="F120" s="88" t="s">
        <v>185</v>
      </c>
      <c r="G120" s="3"/>
      <c r="H120" s="3"/>
      <c r="I120" s="3"/>
      <c r="J120" s="57"/>
      <c r="L120" s="160"/>
      <c r="M120" s="102">
        <f t="shared" si="6"/>
        <v>350863.08117727668</v>
      </c>
      <c r="N120" s="102">
        <f t="shared" si="6"/>
        <v>215847.27532878373</v>
      </c>
      <c r="O120" s="142"/>
      <c r="P120" s="160"/>
      <c r="Q120" s="160"/>
      <c r="R120" s="160"/>
      <c r="S120" s="118">
        <f>(4/12)*S116</f>
        <v>559734.20456434228</v>
      </c>
      <c r="W120" s="3" t="s">
        <v>454</v>
      </c>
    </row>
    <row r="121" spans="1:23" ht="12.75" customHeight="1" x14ac:dyDescent="0.25">
      <c r="L121" s="47"/>
      <c r="M121" s="47"/>
      <c r="N121" s="47"/>
      <c r="O121" s="47"/>
      <c r="P121" s="47"/>
      <c r="Q121" s="47"/>
      <c r="R121" s="47"/>
      <c r="S121" s="47"/>
    </row>
    <row r="122" spans="1:23" ht="12.75" customHeight="1" x14ac:dyDescent="0.25">
      <c r="B122" s="3" t="s">
        <v>334</v>
      </c>
      <c r="F122" s="3" t="s">
        <v>138</v>
      </c>
      <c r="H122" s="124">
        <f>Parameters!U33</f>
        <v>0.12486400000000009</v>
      </c>
      <c r="L122" s="47"/>
      <c r="M122" s="47"/>
      <c r="N122" s="47"/>
      <c r="O122" s="47"/>
      <c r="P122" s="47"/>
      <c r="Q122" s="47"/>
      <c r="R122" s="47"/>
      <c r="S122" s="47"/>
    </row>
    <row r="123" spans="1:23" ht="12.75" customHeight="1" x14ac:dyDescent="0.25">
      <c r="B123" s="3" t="s">
        <v>286</v>
      </c>
      <c r="F123" s="3" t="s">
        <v>138</v>
      </c>
      <c r="H123" s="124">
        <f>Parameters!U34</f>
        <v>8.1600000000000117E-2</v>
      </c>
      <c r="L123" s="47"/>
      <c r="M123" s="47"/>
      <c r="N123" s="47"/>
      <c r="O123" s="47"/>
      <c r="P123" s="47"/>
      <c r="Q123" s="47"/>
      <c r="R123" s="47"/>
      <c r="S123" s="47"/>
    </row>
    <row r="124" spans="1:23" ht="12.75" customHeight="1" x14ac:dyDescent="0.25">
      <c r="B124" s="3" t="s">
        <v>291</v>
      </c>
      <c r="F124" s="3" t="s">
        <v>138</v>
      </c>
      <c r="H124" s="124">
        <f>Parameters!U35</f>
        <v>4.0000000000000036E-2</v>
      </c>
      <c r="L124" s="47"/>
      <c r="M124" s="47"/>
      <c r="N124" s="47"/>
      <c r="O124" s="47"/>
      <c r="P124" s="47"/>
      <c r="Q124" s="47"/>
      <c r="R124" s="47"/>
      <c r="S124" s="47"/>
    </row>
    <row r="125" spans="1:23" ht="12.75" customHeight="1" x14ac:dyDescent="0.25">
      <c r="L125" s="47"/>
      <c r="M125" s="47"/>
      <c r="N125" s="47"/>
      <c r="O125" s="47"/>
      <c r="P125" s="47"/>
      <c r="Q125" s="47"/>
      <c r="R125" s="47"/>
      <c r="S125" s="47"/>
    </row>
    <row r="126" spans="1:23" ht="12.75" customHeight="1" x14ac:dyDescent="0.2">
      <c r="A126" s="169"/>
      <c r="B126" s="3" t="s">
        <v>335</v>
      </c>
      <c r="F126" s="42" t="s">
        <v>244</v>
      </c>
      <c r="L126" s="160"/>
      <c r="M126" s="69">
        <f>M118*(1+$H$122)</f>
        <v>393878.14883298019</v>
      </c>
      <c r="N126" s="69">
        <f>N118*(1+$H$122)</f>
        <v>240289.30784969113</v>
      </c>
      <c r="O126" s="142"/>
      <c r="P126" s="160"/>
      <c r="Q126" s="160"/>
      <c r="R126" s="160"/>
      <c r="S126" s="69">
        <f>S118*(1+$H$122)</f>
        <v>0</v>
      </c>
    </row>
    <row r="127" spans="1:23" ht="12.75" customHeight="1" x14ac:dyDescent="0.2">
      <c r="B127" s="3" t="s">
        <v>336</v>
      </c>
      <c r="F127" s="42" t="s">
        <v>244</v>
      </c>
      <c r="L127" s="160"/>
      <c r="M127" s="69">
        <f>M119*(1+$H$123)</f>
        <v>383942.7381273089</v>
      </c>
      <c r="N127" s="69">
        <f>N119*(1+$H$123)</f>
        <v>233018.20343691055</v>
      </c>
      <c r="O127" s="142"/>
      <c r="P127" s="160"/>
      <c r="Q127" s="160"/>
      <c r="R127" s="160"/>
      <c r="S127" s="69">
        <f>S119*(1+$H$123)</f>
        <v>0</v>
      </c>
    </row>
    <row r="128" spans="1:23" ht="12.75" customHeight="1" x14ac:dyDescent="0.2">
      <c r="B128" s="3" t="s">
        <v>337</v>
      </c>
      <c r="F128" s="42" t="s">
        <v>244</v>
      </c>
      <c r="L128" s="160"/>
      <c r="M128" s="69">
        <f>M120*(1+$H$124)</f>
        <v>364897.60442436778</v>
      </c>
      <c r="N128" s="69">
        <f>N120*(1+$H$124)</f>
        <v>224481.16634193508</v>
      </c>
      <c r="O128" s="142"/>
      <c r="P128" s="160"/>
      <c r="Q128" s="160"/>
      <c r="R128" s="160"/>
      <c r="S128" s="69">
        <f>S120*(1+$H$124)</f>
        <v>582123.57274691598</v>
      </c>
    </row>
    <row r="129" spans="1:19" ht="12.75" customHeight="1" x14ac:dyDescent="0.25"/>
    <row r="130" spans="1:19" ht="12.75" customHeight="1" x14ac:dyDescent="0.2">
      <c r="B130" s="3" t="s">
        <v>438</v>
      </c>
      <c r="F130" s="88" t="s">
        <v>244</v>
      </c>
      <c r="L130" s="160"/>
      <c r="M130" s="68">
        <f>SUM(M126:M128)</f>
        <v>1142718.4913846569</v>
      </c>
      <c r="N130" s="68">
        <f>SUM(N126:N128)</f>
        <v>697788.67762853671</v>
      </c>
      <c r="O130" s="160"/>
      <c r="P130" s="160"/>
      <c r="Q130" s="160"/>
      <c r="R130" s="160"/>
      <c r="S130" s="68">
        <f>SUM(S126:S128)</f>
        <v>582123.57274691598</v>
      </c>
    </row>
    <row r="131" spans="1:19" ht="12.75" customHeight="1" x14ac:dyDescent="0.25"/>
    <row r="132" spans="1:19" ht="12.75" customHeight="1" x14ac:dyDescent="0.25">
      <c r="A132" s="10"/>
    </row>
    <row r="133" spans="1:19" ht="12.75" customHeight="1" x14ac:dyDescent="0.25"/>
    <row r="134" spans="1:19" x14ac:dyDescent="0.25">
      <c r="M134" s="176"/>
      <c r="N134" s="176"/>
      <c r="O134" s="176"/>
      <c r="P134" s="176"/>
      <c r="Q134" s="176"/>
      <c r="R134" s="176"/>
      <c r="S134" s="176"/>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V88"/>
  <sheetViews>
    <sheetView showGridLines="0" zoomScale="85" zoomScaleNormal="85" workbookViewId="0">
      <pane xSplit="6" ySplit="18" topLeftCell="G19" activePane="bottomRight" state="frozen"/>
      <selection activeCell="Q51" sqref="Q51"/>
      <selection pane="topRight" activeCell="Q51" sqref="Q51"/>
      <selection pane="bottomLeft" activeCell="Q51" sqref="Q51"/>
      <selection pane="bottomRight" activeCell="G19" sqref="G19"/>
    </sheetView>
  </sheetViews>
  <sheetFormatPr defaultRowHeight="12.75" customHeight="1" x14ac:dyDescent="0.25"/>
  <cols>
    <col min="1" max="1" width="4" style="3" customWidth="1"/>
    <col min="2" max="2" width="41.42578125" style="3" customWidth="1"/>
    <col min="3" max="5" width="4.5703125" style="3" customWidth="1"/>
    <col min="6" max="6" width="13.7109375" style="3" customWidth="1"/>
    <col min="7" max="7" width="2.7109375" style="3" customWidth="1"/>
    <col min="8" max="8" width="13.7109375" style="3" customWidth="1"/>
    <col min="9" max="9" width="2.7109375" style="3" customWidth="1"/>
    <col min="10" max="10" width="13.7109375" style="3" customWidth="1"/>
    <col min="11" max="11" width="2.7109375" style="3" customWidth="1"/>
    <col min="12" max="13" width="12.5703125" style="47" customWidth="1"/>
    <col min="14" max="15" width="17" style="47" bestFit="1" customWidth="1"/>
    <col min="16" max="16" width="12.5703125" style="47" customWidth="1"/>
    <col min="17" max="17" width="17" style="47" bestFit="1" customWidth="1"/>
    <col min="18" max="19" width="12.5703125" style="47" customWidth="1"/>
    <col min="20" max="21" width="2.7109375" style="3" customWidth="1"/>
    <col min="22" max="36" width="13.7109375" style="3" customWidth="1"/>
    <col min="37" max="16384" width="9.140625" style="3"/>
  </cols>
  <sheetData>
    <row r="1" spans="1:19" ht="12.75" customHeight="1" x14ac:dyDescent="0.25">
      <c r="A1" s="10"/>
    </row>
    <row r="2" spans="1:19" s="28" customFormat="1" ht="18" x14ac:dyDescent="0.25">
      <c r="B2" s="28" t="s">
        <v>193</v>
      </c>
      <c r="L2" s="46"/>
      <c r="M2" s="46"/>
      <c r="N2" s="46"/>
      <c r="O2" s="46"/>
      <c r="P2" s="46"/>
      <c r="Q2" s="46"/>
      <c r="R2" s="46"/>
      <c r="S2" s="46"/>
    </row>
    <row r="4" spans="1:19" ht="12.75" customHeight="1" x14ac:dyDescent="0.25">
      <c r="B4" s="2" t="s">
        <v>58</v>
      </c>
      <c r="C4" s="2"/>
      <c r="D4" s="2"/>
      <c r="J4" s="40"/>
    </row>
    <row r="5" spans="1:19" ht="12.75" customHeight="1" x14ac:dyDescent="0.25">
      <c r="B5" s="35"/>
      <c r="C5" s="4"/>
      <c r="D5" s="4"/>
      <c r="H5" s="29"/>
    </row>
    <row r="6" spans="1:19" s="42" customFormat="1" ht="12.75" customHeight="1" x14ac:dyDescent="0.2">
      <c r="B6" s="42" t="s">
        <v>194</v>
      </c>
    </row>
    <row r="7" spans="1:19" s="42" customFormat="1" ht="12.75" customHeight="1" x14ac:dyDescent="0.2">
      <c r="B7" s="42" t="s">
        <v>292</v>
      </c>
    </row>
    <row r="8" spans="1:19" s="42" customFormat="1" ht="12.75" customHeight="1" x14ac:dyDescent="0.2">
      <c r="B8" s="42" t="s">
        <v>293</v>
      </c>
    </row>
    <row r="9" spans="1:19" s="42" customFormat="1" ht="12.75" customHeight="1" x14ac:dyDescent="0.2">
      <c r="B9" s="42" t="s">
        <v>195</v>
      </c>
    </row>
    <row r="10" spans="1:19" s="42" customFormat="1" ht="12.75" customHeight="1" x14ac:dyDescent="0.2">
      <c r="B10" s="42" t="s">
        <v>196</v>
      </c>
    </row>
    <row r="11" spans="1:19" s="42" customFormat="1" ht="12.75" customHeight="1" x14ac:dyDescent="0.2">
      <c r="B11" s="42" t="s">
        <v>197</v>
      </c>
    </row>
    <row r="12" spans="1:19" s="42" customFormat="1" ht="12.75" customHeight="1" x14ac:dyDescent="0.2">
      <c r="B12" s="133" t="s">
        <v>297</v>
      </c>
    </row>
    <row r="13" spans="1:19" s="42" customFormat="1" ht="12.75" customHeight="1" x14ac:dyDescent="0.2">
      <c r="B13" s="133" t="s">
        <v>294</v>
      </c>
    </row>
    <row r="14" spans="1:19" s="88" customFormat="1" ht="12.75" customHeight="1" x14ac:dyDescent="0.2">
      <c r="B14" s="133" t="s">
        <v>482</v>
      </c>
    </row>
    <row r="15" spans="1:19" s="42" customFormat="1" ht="12.75" customHeight="1" x14ac:dyDescent="0.2"/>
    <row r="17" spans="2:22" s="9" customFormat="1" ht="12.75" customHeight="1" x14ac:dyDescent="0.25">
      <c r="B17" s="9" t="s">
        <v>45</v>
      </c>
      <c r="F17" s="9" t="s">
        <v>27</v>
      </c>
      <c r="H17" s="9" t="s">
        <v>28</v>
      </c>
      <c r="J17" s="9" t="s">
        <v>49</v>
      </c>
      <c r="L17" s="48" t="s">
        <v>172</v>
      </c>
      <c r="M17" s="48" t="s">
        <v>65</v>
      </c>
      <c r="N17" s="48" t="s">
        <v>66</v>
      </c>
      <c r="O17" s="48" t="s">
        <v>67</v>
      </c>
      <c r="P17" s="48" t="s">
        <v>68</v>
      </c>
      <c r="Q17" s="48" t="s">
        <v>69</v>
      </c>
      <c r="R17" s="48" t="s">
        <v>70</v>
      </c>
      <c r="S17" s="48" t="s">
        <v>71</v>
      </c>
      <c r="V17" s="9" t="s">
        <v>47</v>
      </c>
    </row>
    <row r="20" spans="2:22" s="9" customFormat="1" x14ac:dyDescent="0.25">
      <c r="B20" s="9" t="s">
        <v>401</v>
      </c>
    </row>
    <row r="22" spans="2:22" ht="12.75" customHeight="1" x14ac:dyDescent="0.2">
      <c r="B22" s="3" t="s">
        <v>361</v>
      </c>
      <c r="F22" s="3" t="s">
        <v>404</v>
      </c>
      <c r="L22" s="102">
        <f>'Input richtbedragen'!L19</f>
        <v>532701.29699999734</v>
      </c>
      <c r="M22" s="102">
        <f>'Input richtbedragen'!M19</f>
        <v>1029264.81</v>
      </c>
      <c r="N22" s="102">
        <f>'Input richtbedragen'!N19</f>
        <v>10444121.318135591</v>
      </c>
      <c r="O22" s="102">
        <f>'Input richtbedragen'!O19</f>
        <v>10870240.24</v>
      </c>
      <c r="P22" s="102">
        <f>'Input richtbedragen'!P19</f>
        <v>368325.15</v>
      </c>
      <c r="Q22" s="102">
        <f>'Input richtbedragen'!Q19</f>
        <v>8221051.6499999994</v>
      </c>
      <c r="R22" s="102">
        <f>'Input richtbedragen'!R19</f>
        <v>623761.14999999991</v>
      </c>
      <c r="S22" s="142"/>
    </row>
    <row r="23" spans="2:22" ht="12.75" customHeight="1" x14ac:dyDescent="0.2">
      <c r="B23" s="3" t="s">
        <v>362</v>
      </c>
      <c r="F23" s="3" t="s">
        <v>405</v>
      </c>
      <c r="L23" s="102">
        <f>'Input richtbedragen'!L20</f>
        <v>572467.20999999903</v>
      </c>
      <c r="M23" s="102">
        <f>'Input richtbedragen'!M20</f>
        <v>1063322.1499999999</v>
      </c>
      <c r="N23" s="102">
        <f>'Input richtbedragen'!N20</f>
        <v>9617129.2651409041</v>
      </c>
      <c r="O23" s="102">
        <f>'Input richtbedragen'!O20</f>
        <v>9841317</v>
      </c>
      <c r="P23" s="102">
        <f>'Input richtbedragen'!P20</f>
        <v>395732.5</v>
      </c>
      <c r="Q23" s="102">
        <f>'Input richtbedragen'!Q20</f>
        <v>8657261.8999999985</v>
      </c>
      <c r="R23" s="102">
        <f>'Input richtbedragen'!R20</f>
        <v>430942.15</v>
      </c>
      <c r="S23" s="142"/>
    </row>
    <row r="24" spans="2:22" ht="12.75" customHeight="1" x14ac:dyDescent="0.2">
      <c r="B24" s="3" t="s">
        <v>363</v>
      </c>
      <c r="F24" s="3" t="s">
        <v>406</v>
      </c>
      <c r="L24" s="102">
        <f>'Input richtbedragen'!L21</f>
        <v>646173.90999999992</v>
      </c>
      <c r="M24" s="102">
        <f>'Input richtbedragen'!M21</f>
        <v>973967.9</v>
      </c>
      <c r="N24" s="102">
        <f>'Input richtbedragen'!N21</f>
        <v>9949851.6899997871</v>
      </c>
      <c r="O24" s="102">
        <f>'Input richtbedragen'!O21</f>
        <v>12015294.780000001</v>
      </c>
      <c r="P24" s="102">
        <f>'Input richtbedragen'!P21</f>
        <v>384793.25</v>
      </c>
      <c r="Q24" s="102">
        <f>'Input richtbedragen'!Q21</f>
        <v>11334314.370000001</v>
      </c>
      <c r="R24" s="102">
        <f>'Input richtbedragen'!R21</f>
        <v>480630.68</v>
      </c>
      <c r="S24" s="142"/>
    </row>
    <row r="26" spans="2:22" ht="12.75" customHeight="1" x14ac:dyDescent="0.25">
      <c r="B26" s="3" t="s">
        <v>364</v>
      </c>
      <c r="F26" s="3" t="s">
        <v>138</v>
      </c>
      <c r="H26" s="124">
        <f>'Input richtbedragen'!H23</f>
        <v>3.3007719701627636E-4</v>
      </c>
    </row>
    <row r="27" spans="2:22" ht="12.75" customHeight="1" x14ac:dyDescent="0.25">
      <c r="B27" s="3" t="s">
        <v>365</v>
      </c>
      <c r="F27" s="3" t="s">
        <v>138</v>
      </c>
      <c r="H27" s="109">
        <f>'Input richtbedragen'!H24</f>
        <v>1.2E-2</v>
      </c>
    </row>
    <row r="29" spans="2:22" ht="12.75" customHeight="1" x14ac:dyDescent="0.2">
      <c r="B29" s="3" t="s">
        <v>366</v>
      </c>
      <c r="F29" s="3" t="s">
        <v>184</v>
      </c>
      <c r="L29" s="102">
        <f>'Input richtbedragen'!L26</f>
        <v>4469797.0037227059</v>
      </c>
      <c r="M29" s="102">
        <f>'Input richtbedragen'!M26</f>
        <v>6214723.0918605244</v>
      </c>
      <c r="N29" s="102">
        <f>'Input richtbedragen'!N26</f>
        <v>72164106.861459926</v>
      </c>
      <c r="O29" s="102">
        <f>'Input richtbedragen'!O26</f>
        <v>81197409.838007689</v>
      </c>
      <c r="P29" s="102">
        <f>'Input richtbedragen'!P26</f>
        <v>3363222.481822182</v>
      </c>
      <c r="Q29" s="102">
        <f>'Input richtbedragen'!Q26</f>
        <v>59847252.093036763</v>
      </c>
      <c r="R29" s="102">
        <f>'Input richtbedragen'!R26</f>
        <v>2087895.8561172751</v>
      </c>
      <c r="S29" s="142"/>
    </row>
    <row r="30" spans="2:22" ht="12.75" customHeight="1" x14ac:dyDescent="0.2">
      <c r="B30" s="3" t="s">
        <v>367</v>
      </c>
      <c r="F30" s="3" t="s">
        <v>407</v>
      </c>
      <c r="L30" s="102">
        <f>'Input richtbedragen'!L27</f>
        <v>4862667.8971840777</v>
      </c>
      <c r="M30" s="102">
        <f>'Input richtbedragen'!M27</f>
        <v>6760972.6012204299</v>
      </c>
      <c r="N30" s="102">
        <f>'Input richtbedragen'!N27</f>
        <v>78506457.296749592</v>
      </c>
      <c r="O30" s="102">
        <f>'Input richtbedragen'!O27</f>
        <v>88334340.096959665</v>
      </c>
      <c r="P30" s="102">
        <f>'Input richtbedragen'!P27</f>
        <v>3658836.3979063458</v>
      </c>
      <c r="Q30" s="102">
        <f>'Input richtbedragen'!Q27</f>
        <v>65107588.170629077</v>
      </c>
      <c r="R30" s="102">
        <f>'Input richtbedragen'!R27</f>
        <v>2271413.6203266541</v>
      </c>
      <c r="S30" s="142"/>
    </row>
    <row r="32" spans="2:22" ht="12.75" customHeight="1" x14ac:dyDescent="0.25">
      <c r="B32" s="3" t="s">
        <v>368</v>
      </c>
      <c r="F32" s="3" t="s">
        <v>184</v>
      </c>
      <c r="H32" s="102">
        <f>'Input richtbedragen'!H29</f>
        <v>33573675.307985611</v>
      </c>
    </row>
    <row r="34" spans="2:19" s="9" customFormat="1" x14ac:dyDescent="0.25">
      <c r="B34" s="9" t="s">
        <v>402</v>
      </c>
    </row>
    <row r="36" spans="2:19" ht="12.75" customHeight="1" x14ac:dyDescent="0.2">
      <c r="B36" s="3" t="s">
        <v>376</v>
      </c>
      <c r="F36" s="3" t="s">
        <v>184</v>
      </c>
      <c r="L36" s="102">
        <f>'Input richtbedragen'!L33</f>
        <v>15725703.855824513</v>
      </c>
      <c r="M36" s="102">
        <f>'Input richtbedragen'!M33</f>
        <v>21302332.517037828</v>
      </c>
      <c r="N36" s="102">
        <f>'Input richtbedragen'!N33</f>
        <v>257201929.79485595</v>
      </c>
      <c r="O36" s="102">
        <f>'Input richtbedragen'!O33</f>
        <v>299464911.51838356</v>
      </c>
      <c r="P36" s="102">
        <f>'Input richtbedragen'!P33</f>
        <v>13710862.93933597</v>
      </c>
      <c r="Q36" s="102">
        <f>'Input richtbedragen'!Q33</f>
        <v>222697603.7810151</v>
      </c>
      <c r="R36" s="102">
        <f>'Input richtbedragen'!R33</f>
        <v>14042171.044573437</v>
      </c>
      <c r="S36" s="142"/>
    </row>
    <row r="37" spans="2:19" ht="12.75" customHeight="1" x14ac:dyDescent="0.2">
      <c r="B37" s="3" t="s">
        <v>377</v>
      </c>
      <c r="F37" s="3" t="s">
        <v>184</v>
      </c>
      <c r="L37" s="69">
        <f t="shared" ref="L37:R37" si="0">L29-L38</f>
        <v>3872565.8161509801</v>
      </c>
      <c r="M37" s="69">
        <f t="shared" si="0"/>
        <v>5168986.8708827561</v>
      </c>
      <c r="N37" s="69">
        <f t="shared" si="0"/>
        <v>61929919.602004454</v>
      </c>
      <c r="O37" s="69">
        <f t="shared" si="0"/>
        <v>70037115.593053773</v>
      </c>
      <c r="P37" s="69">
        <f t="shared" si="0"/>
        <v>2971448.9595859265</v>
      </c>
      <c r="Q37" s="69">
        <f t="shared" si="0"/>
        <v>50226368.641790539</v>
      </c>
      <c r="R37" s="69">
        <f t="shared" si="0"/>
        <v>1564326.4345730096</v>
      </c>
      <c r="S37" s="142"/>
    </row>
    <row r="38" spans="2:19" ht="12.75" customHeight="1" x14ac:dyDescent="0.2">
      <c r="B38" s="3" t="s">
        <v>378</v>
      </c>
      <c r="F38" s="3" t="s">
        <v>184</v>
      </c>
      <c r="L38" s="69">
        <f t="shared" ref="L38:R38" si="1">$H$32*SUM(L22:L24)/SUM($L$22:$S$24)</f>
        <v>597231.18757172558</v>
      </c>
      <c r="M38" s="69">
        <f t="shared" si="1"/>
        <v>1045736.2209777681</v>
      </c>
      <c r="N38" s="69">
        <f t="shared" si="1"/>
        <v>10234187.25945547</v>
      </c>
      <c r="O38" s="69">
        <f t="shared" si="1"/>
        <v>11160294.24495391</v>
      </c>
      <c r="P38" s="69">
        <f t="shared" si="1"/>
        <v>391773.52223625564</v>
      </c>
      <c r="Q38" s="69">
        <f t="shared" si="1"/>
        <v>9620883.4512462206</v>
      </c>
      <c r="R38" s="69">
        <f t="shared" si="1"/>
        <v>523569.42154426547</v>
      </c>
      <c r="S38" s="142"/>
    </row>
    <row r="39" spans="2:19" ht="12.75" customHeight="1" x14ac:dyDescent="0.2">
      <c r="B39" s="3" t="s">
        <v>379</v>
      </c>
      <c r="F39" s="3" t="s">
        <v>184</v>
      </c>
      <c r="L39" s="142"/>
      <c r="M39" s="102">
        <f>'Input richtbedragen'!M34</f>
        <v>1055707.1971594964</v>
      </c>
      <c r="N39" s="102">
        <f>'Input richtbedragen'!N34</f>
        <v>647568.45694419218</v>
      </c>
      <c r="O39" s="102">
        <f>'Input richtbedragen'!O34</f>
        <v>0</v>
      </c>
      <c r="P39" s="160"/>
      <c r="Q39" s="160"/>
      <c r="R39" s="160"/>
      <c r="S39" s="102">
        <f>'Input richtbedragen'!S34</f>
        <v>5086673.7044375269</v>
      </c>
    </row>
    <row r="40" spans="2:19" ht="12.75" customHeight="1" x14ac:dyDescent="0.25">
      <c r="B40" s="3" t="s">
        <v>380</v>
      </c>
      <c r="F40" s="3" t="s">
        <v>184</v>
      </c>
      <c r="L40" s="69">
        <f>SUM(L36:L39)</f>
        <v>20195500.85954722</v>
      </c>
      <c r="M40" s="69">
        <f t="shared" ref="M40:S40" si="2">SUM(M36:M39)</f>
        <v>28572762.806057848</v>
      </c>
      <c r="N40" s="69">
        <f t="shared" si="2"/>
        <v>330013605.11326003</v>
      </c>
      <c r="O40" s="69">
        <f t="shared" si="2"/>
        <v>380662321.35639125</v>
      </c>
      <c r="P40" s="69">
        <f t="shared" si="2"/>
        <v>17074085.42115815</v>
      </c>
      <c r="Q40" s="69">
        <f t="shared" si="2"/>
        <v>282544855.87405187</v>
      </c>
      <c r="R40" s="69">
        <f t="shared" si="2"/>
        <v>16130066.900690712</v>
      </c>
      <c r="S40" s="69">
        <f t="shared" si="2"/>
        <v>5086673.7044375269</v>
      </c>
    </row>
    <row r="42" spans="2:19" ht="12.75" customHeight="1" x14ac:dyDescent="0.2">
      <c r="B42" s="81" t="s">
        <v>369</v>
      </c>
      <c r="F42" s="81" t="s">
        <v>407</v>
      </c>
      <c r="H42" s="69">
        <f>H32*(1-H26)^5*(1+H27)^5</f>
        <v>35578249.527820371</v>
      </c>
    </row>
    <row r="44" spans="2:19" ht="12.75" customHeight="1" x14ac:dyDescent="0.2">
      <c r="B44" s="3" t="s">
        <v>381</v>
      </c>
      <c r="F44" s="3" t="s">
        <v>407</v>
      </c>
      <c r="L44" s="102">
        <f>'Input richtbedragen'!L36</f>
        <v>14989824.571676228</v>
      </c>
      <c r="M44" s="102">
        <f>'Input richtbedragen'!M36</f>
        <v>20354201.588207666</v>
      </c>
      <c r="N44" s="102">
        <f>'Input richtbedragen'!N36</f>
        <v>245290315.43734559</v>
      </c>
      <c r="O44" s="102">
        <f>'Input richtbedragen'!O36</f>
        <v>288144736.85341024</v>
      </c>
      <c r="P44" s="102">
        <f>'Input richtbedragen'!P36</f>
        <v>13206603.872515034</v>
      </c>
      <c r="Q44" s="102">
        <f>'Input richtbedragen'!Q36</f>
        <v>213723615.84802988</v>
      </c>
      <c r="R44" s="102">
        <f>'Input richtbedragen'!R36</f>
        <v>13385339.145880563</v>
      </c>
      <c r="S44" s="142"/>
    </row>
    <row r="45" spans="2:19" ht="12.75" customHeight="1" x14ac:dyDescent="0.2">
      <c r="B45" s="3" t="s">
        <v>382</v>
      </c>
      <c r="F45" s="3" t="s">
        <v>407</v>
      </c>
      <c r="L45" s="69">
        <f t="shared" ref="L45:R45" si="3">L30-L46</f>
        <v>4229777.9909613496</v>
      </c>
      <c r="M45" s="69">
        <f t="shared" si="3"/>
        <v>5652798.8946206793</v>
      </c>
      <c r="N45" s="69">
        <f t="shared" si="3"/>
        <v>67661220.226599544</v>
      </c>
      <c r="O45" s="69">
        <f t="shared" si="3"/>
        <v>76507701.225628689</v>
      </c>
      <c r="P45" s="69">
        <f t="shared" si="3"/>
        <v>3243671.3614708134</v>
      </c>
      <c r="Q45" s="69">
        <f t="shared" si="3"/>
        <v>54912273.270889759</v>
      </c>
      <c r="R45" s="69">
        <f t="shared" si="3"/>
        <v>1716583.5829846361</v>
      </c>
      <c r="S45" s="142"/>
    </row>
    <row r="46" spans="2:19" ht="12.75" customHeight="1" x14ac:dyDescent="0.2">
      <c r="B46" s="3" t="s">
        <v>383</v>
      </c>
      <c r="F46" s="3" t="s">
        <v>407</v>
      </c>
      <c r="L46" s="69">
        <f t="shared" ref="L46:R46" si="4">$H$42*SUM(L22:L24)/SUM($L$22:$S$24)</f>
        <v>632889.90622272843</v>
      </c>
      <c r="M46" s="69">
        <f t="shared" si="4"/>
        <v>1108173.7065997508</v>
      </c>
      <c r="N46" s="69">
        <f t="shared" si="4"/>
        <v>10845237.070150046</v>
      </c>
      <c r="O46" s="69">
        <f t="shared" si="4"/>
        <v>11826638.871330982</v>
      </c>
      <c r="P46" s="69">
        <f t="shared" si="4"/>
        <v>415165.03643553256</v>
      </c>
      <c r="Q46" s="69">
        <f t="shared" si="4"/>
        <v>10195314.899739316</v>
      </c>
      <c r="R46" s="69">
        <f t="shared" si="4"/>
        <v>554830.0373420181</v>
      </c>
      <c r="S46" s="142"/>
    </row>
    <row r="47" spans="2:19" ht="12.75" customHeight="1" x14ac:dyDescent="0.25">
      <c r="B47" s="3" t="s">
        <v>384</v>
      </c>
      <c r="F47" s="3" t="s">
        <v>407</v>
      </c>
      <c r="L47" s="160"/>
      <c r="M47" s="102">
        <f>'Input richtbedragen'!M37</f>
        <v>1001291.2281927696</v>
      </c>
      <c r="N47" s="102">
        <f>'Input richtbedragen'!N37</f>
        <v>614189.82208054967</v>
      </c>
      <c r="O47" s="102">
        <f>'Input richtbedragen'!O37</f>
        <v>0</v>
      </c>
      <c r="P47" s="160"/>
      <c r="Q47" s="160"/>
      <c r="R47" s="160"/>
      <c r="S47" s="102">
        <f>'Input richtbedragen'!S37</f>
        <v>4824483.3175676726</v>
      </c>
    </row>
    <row r="48" spans="2:19" ht="12.75" customHeight="1" x14ac:dyDescent="0.25">
      <c r="B48" s="3" t="s">
        <v>385</v>
      </c>
      <c r="F48" s="3" t="s">
        <v>407</v>
      </c>
      <c r="L48" s="69">
        <f>SUM(L44:L47)</f>
        <v>19852492.468860306</v>
      </c>
      <c r="M48" s="69">
        <f t="shared" ref="M48:S48" si="5">SUM(M44:M47)</f>
        <v>28116465.417620864</v>
      </c>
      <c r="N48" s="69">
        <f t="shared" si="5"/>
        <v>324410962.55617571</v>
      </c>
      <c r="O48" s="69">
        <f t="shared" si="5"/>
        <v>376479076.95036989</v>
      </c>
      <c r="P48" s="69">
        <f t="shared" si="5"/>
        <v>16865440.270421378</v>
      </c>
      <c r="Q48" s="69">
        <f t="shared" si="5"/>
        <v>278831204.01865894</v>
      </c>
      <c r="R48" s="69">
        <f t="shared" si="5"/>
        <v>15656752.766207216</v>
      </c>
      <c r="S48" s="69">
        <f t="shared" si="5"/>
        <v>4824483.3175676726</v>
      </c>
    </row>
    <row r="50" spans="2:19" s="9" customFormat="1" x14ac:dyDescent="0.25">
      <c r="B50" s="9" t="s">
        <v>403</v>
      </c>
    </row>
    <row r="52" spans="2:19" ht="12.75" customHeight="1" x14ac:dyDescent="0.25">
      <c r="B52" s="3" t="s">
        <v>199</v>
      </c>
      <c r="F52" s="3" t="s">
        <v>138</v>
      </c>
      <c r="L52" s="110">
        <f>L36/L$40</f>
        <v>0.77867362464498346</v>
      </c>
      <c r="M52" s="110">
        <f t="shared" ref="M52:R52" si="6">M36/M$40</f>
        <v>0.74554682239273751</v>
      </c>
      <c r="N52" s="110">
        <f t="shared" si="6"/>
        <v>0.77936765578675082</v>
      </c>
      <c r="O52" s="110">
        <f t="shared" si="6"/>
        <v>0.78669438690784577</v>
      </c>
      <c r="P52" s="110">
        <f t="shared" si="6"/>
        <v>0.80302180767735376</v>
      </c>
      <c r="Q52" s="110">
        <f t="shared" si="6"/>
        <v>0.78818495241083253</v>
      </c>
      <c r="R52" s="110">
        <f t="shared" si="6"/>
        <v>0.87055876029702839</v>
      </c>
      <c r="S52" s="110">
        <f t="shared" ref="S52" si="7">S36/S$40</f>
        <v>0</v>
      </c>
    </row>
    <row r="53" spans="2:19" ht="12.75" customHeight="1" x14ac:dyDescent="0.25">
      <c r="B53" s="3" t="s">
        <v>200</v>
      </c>
      <c r="F53" s="3" t="s">
        <v>138</v>
      </c>
      <c r="L53" s="110">
        <f t="shared" ref="L53:R55" si="8">L37/L$40</f>
        <v>0.19175388830825968</v>
      </c>
      <c r="M53" s="110">
        <f t="shared" si="8"/>
        <v>0.1809060924898328</v>
      </c>
      <c r="N53" s="110">
        <f t="shared" si="8"/>
        <v>0.18765868631612997</v>
      </c>
      <c r="O53" s="110">
        <f t="shared" si="8"/>
        <v>0.18398751771253513</v>
      </c>
      <c r="P53" s="110">
        <f t="shared" si="8"/>
        <v>0.17403268674664804</v>
      </c>
      <c r="Q53" s="110">
        <f t="shared" si="8"/>
        <v>0.17776422963502692</v>
      </c>
      <c r="R53" s="110">
        <f t="shared" si="8"/>
        <v>9.6982017756294794E-2</v>
      </c>
      <c r="S53" s="110">
        <f t="shared" ref="S53" si="9">S37/S$40</f>
        <v>0</v>
      </c>
    </row>
    <row r="54" spans="2:19" ht="12.75" customHeight="1" x14ac:dyDescent="0.25">
      <c r="B54" s="3" t="s">
        <v>201</v>
      </c>
      <c r="F54" s="3" t="s">
        <v>138</v>
      </c>
      <c r="L54" s="110">
        <f t="shared" si="8"/>
        <v>2.957248704675678E-2</v>
      </c>
      <c r="M54" s="110">
        <f t="shared" si="8"/>
        <v>3.6599058623622373E-2</v>
      </c>
      <c r="N54" s="110">
        <f t="shared" si="8"/>
        <v>3.1011410138509644E-2</v>
      </c>
      <c r="O54" s="110">
        <f t="shared" si="8"/>
        <v>2.9318095379619137E-2</v>
      </c>
      <c r="P54" s="110">
        <f t="shared" si="8"/>
        <v>2.2945505575998303E-2</v>
      </c>
      <c r="Q54" s="110">
        <f t="shared" si="8"/>
        <v>3.4050817954140555E-2</v>
      </c>
      <c r="R54" s="110">
        <f t="shared" si="8"/>
        <v>3.2459221946676831E-2</v>
      </c>
      <c r="S54" s="110">
        <f t="shared" ref="S54" si="10">S38/S$40</f>
        <v>0</v>
      </c>
    </row>
    <row r="55" spans="2:19" ht="12.75" customHeight="1" x14ac:dyDescent="0.25">
      <c r="B55" s="3" t="s">
        <v>202</v>
      </c>
      <c r="F55" s="3" t="s">
        <v>138</v>
      </c>
      <c r="L55" s="110">
        <f t="shared" si="8"/>
        <v>0</v>
      </c>
      <c r="M55" s="110">
        <f t="shared" si="8"/>
        <v>3.6948026493807275E-2</v>
      </c>
      <c r="N55" s="110">
        <f t="shared" si="8"/>
        <v>1.9622477586096728E-3</v>
      </c>
      <c r="O55" s="110">
        <f t="shared" si="8"/>
        <v>0</v>
      </c>
      <c r="P55" s="110">
        <f t="shared" si="8"/>
        <v>0</v>
      </c>
      <c r="Q55" s="110">
        <f t="shared" si="8"/>
        <v>0</v>
      </c>
      <c r="R55" s="110">
        <f t="shared" si="8"/>
        <v>0</v>
      </c>
      <c r="S55" s="110">
        <f t="shared" ref="S55" si="11">S39/S$40</f>
        <v>1</v>
      </c>
    </row>
    <row r="57" spans="2:19" ht="12.75" customHeight="1" x14ac:dyDescent="0.25">
      <c r="B57" s="3" t="s">
        <v>203</v>
      </c>
      <c r="F57" s="3" t="s">
        <v>138</v>
      </c>
      <c r="L57" s="110">
        <f>L44/L$48</f>
        <v>0.75506008100436595</v>
      </c>
      <c r="M57" s="110">
        <f t="shared" ref="M57:S57" si="12">M44/M$48</f>
        <v>0.72392462160096016</v>
      </c>
      <c r="N57" s="110">
        <f t="shared" si="12"/>
        <v>0.75610982287588568</v>
      </c>
      <c r="O57" s="110">
        <f t="shared" si="12"/>
        <v>0.76536719965289202</v>
      </c>
      <c r="P57" s="110">
        <f t="shared" si="12"/>
        <v>0.78305716665320535</v>
      </c>
      <c r="Q57" s="110">
        <f t="shared" si="12"/>
        <v>0.76649819951187326</v>
      </c>
      <c r="R57" s="110">
        <f t="shared" si="12"/>
        <v>0.85492434770834713</v>
      </c>
      <c r="S57" s="110">
        <f t="shared" si="12"/>
        <v>0</v>
      </c>
    </row>
    <row r="58" spans="2:19" ht="12.75" customHeight="1" x14ac:dyDescent="0.25">
      <c r="B58" s="3" t="s">
        <v>204</v>
      </c>
      <c r="F58" s="3" t="s">
        <v>138</v>
      </c>
      <c r="L58" s="110">
        <f t="shared" ref="L58:S60" si="13">L45/L$48</f>
        <v>0.21306029948612157</v>
      </c>
      <c r="M58" s="110">
        <f t="shared" si="13"/>
        <v>0.20104941395222511</v>
      </c>
      <c r="N58" s="110">
        <f t="shared" si="13"/>
        <v>0.20856638041287887</v>
      </c>
      <c r="O58" s="110">
        <f t="shared" si="13"/>
        <v>0.20321899916821798</v>
      </c>
      <c r="P58" s="110">
        <f t="shared" si="13"/>
        <v>0.19232651561190292</v>
      </c>
      <c r="Q58" s="110">
        <f t="shared" si="13"/>
        <v>0.19693733154491244</v>
      </c>
      <c r="R58" s="110">
        <f t="shared" si="13"/>
        <v>0.10963854437873144</v>
      </c>
      <c r="S58" s="110">
        <f t="shared" si="13"/>
        <v>0</v>
      </c>
    </row>
    <row r="59" spans="2:19" ht="12.75" customHeight="1" x14ac:dyDescent="0.25">
      <c r="B59" s="3" t="s">
        <v>205</v>
      </c>
      <c r="F59" s="3" t="s">
        <v>138</v>
      </c>
      <c r="L59" s="110">
        <f t="shared" si="13"/>
        <v>3.1879619509512472E-2</v>
      </c>
      <c r="M59" s="110">
        <f t="shared" si="13"/>
        <v>3.941369194668571E-2</v>
      </c>
      <c r="N59" s="110">
        <f t="shared" si="13"/>
        <v>3.3430550511288779E-2</v>
      </c>
      <c r="O59" s="110">
        <f t="shared" si="13"/>
        <v>3.1413801178890088E-2</v>
      </c>
      <c r="P59" s="110">
        <f t="shared" si="13"/>
        <v>2.4616317734891827E-2</v>
      </c>
      <c r="Q59" s="110">
        <f t="shared" si="13"/>
        <v>3.6564468943214336E-2</v>
      </c>
      <c r="R59" s="110">
        <f t="shared" si="13"/>
        <v>3.5437107912921546E-2</v>
      </c>
      <c r="S59" s="110">
        <f t="shared" si="13"/>
        <v>0</v>
      </c>
    </row>
    <row r="60" spans="2:19" ht="12.75" customHeight="1" x14ac:dyDescent="0.25">
      <c r="B60" s="3" t="s">
        <v>206</v>
      </c>
      <c r="F60" s="3" t="s">
        <v>138</v>
      </c>
      <c r="L60" s="110">
        <f t="shared" si="13"/>
        <v>0</v>
      </c>
      <c r="M60" s="110">
        <f t="shared" si="13"/>
        <v>3.561227250012907E-2</v>
      </c>
      <c r="N60" s="110">
        <f t="shared" si="13"/>
        <v>1.8932461999467581E-3</v>
      </c>
      <c r="O60" s="110">
        <f t="shared" si="13"/>
        <v>0</v>
      </c>
      <c r="P60" s="110">
        <f t="shared" si="13"/>
        <v>0</v>
      </c>
      <c r="Q60" s="110">
        <f t="shared" si="13"/>
        <v>0</v>
      </c>
      <c r="R60" s="110">
        <f t="shared" si="13"/>
        <v>0</v>
      </c>
      <c r="S60" s="110">
        <f t="shared" si="13"/>
        <v>1</v>
      </c>
    </row>
    <row r="62" spans="2:19" ht="12.75" customHeight="1" x14ac:dyDescent="0.25">
      <c r="B62" s="3" t="s">
        <v>439</v>
      </c>
      <c r="F62" s="3" t="s">
        <v>138</v>
      </c>
      <c r="L62" s="110">
        <f>(1/5)*L52+(4/5)*L57</f>
        <v>0.75978278973248958</v>
      </c>
      <c r="M62" s="110">
        <f t="shared" ref="M62:O62" si="14">(1/5)*M52+(4/5)*M57</f>
        <v>0.7282490617593157</v>
      </c>
      <c r="N62" s="110">
        <f t="shared" si="14"/>
        <v>0.76076138945805871</v>
      </c>
      <c r="O62" s="110">
        <f t="shared" si="14"/>
        <v>0.76963263710388286</v>
      </c>
      <c r="P62" s="110">
        <f>(1/5)*P52+(4/5)*P57</f>
        <v>0.78705009485803512</v>
      </c>
      <c r="Q62" s="110">
        <f t="shared" ref="Q62:S62" si="15">(1/5)*Q52+(4/5)*Q57</f>
        <v>0.77083555009166516</v>
      </c>
      <c r="R62" s="110">
        <f t="shared" si="15"/>
        <v>0.85805123022608343</v>
      </c>
      <c r="S62" s="110">
        <f t="shared" si="15"/>
        <v>0</v>
      </c>
    </row>
    <row r="63" spans="2:19" ht="12.75" customHeight="1" x14ac:dyDescent="0.25">
      <c r="B63" s="3" t="s">
        <v>440</v>
      </c>
      <c r="F63" s="3" t="s">
        <v>138</v>
      </c>
      <c r="L63" s="110">
        <f t="shared" ref="L63:O65" si="16">(1/5)*L53+(4/5)*L58</f>
        <v>0.2087990172505492</v>
      </c>
      <c r="M63" s="110">
        <f t="shared" si="16"/>
        <v>0.19702074965974667</v>
      </c>
      <c r="N63" s="110">
        <f t="shared" si="16"/>
        <v>0.2043848415935291</v>
      </c>
      <c r="O63" s="110">
        <f t="shared" si="16"/>
        <v>0.19937270287708142</v>
      </c>
      <c r="P63" s="110">
        <f t="shared" ref="P63:S63" si="17">(1/5)*P53+(4/5)*P58</f>
        <v>0.18866774983885196</v>
      </c>
      <c r="Q63" s="110">
        <f t="shared" si="17"/>
        <v>0.19310271116293534</v>
      </c>
      <c r="R63" s="110">
        <f t="shared" si="17"/>
        <v>0.10710723905424412</v>
      </c>
      <c r="S63" s="110">
        <f t="shared" si="17"/>
        <v>0</v>
      </c>
    </row>
    <row r="64" spans="2:19" ht="12.75" customHeight="1" x14ac:dyDescent="0.25">
      <c r="B64" s="3" t="s">
        <v>441</v>
      </c>
      <c r="F64" s="3" t="s">
        <v>138</v>
      </c>
      <c r="L64" s="110">
        <f t="shared" si="16"/>
        <v>3.1418193016961332E-2</v>
      </c>
      <c r="M64" s="110">
        <f t="shared" si="16"/>
        <v>3.8850765282073048E-2</v>
      </c>
      <c r="N64" s="110">
        <f t="shared" si="16"/>
        <v>3.2946722436732953E-2</v>
      </c>
      <c r="O64" s="110">
        <f t="shared" si="16"/>
        <v>3.0994660019035898E-2</v>
      </c>
      <c r="P64" s="110">
        <f t="shared" ref="P64:S64" si="18">(1/5)*P54+(4/5)*P59</f>
        <v>2.4282155303113125E-2</v>
      </c>
      <c r="Q64" s="110">
        <f t="shared" si="18"/>
        <v>3.6061738745399578E-2</v>
      </c>
      <c r="R64" s="110">
        <f t="shared" si="18"/>
        <v>3.4841530719672609E-2</v>
      </c>
      <c r="S64" s="110">
        <f t="shared" si="18"/>
        <v>0</v>
      </c>
    </row>
    <row r="65" spans="2:19" ht="12.75" customHeight="1" x14ac:dyDescent="0.25">
      <c r="B65" s="3" t="s">
        <v>442</v>
      </c>
      <c r="F65" s="3" t="s">
        <v>138</v>
      </c>
      <c r="L65" s="110">
        <f t="shared" si="16"/>
        <v>0</v>
      </c>
      <c r="M65" s="110">
        <f t="shared" si="16"/>
        <v>3.5879423298864711E-2</v>
      </c>
      <c r="N65" s="110">
        <f t="shared" si="16"/>
        <v>1.9070465116793412E-3</v>
      </c>
      <c r="O65" s="110">
        <f t="shared" si="16"/>
        <v>0</v>
      </c>
      <c r="P65" s="110">
        <f t="shared" ref="P65:S65" si="19">(1/5)*P55+(4/5)*P60</f>
        <v>0</v>
      </c>
      <c r="Q65" s="110">
        <f t="shared" si="19"/>
        <v>0</v>
      </c>
      <c r="R65" s="110">
        <f t="shared" si="19"/>
        <v>0</v>
      </c>
      <c r="S65" s="110">
        <f t="shared" si="19"/>
        <v>1</v>
      </c>
    </row>
    <row r="67" spans="2:19" s="9" customFormat="1" x14ac:dyDescent="0.25">
      <c r="B67" s="9" t="s">
        <v>193</v>
      </c>
    </row>
    <row r="69" spans="2:19" ht="12.75" customHeight="1" x14ac:dyDescent="0.2">
      <c r="B69" s="3" t="s">
        <v>245</v>
      </c>
      <c r="F69" s="88" t="s">
        <v>244</v>
      </c>
      <c r="L69" s="102">
        <f>'TI-berekening 2020'!L23</f>
        <v>20260515.39669887</v>
      </c>
      <c r="M69" s="102">
        <f>'TI-berekening 2020'!M23</f>
        <v>28687667.221465513</v>
      </c>
      <c r="N69" s="102">
        <f>'TI-berekening 2020'!N23</f>
        <v>331076004.20597899</v>
      </c>
      <c r="O69" s="102">
        <f>'TI-berekening 2020'!O23</f>
        <v>383723298.63060874</v>
      </c>
      <c r="P69" s="102">
        <f>'TI-berekening 2020'!P23</f>
        <v>17197618.336512819</v>
      </c>
      <c r="Q69" s="102">
        <f>'TI-berekening 2020'!Q23</f>
        <v>284361895.7121824</v>
      </c>
      <c r="R69" s="102">
        <f>'TI-berekening 2020'!R23</f>
        <v>16020901.197355723</v>
      </c>
      <c r="S69" s="102">
        <f>'TI-berekening 2020'!S23</f>
        <v>4959765.950597656</v>
      </c>
    </row>
    <row r="70" spans="2:19" ht="12.75" customHeight="1" x14ac:dyDescent="0.2">
      <c r="F70" s="88"/>
    </row>
    <row r="71" spans="2:19" ht="12.75" customHeight="1" x14ac:dyDescent="0.2">
      <c r="B71" s="3" t="s">
        <v>247</v>
      </c>
      <c r="F71" s="88" t="s">
        <v>244</v>
      </c>
      <c r="L71" s="102">
        <f>'TI-berekening 2020'!L27</f>
        <v>-492.87946298716076</v>
      </c>
      <c r="M71" s="102">
        <f>'TI-berekening 2020'!M27</f>
        <v>9438.4102312379127</v>
      </c>
      <c r="N71" s="102">
        <f>'TI-berekening 2020'!N27</f>
        <v>832902.57601802761</v>
      </c>
      <c r="O71" s="102">
        <f>'TI-berekening 2020'!O27</f>
        <v>33358767.659910399</v>
      </c>
      <c r="P71" s="102">
        <f>'TI-berekening 2020'!P27</f>
        <v>-295980.35057751386</v>
      </c>
      <c r="Q71" s="102">
        <f>'TI-berekening 2020'!Q27</f>
        <v>13123345.848129392</v>
      </c>
      <c r="R71" s="102">
        <f>'TI-berekening 2020'!R27</f>
        <v>10858.194917471505</v>
      </c>
      <c r="S71" s="102">
        <f>'TI-berekening 2020'!S27</f>
        <v>0</v>
      </c>
    </row>
    <row r="72" spans="2:19" ht="12.75" customHeight="1" x14ac:dyDescent="0.2">
      <c r="B72" s="3" t="s">
        <v>252</v>
      </c>
      <c r="F72" s="88" t="s">
        <v>244</v>
      </c>
      <c r="L72" s="102">
        <f>'TI-berekening 2020'!L28</f>
        <v>520</v>
      </c>
      <c r="M72" s="102">
        <f>'TI-berekening 2020'!M28</f>
        <v>0</v>
      </c>
      <c r="N72" s="102">
        <f>'TI-berekening 2020'!N28</f>
        <v>260234.75651621533</v>
      </c>
      <c r="O72" s="102">
        <f>'TI-berekening 2020'!O28</f>
        <v>62318.880000000012</v>
      </c>
      <c r="P72" s="102">
        <f>'TI-berekening 2020'!P28</f>
        <v>16147.064266666668</v>
      </c>
      <c r="Q72" s="102">
        <f>'TI-berekening 2020'!Q28</f>
        <v>15771.946040557468</v>
      </c>
      <c r="R72" s="102">
        <f>'TI-berekening 2020'!R28</f>
        <v>0</v>
      </c>
      <c r="S72" s="102">
        <f>'TI-berekening 2020'!S28</f>
        <v>0</v>
      </c>
    </row>
    <row r="73" spans="2:19" ht="12.75" customHeight="1" x14ac:dyDescent="0.2">
      <c r="B73" s="3" t="s">
        <v>324</v>
      </c>
      <c r="F73" s="88" t="s">
        <v>244</v>
      </c>
      <c r="L73" s="102">
        <f>'TI-berekening 2020'!L29</f>
        <v>12269.007379200002</v>
      </c>
      <c r="M73" s="102">
        <f>'TI-berekening 2020'!M29</f>
        <v>19989.136344320003</v>
      </c>
      <c r="N73" s="102">
        <f>'TI-berekening 2020'!N29</f>
        <v>376129.78411008004</v>
      </c>
      <c r="O73" s="102">
        <f>'TI-berekening 2020'!O29</f>
        <v>565898.75513599999</v>
      </c>
      <c r="P73" s="102">
        <f>'TI-berekening 2020'!P29</f>
        <v>13918.407360000001</v>
      </c>
      <c r="Q73" s="102">
        <f>'TI-berekening 2020'!Q29</f>
        <v>339533.57316736004</v>
      </c>
      <c r="R73" s="102">
        <f>'TI-berekening 2020'!R29</f>
        <v>8229.6591520000002</v>
      </c>
      <c r="S73" s="102">
        <f>'TI-berekening 2020'!S29</f>
        <v>0</v>
      </c>
    </row>
    <row r="74" spans="2:19" ht="12.75" customHeight="1" x14ac:dyDescent="0.2">
      <c r="B74" s="3" t="s">
        <v>429</v>
      </c>
      <c r="F74" s="88" t="s">
        <v>244</v>
      </c>
      <c r="L74" s="102">
        <f>'TI-berekening 2020'!L30</f>
        <v>326249.33635196713</v>
      </c>
      <c r="M74" s="102">
        <f>'TI-berekening 2020'!M30</f>
        <v>473608.93235481577</v>
      </c>
      <c r="N74" s="102">
        <f>'TI-berekening 2020'!N30</f>
        <v>5967120.9689551992</v>
      </c>
      <c r="O74" s="102">
        <f>'TI-berekening 2020'!O30</f>
        <v>6143518.5200805049</v>
      </c>
      <c r="P74" s="102">
        <f>'TI-berekening 2020'!P30</f>
        <v>252673.24128268484</v>
      </c>
      <c r="Q74" s="102">
        <f>'TI-berekening 2020'!Q30</f>
        <v>4750061.384419743</v>
      </c>
      <c r="R74" s="102">
        <f>'TI-berekening 2020'!R30</f>
        <v>888028.41441533214</v>
      </c>
      <c r="S74" s="102">
        <f>'TI-berekening 2020'!S30</f>
        <v>0</v>
      </c>
    </row>
    <row r="75" spans="2:19" ht="12.75" customHeight="1" x14ac:dyDescent="0.2">
      <c r="B75" s="3" t="s">
        <v>446</v>
      </c>
      <c r="F75" s="88" t="s">
        <v>244</v>
      </c>
      <c r="L75" s="102">
        <f>'TI-berekening 2020'!L31</f>
        <v>164237.35020746524</v>
      </c>
      <c r="M75" s="102">
        <f>'TI-berekening 2020'!M31</f>
        <v>328110.94258486771</v>
      </c>
      <c r="N75" s="102">
        <f>'TI-berekening 2020'!N31</f>
        <v>4897775.1602981715</v>
      </c>
      <c r="O75" s="102">
        <f>'TI-berekening 2020'!O31</f>
        <v>5473439.6628916403</v>
      </c>
      <c r="P75" s="102">
        <f>'TI-berekening 2020'!P31</f>
        <v>149121.35877188097</v>
      </c>
      <c r="Q75" s="102">
        <f>'TI-berekening 2020'!Q31</f>
        <v>3533466.1432848517</v>
      </c>
      <c r="R75" s="102">
        <f>'TI-berekening 2020'!R31</f>
        <v>896128.71122506948</v>
      </c>
      <c r="S75" s="102">
        <f>'TI-berekening 2020'!S31</f>
        <v>-28799.531000000003</v>
      </c>
    </row>
    <row r="76" spans="2:19" ht="12.75" customHeight="1" x14ac:dyDescent="0.2">
      <c r="B76" s="3" t="s">
        <v>447</v>
      </c>
      <c r="F76" s="88" t="s">
        <v>244</v>
      </c>
      <c r="L76" s="102">
        <f>'TI-berekening 2020'!L32</f>
        <v>266845.35312346061</v>
      </c>
      <c r="M76" s="102">
        <f>'TI-berekening 2020'!M32</f>
        <v>86673.023462579993</v>
      </c>
      <c r="N76" s="102">
        <f>'TI-berekening 2020'!N32</f>
        <v>1777283.5428935299</v>
      </c>
      <c r="O76" s="102">
        <f>'TI-berekening 2020'!O32</f>
        <v>1519796.5786638465</v>
      </c>
      <c r="P76" s="102">
        <f>'TI-berekening 2020'!P32</f>
        <v>123343.83574021969</v>
      </c>
      <c r="Q76" s="102">
        <f>'TI-berekening 2020'!Q32</f>
        <v>1698471.3933386588</v>
      </c>
      <c r="R76" s="102">
        <f>'TI-berekening 2020'!R32</f>
        <v>105908.99450114986</v>
      </c>
      <c r="S76" s="102">
        <f>'TI-berekening 2020'!S32</f>
        <v>0</v>
      </c>
    </row>
    <row r="77" spans="2:19" ht="12.75" customHeight="1" x14ac:dyDescent="0.2">
      <c r="B77" s="3" t="s">
        <v>248</v>
      </c>
      <c r="F77" s="88" t="s">
        <v>244</v>
      </c>
      <c r="L77" s="102">
        <f>'TI-berekening 2020'!L33</f>
        <v>0</v>
      </c>
      <c r="M77" s="102">
        <f>'TI-berekening 2020'!M33</f>
        <v>0</v>
      </c>
      <c r="N77" s="102">
        <f>'TI-berekening 2020'!N33</f>
        <v>3062685.1844650782</v>
      </c>
      <c r="O77" s="102">
        <f>'TI-berekening 2020'!O33</f>
        <v>0</v>
      </c>
      <c r="P77" s="102">
        <f>'TI-berekening 2020'!P33</f>
        <v>0</v>
      </c>
      <c r="Q77" s="102">
        <f>'TI-berekening 2020'!Q33</f>
        <v>-3062685.1844650782</v>
      </c>
      <c r="R77" s="102">
        <f>'TI-berekening 2020'!R33</f>
        <v>0</v>
      </c>
      <c r="S77" s="102">
        <f>'TI-berekening 2020'!S33</f>
        <v>0</v>
      </c>
    </row>
    <row r="78" spans="2:19" ht="12.75" customHeight="1" x14ac:dyDescent="0.2">
      <c r="B78" s="3" t="s">
        <v>437</v>
      </c>
      <c r="F78" s="88" t="s">
        <v>244</v>
      </c>
      <c r="L78" s="102">
        <f>'TI-berekening 2020'!L34</f>
        <v>0</v>
      </c>
      <c r="M78" s="102">
        <f>'TI-berekening 2020'!M34</f>
        <v>1142718.4913846569</v>
      </c>
      <c r="N78" s="102">
        <f>'TI-berekening 2020'!N34</f>
        <v>697788.67762853671</v>
      </c>
      <c r="O78" s="102">
        <f>'TI-berekening 2020'!O34</f>
        <v>0</v>
      </c>
      <c r="P78" s="102">
        <f>'TI-berekening 2020'!P34</f>
        <v>0</v>
      </c>
      <c r="Q78" s="102">
        <f>'TI-berekening 2020'!Q34</f>
        <v>0</v>
      </c>
      <c r="R78" s="102">
        <f>'TI-berekening 2020'!R34</f>
        <v>0</v>
      </c>
      <c r="S78" s="102">
        <f>'TI-berekening 2020'!S34</f>
        <v>582123.57274691598</v>
      </c>
    </row>
    <row r="80" spans="2:19" ht="12.75" customHeight="1" x14ac:dyDescent="0.2">
      <c r="B80" s="3" t="s">
        <v>478</v>
      </c>
      <c r="F80" s="88" t="s">
        <v>244</v>
      </c>
      <c r="L80" s="69">
        <f>SUM(L69,L71:L73,L77)</f>
        <v>20272811.524615083</v>
      </c>
      <c r="M80" s="69">
        <f>SUM(M69,M71:M73,M77)</f>
        <v>28717094.768041071</v>
      </c>
      <c r="N80" s="69">
        <f>SUM(N69,N71:N73,N77)</f>
        <v>335607956.50708836</v>
      </c>
      <c r="O80" s="69">
        <f t="shared" ref="O80:S80" si="20">SUM(O69,O71:O73,O77)</f>
        <v>417710283.92565513</v>
      </c>
      <c r="P80" s="69">
        <f t="shared" si="20"/>
        <v>16931703.45756197</v>
      </c>
      <c r="Q80" s="69">
        <f t="shared" si="20"/>
        <v>294777861.8950547</v>
      </c>
      <c r="R80" s="69">
        <f t="shared" si="20"/>
        <v>16039989.051425194</v>
      </c>
      <c r="S80" s="69">
        <f t="shared" si="20"/>
        <v>4959765.950597656</v>
      </c>
    </row>
    <row r="82" spans="2:19" ht="12.75" customHeight="1" x14ac:dyDescent="0.2">
      <c r="B82" s="3" t="s">
        <v>295</v>
      </c>
      <c r="F82" s="88" t="s">
        <v>244</v>
      </c>
      <c r="L82" s="68">
        <f t="shared" ref="L82:S82" si="21">L62*L$80+L74</f>
        <v>15729182.63224498</v>
      </c>
      <c r="M82" s="68">
        <f t="shared" si="21"/>
        <v>21386806.25363408</v>
      </c>
      <c r="N82" s="68">
        <f t="shared" si="21"/>
        <v>261284696.27446747</v>
      </c>
      <c r="O82" s="68">
        <f t="shared" si="21"/>
        <v>327626985.88319409</v>
      </c>
      <c r="P82" s="68">
        <f t="shared" si="21"/>
        <v>13578772.053664954</v>
      </c>
      <c r="Q82" s="68">
        <f t="shared" si="21"/>
        <v>231975316.71313912</v>
      </c>
      <c r="R82" s="68">
        <f t="shared" si="21"/>
        <v>14651160.752803629</v>
      </c>
      <c r="S82" s="68">
        <f t="shared" si="21"/>
        <v>0</v>
      </c>
    </row>
    <row r="83" spans="2:19" ht="12.75" customHeight="1" x14ac:dyDescent="0.2">
      <c r="B83" s="3" t="s">
        <v>467</v>
      </c>
      <c r="F83" s="88" t="s">
        <v>244</v>
      </c>
      <c r="L83" s="68">
        <f>L63*L$80</f>
        <v>4232943.1232452374</v>
      </c>
      <c r="M83" s="68">
        <f t="shared" ref="M83:S83" si="22">M63*M$80</f>
        <v>5657863.5392494407</v>
      </c>
      <c r="N83" s="68">
        <f t="shared" si="22"/>
        <v>68593179.028229252</v>
      </c>
      <c r="O83" s="68">
        <f t="shared" si="22"/>
        <v>83280028.325810954</v>
      </c>
      <c r="P83" s="68">
        <f t="shared" si="22"/>
        <v>3194466.3922769264</v>
      </c>
      <c r="Q83" s="68">
        <f t="shared" si="22"/>
        <v>56922404.322748393</v>
      </c>
      <c r="R83" s="68">
        <f t="shared" si="22"/>
        <v>1717998.9417584566</v>
      </c>
      <c r="S83" s="68">
        <f t="shared" si="22"/>
        <v>0</v>
      </c>
    </row>
    <row r="84" spans="2:19" ht="12.75" customHeight="1" x14ac:dyDescent="0.2">
      <c r="B84" s="3" t="s">
        <v>469</v>
      </c>
      <c r="F84" s="88" t="s">
        <v>244</v>
      </c>
      <c r="L84" s="68">
        <f>L75</f>
        <v>164237.35020746524</v>
      </c>
      <c r="M84" s="68">
        <f t="shared" ref="M84:R84" si="23">M75</f>
        <v>328110.94258486771</v>
      </c>
      <c r="N84" s="68">
        <f t="shared" si="23"/>
        <v>4897775.1602981715</v>
      </c>
      <c r="O84" s="68">
        <f t="shared" si="23"/>
        <v>5473439.6628916403</v>
      </c>
      <c r="P84" s="68">
        <f t="shared" si="23"/>
        <v>149121.35877188097</v>
      </c>
      <c r="Q84" s="68">
        <f t="shared" si="23"/>
        <v>3533466.1432848517</v>
      </c>
      <c r="R84" s="68">
        <f t="shared" si="23"/>
        <v>896128.71122506948</v>
      </c>
      <c r="S84" s="150"/>
    </row>
    <row r="85" spans="2:19" ht="12.75" customHeight="1" x14ac:dyDescent="0.2">
      <c r="B85" s="3" t="s">
        <v>468</v>
      </c>
      <c r="F85" s="88" t="s">
        <v>244</v>
      </c>
      <c r="L85" s="68">
        <f>L64*L$80</f>
        <v>636935.10547683481</v>
      </c>
      <c r="M85" s="68">
        <f t="shared" ref="M85:S85" si="24">M64*M$80</f>
        <v>1115681.1084162116</v>
      </c>
      <c r="N85" s="68">
        <f t="shared" si="24"/>
        <v>11057182.190598186</v>
      </c>
      <c r="O85" s="68">
        <f t="shared" si="24"/>
        <v>12946788.236730637</v>
      </c>
      <c r="P85" s="68">
        <f t="shared" si="24"/>
        <v>411138.25290277723</v>
      </c>
      <c r="Q85" s="68">
        <f t="shared" si="24"/>
        <v>10630202.243586941</v>
      </c>
      <c r="R85" s="68">
        <f t="shared" si="24"/>
        <v>558857.77127844316</v>
      </c>
      <c r="S85" s="68">
        <f t="shared" si="24"/>
        <v>0</v>
      </c>
    </row>
    <row r="86" spans="2:19" ht="12.75" customHeight="1" x14ac:dyDescent="0.2">
      <c r="B86" s="3" t="s">
        <v>470</v>
      </c>
      <c r="F86" s="88" t="s">
        <v>244</v>
      </c>
      <c r="L86" s="68">
        <f>L76</f>
        <v>266845.35312346061</v>
      </c>
      <c r="M86" s="68">
        <f t="shared" ref="M86:S86" si="25">M76</f>
        <v>86673.023462579993</v>
      </c>
      <c r="N86" s="68">
        <f t="shared" si="25"/>
        <v>1777283.5428935299</v>
      </c>
      <c r="O86" s="68">
        <f t="shared" si="25"/>
        <v>1519796.5786638465</v>
      </c>
      <c r="P86" s="68">
        <f t="shared" si="25"/>
        <v>123343.83574021969</v>
      </c>
      <c r="Q86" s="68">
        <f t="shared" si="25"/>
        <v>1698471.3933386588</v>
      </c>
      <c r="R86" s="68">
        <f t="shared" si="25"/>
        <v>105908.99450114986</v>
      </c>
      <c r="S86" s="68">
        <f t="shared" si="25"/>
        <v>0</v>
      </c>
    </row>
    <row r="87" spans="2:19" ht="12.75" customHeight="1" x14ac:dyDescent="0.2">
      <c r="B87" s="3" t="s">
        <v>296</v>
      </c>
      <c r="F87" s="88" t="s">
        <v>244</v>
      </c>
      <c r="L87" s="68">
        <f>L65*L$80+L78</f>
        <v>0</v>
      </c>
      <c r="M87" s="68">
        <f>M65*M$80+M78</f>
        <v>2173071.2904808158</v>
      </c>
      <c r="N87" s="68">
        <f t="shared" ref="N87:R87" si="26">N65*N$80+N78</f>
        <v>1337808.6603772116</v>
      </c>
      <c r="O87" s="68">
        <f t="shared" si="26"/>
        <v>0</v>
      </c>
      <c r="P87" s="68">
        <f t="shared" si="26"/>
        <v>0</v>
      </c>
      <c r="Q87" s="68">
        <f t="shared" si="26"/>
        <v>0</v>
      </c>
      <c r="R87" s="68">
        <f t="shared" si="26"/>
        <v>0</v>
      </c>
      <c r="S87" s="118">
        <f>S65*S$80+S75+S78</f>
        <v>5513089.9923445713</v>
      </c>
    </row>
    <row r="88" spans="2:19" ht="12.75" customHeight="1" x14ac:dyDescent="0.2">
      <c r="F88" s="88"/>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E27"/>
  <sheetViews>
    <sheetView showGridLines="0" zoomScale="85" zoomScaleNormal="85" workbookViewId="0">
      <pane ySplit="3" topLeftCell="A4" activePane="bottomLeft" state="frozen"/>
      <selection activeCell="A4" sqref="A4"/>
      <selection pane="bottomLeft" activeCell="A4" sqref="A4"/>
    </sheetView>
  </sheetViews>
  <sheetFormatPr defaultRowHeight="15" customHeight="1" x14ac:dyDescent="0.25"/>
  <cols>
    <col min="1" max="1" width="2.85546875" style="3" customWidth="1"/>
    <col min="2" max="2" width="7.5703125" style="3" customWidth="1"/>
    <col min="3" max="3" width="45.7109375" style="3" bestFit="1" customWidth="1"/>
    <col min="4" max="4" width="40.7109375" style="170" customWidth="1"/>
    <col min="5" max="5" width="40.7109375" style="3" customWidth="1"/>
    <col min="6" max="6" width="4.5703125" style="3" customWidth="1"/>
    <col min="7" max="7" width="43.42578125" style="3" customWidth="1"/>
    <col min="8" max="8" width="28.7109375" style="3" customWidth="1"/>
    <col min="9" max="9" width="26.85546875" style="3" customWidth="1"/>
    <col min="10" max="10" width="58.42578125" style="3" customWidth="1"/>
    <col min="11" max="11" width="22" style="3" customWidth="1"/>
    <col min="12" max="16384" width="9.140625" style="3"/>
  </cols>
  <sheetData>
    <row r="2" spans="2:5" s="15" customFormat="1" ht="18" x14ac:dyDescent="0.25">
      <c r="B2" s="5" t="s">
        <v>24</v>
      </c>
      <c r="D2" s="171"/>
    </row>
    <row r="4" spans="2:5" s="9" customFormat="1" ht="15" customHeight="1" x14ac:dyDescent="0.25">
      <c r="B4" s="9" t="s">
        <v>25</v>
      </c>
      <c r="D4" s="172"/>
    </row>
    <row r="6" spans="2:5" ht="15" customHeight="1" x14ac:dyDescent="0.25">
      <c r="B6" s="7"/>
      <c r="C6" s="29"/>
    </row>
    <row r="8" spans="2:5" ht="15" customHeight="1" x14ac:dyDescent="0.25">
      <c r="B8" s="26" t="s">
        <v>55</v>
      </c>
      <c r="C8" s="26" t="s">
        <v>56</v>
      </c>
      <c r="D8" s="173" t="s">
        <v>57</v>
      </c>
      <c r="E8" s="26" t="s">
        <v>62</v>
      </c>
    </row>
    <row r="9" spans="2:5" ht="15" customHeight="1" x14ac:dyDescent="0.25">
      <c r="B9" s="27"/>
      <c r="C9" s="36" t="s">
        <v>64</v>
      </c>
      <c r="D9" s="174" t="s">
        <v>26</v>
      </c>
      <c r="E9" s="36" t="s">
        <v>63</v>
      </c>
    </row>
    <row r="10" spans="2:5" ht="45" x14ac:dyDescent="0.25">
      <c r="B10" s="38">
        <v>1</v>
      </c>
      <c r="C10" s="8" t="s">
        <v>490</v>
      </c>
      <c r="D10" s="126" t="s">
        <v>491</v>
      </c>
      <c r="E10" s="127" t="s">
        <v>492</v>
      </c>
    </row>
    <row r="11" spans="2:5" ht="30" x14ac:dyDescent="0.25">
      <c r="B11" s="8">
        <v>2</v>
      </c>
      <c r="C11" s="8" t="s">
        <v>179</v>
      </c>
      <c r="D11" s="127" t="s">
        <v>180</v>
      </c>
      <c r="E11" s="126"/>
    </row>
    <row r="12" spans="2:5" ht="75" x14ac:dyDescent="0.25">
      <c r="B12" s="8">
        <v>3</v>
      </c>
      <c r="C12" s="8" t="s">
        <v>181</v>
      </c>
      <c r="D12" s="127" t="s">
        <v>182</v>
      </c>
      <c r="E12" s="126"/>
    </row>
    <row r="13" spans="2:5" ht="45" x14ac:dyDescent="0.25">
      <c r="B13" s="8">
        <v>4</v>
      </c>
      <c r="C13" s="8" t="s">
        <v>267</v>
      </c>
      <c r="D13" s="126" t="s">
        <v>266</v>
      </c>
      <c r="E13" s="127" t="s">
        <v>269</v>
      </c>
    </row>
    <row r="14" spans="2:5" ht="12.75" x14ac:dyDescent="0.25">
      <c r="B14" s="8">
        <v>5</v>
      </c>
      <c r="C14" s="8" t="s">
        <v>268</v>
      </c>
      <c r="D14" s="126" t="s">
        <v>188</v>
      </c>
      <c r="E14" s="126"/>
    </row>
    <row r="15" spans="2:5" ht="45" x14ac:dyDescent="0.25">
      <c r="B15" s="8">
        <v>6</v>
      </c>
      <c r="C15" s="8" t="s">
        <v>212</v>
      </c>
      <c r="D15" s="126" t="s">
        <v>443</v>
      </c>
      <c r="E15" s="127" t="s">
        <v>238</v>
      </c>
    </row>
    <row r="16" spans="2:5" ht="12.75" x14ac:dyDescent="0.25">
      <c r="B16" s="8">
        <v>7</v>
      </c>
      <c r="C16" s="8" t="s">
        <v>189</v>
      </c>
      <c r="D16" s="126" t="s">
        <v>188</v>
      </c>
      <c r="E16" s="126"/>
    </row>
    <row r="17" spans="2:5" ht="102" x14ac:dyDescent="0.25">
      <c r="B17" s="8">
        <v>8</v>
      </c>
      <c r="C17" s="8" t="s">
        <v>190</v>
      </c>
      <c r="D17" s="126" t="s">
        <v>444</v>
      </c>
      <c r="E17" s="126"/>
    </row>
    <row r="18" spans="2:5" ht="102" x14ac:dyDescent="0.25">
      <c r="B18" s="8">
        <v>9</v>
      </c>
      <c r="C18" s="8" t="s">
        <v>279</v>
      </c>
      <c r="D18" s="126" t="s">
        <v>445</v>
      </c>
      <c r="E18" s="126"/>
    </row>
    <row r="19" spans="2:5" ht="12.75" x14ac:dyDescent="0.25">
      <c r="B19" s="8">
        <v>10</v>
      </c>
      <c r="C19" s="3" t="s">
        <v>322</v>
      </c>
      <c r="D19" s="126"/>
      <c r="E19" s="126"/>
    </row>
    <row r="20" spans="2:5" ht="25.5" x14ac:dyDescent="0.25">
      <c r="B20" s="8">
        <v>11</v>
      </c>
      <c r="C20" s="8" t="s">
        <v>434</v>
      </c>
      <c r="D20" s="126" t="s">
        <v>483</v>
      </c>
      <c r="E20" s="126"/>
    </row>
    <row r="21" spans="2:5" ht="25.5" x14ac:dyDescent="0.25">
      <c r="B21" s="8">
        <v>12</v>
      </c>
      <c r="C21" s="8" t="s">
        <v>435</v>
      </c>
      <c r="D21" s="126" t="s">
        <v>484</v>
      </c>
      <c r="E21" s="126"/>
    </row>
    <row r="24" spans="2:5" s="9" customFormat="1" ht="15" customHeight="1" x14ac:dyDescent="0.25">
      <c r="B24" s="9" t="s">
        <v>52</v>
      </c>
      <c r="D24" s="172"/>
    </row>
    <row r="26" spans="2:5" ht="15" customHeight="1" x14ac:dyDescent="0.25">
      <c r="B26" s="6" t="s">
        <v>50</v>
      </c>
    </row>
    <row r="27" spans="2:5" ht="15" customHeight="1" x14ac:dyDescent="0.25">
      <c r="B27" s="6" t="s">
        <v>51</v>
      </c>
    </row>
  </sheetData>
  <hyperlinks>
    <hyperlink ref="E15" r:id="rId1"/>
    <hyperlink ref="D12" r:id="rId2"/>
    <hyperlink ref="E13" r:id="rId3" display="https://www.acm.nl/nl/publicaties/publicatie/16653/Berekening-totale-inkomsten-2017-regionaal-netbeheer-gas"/>
    <hyperlink ref="D11" r:id="rId4" location="/CBS/nl/dataset/83131NED/table?ts=1528811296678"/>
  </hyperlinks>
  <pageMargins left="0.75" right="0.75" top="1" bottom="1" header="0.5" footer="0.5"/>
  <pageSetup paperSize="9"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V50"/>
  <sheetViews>
    <sheetView showGridLines="0" zoomScale="85" zoomScaleNormal="85" workbookViewId="0">
      <pane xSplit="6" ySplit="8" topLeftCell="G9" activePane="bottomRight" state="frozen"/>
      <selection activeCell="Q51" sqref="Q51"/>
      <selection pane="topRight" activeCell="Q51" sqref="Q51"/>
      <selection pane="bottomLeft" activeCell="Q51" sqref="Q51"/>
      <selection pane="bottomRight" activeCell="G9" sqref="G9"/>
    </sheetView>
  </sheetViews>
  <sheetFormatPr defaultRowHeight="12.75" x14ac:dyDescent="0.25"/>
  <cols>
    <col min="1" max="1" width="4" style="3" customWidth="1"/>
    <col min="2" max="2" width="41.42578125" style="3" customWidth="1"/>
    <col min="3" max="5" width="4.5703125" style="3" customWidth="1"/>
    <col min="6" max="6" width="13.7109375" style="3" customWidth="1"/>
    <col min="7" max="7" width="2.7109375" style="3" customWidth="1"/>
    <col min="8" max="8" width="13.7109375" style="3" customWidth="1"/>
    <col min="9" max="9" width="2.7109375" style="3" customWidth="1"/>
    <col min="10" max="10" width="13.7109375" style="3" customWidth="1"/>
    <col min="11" max="11" width="2.7109375" style="3" customWidth="1"/>
    <col min="12" max="13" width="14.7109375" style="3" bestFit="1" customWidth="1"/>
    <col min="14" max="15" width="15.85546875" style="3" bestFit="1" customWidth="1"/>
    <col min="16" max="16" width="14.7109375" style="3" bestFit="1" customWidth="1"/>
    <col min="17" max="17" width="15.85546875" style="3" bestFit="1" customWidth="1"/>
    <col min="18" max="18" width="14.7109375" style="3" bestFit="1" customWidth="1"/>
    <col min="19" max="19" width="13.42578125" style="3" bestFit="1" customWidth="1"/>
    <col min="20" max="21" width="2.7109375" style="3" customWidth="1"/>
    <col min="22" max="36" width="13.7109375" style="3" customWidth="1"/>
    <col min="37" max="16384" width="9.140625" style="3"/>
  </cols>
  <sheetData>
    <row r="2" spans="2:22" s="28" customFormat="1" ht="18" x14ac:dyDescent="0.25">
      <c r="B2" s="28" t="s">
        <v>242</v>
      </c>
    </row>
    <row r="4" spans="2:22" x14ac:dyDescent="0.25">
      <c r="B4" s="2" t="s">
        <v>59</v>
      </c>
      <c r="C4" s="2"/>
      <c r="D4" s="2"/>
    </row>
    <row r="5" spans="2:22" x14ac:dyDescent="0.2">
      <c r="B5" s="42" t="s">
        <v>326</v>
      </c>
      <c r="C5" s="4"/>
      <c r="D5" s="4"/>
      <c r="H5" s="29"/>
    </row>
    <row r="7" spans="2:22" s="9" customFormat="1" x14ac:dyDescent="0.25">
      <c r="B7" s="9" t="s">
        <v>45</v>
      </c>
      <c r="F7" s="9" t="s">
        <v>27</v>
      </c>
      <c r="H7" s="9" t="s">
        <v>28</v>
      </c>
      <c r="J7" s="9" t="s">
        <v>49</v>
      </c>
      <c r="L7" s="9" t="s">
        <v>172</v>
      </c>
      <c r="M7" s="9" t="s">
        <v>65</v>
      </c>
      <c r="N7" s="9" t="s">
        <v>66</v>
      </c>
      <c r="O7" s="9" t="s">
        <v>67</v>
      </c>
      <c r="P7" s="9" t="s">
        <v>68</v>
      </c>
      <c r="Q7" s="9" t="s">
        <v>69</v>
      </c>
      <c r="R7" s="9" t="s">
        <v>70</v>
      </c>
      <c r="S7" s="9" t="s">
        <v>71</v>
      </c>
      <c r="V7" s="9" t="s">
        <v>47</v>
      </c>
    </row>
    <row r="10" spans="2:22" s="9" customFormat="1" x14ac:dyDescent="0.25">
      <c r="B10" s="9" t="s">
        <v>159</v>
      </c>
    </row>
    <row r="12" spans="2:22" x14ac:dyDescent="0.2">
      <c r="B12" s="3" t="s">
        <v>160</v>
      </c>
      <c r="F12" s="58" t="s">
        <v>184</v>
      </c>
      <c r="J12" s="69">
        <f>SUM(L12:S12)</f>
        <v>1080280423.7778962</v>
      </c>
      <c r="L12" s="102">
        <f>'Input x-factor, begininkomsten'!L15</f>
        <v>20195500.85954722</v>
      </c>
      <c r="M12" s="102">
        <f>'Input x-factor, begininkomsten'!M15</f>
        <v>28572762.806057848</v>
      </c>
      <c r="N12" s="102">
        <f>'Input x-factor, begininkomsten'!N15</f>
        <v>330013605.11326003</v>
      </c>
      <c r="O12" s="102">
        <f>'Input x-factor, begininkomsten'!O15</f>
        <v>380662873.09869272</v>
      </c>
      <c r="P12" s="102">
        <f>'Input x-factor, begininkomsten'!P15</f>
        <v>17074085.421158154</v>
      </c>
      <c r="Q12" s="102">
        <f>'Input x-factor, begininkomsten'!Q15</f>
        <v>282544855.87405187</v>
      </c>
      <c r="R12" s="102">
        <f>'Input x-factor, begininkomsten'!R15</f>
        <v>16130066.900690712</v>
      </c>
      <c r="S12" s="102">
        <f>'Input x-factor, begininkomsten'!S15</f>
        <v>5086673.7044375269</v>
      </c>
    </row>
    <row r="13" spans="2:22" x14ac:dyDescent="0.2">
      <c r="B13" s="3" t="s">
        <v>161</v>
      </c>
      <c r="F13" s="58" t="s">
        <v>77</v>
      </c>
      <c r="L13" s="64">
        <f>'Input x-factor, begininkomsten'!L18</f>
        <v>1.54</v>
      </c>
      <c r="M13" s="64">
        <f>'Input x-factor, begininkomsten'!M18</f>
        <v>1.52</v>
      </c>
      <c r="N13" s="64">
        <f>'Input x-factor, begininkomsten'!N18</f>
        <v>1.54</v>
      </c>
      <c r="O13" s="64">
        <f>'Input x-factor, begininkomsten'!O18</f>
        <v>1.42</v>
      </c>
      <c r="P13" s="64">
        <f>'Input x-factor, begininkomsten'!P18</f>
        <v>1.44</v>
      </c>
      <c r="Q13" s="64">
        <f>'Input x-factor, begininkomsten'!Q18</f>
        <v>1.46</v>
      </c>
      <c r="R13" s="64">
        <f>'Input x-factor, begininkomsten'!R18</f>
        <v>1.79</v>
      </c>
      <c r="S13" s="64">
        <f>'Input x-factor, begininkomsten'!S18</f>
        <v>2.25</v>
      </c>
    </row>
    <row r="14" spans="2:22" x14ac:dyDescent="0.2">
      <c r="F14" s="58"/>
    </row>
    <row r="15" spans="2:22" x14ac:dyDescent="0.2">
      <c r="B15" s="3" t="s">
        <v>162</v>
      </c>
      <c r="F15" s="58" t="s">
        <v>138</v>
      </c>
      <c r="H15" s="109">
        <f>'Input parameters'!R19</f>
        <v>2E-3</v>
      </c>
    </row>
    <row r="16" spans="2:22" x14ac:dyDescent="0.2">
      <c r="B16" s="3" t="s">
        <v>163</v>
      </c>
      <c r="F16" s="58" t="s">
        <v>138</v>
      </c>
      <c r="H16" s="109">
        <f>'Input parameters'!S19</f>
        <v>1.4E-2</v>
      </c>
    </row>
    <row r="17" spans="2:21" x14ac:dyDescent="0.2">
      <c r="B17" s="35" t="s">
        <v>166</v>
      </c>
      <c r="F17" s="58" t="s">
        <v>138</v>
      </c>
      <c r="H17" s="109">
        <f>'Input parameters'!T19</f>
        <v>2.1000000000000001E-2</v>
      </c>
      <c r="M17" s="159"/>
      <c r="N17" s="159"/>
      <c r="O17" s="159"/>
      <c r="P17" s="159"/>
      <c r="Q17" s="159"/>
      <c r="R17" s="159"/>
      <c r="S17" s="159"/>
      <c r="T17" s="159"/>
      <c r="U17" s="159"/>
    </row>
    <row r="18" spans="2:21" x14ac:dyDescent="0.2">
      <c r="B18" s="35" t="s">
        <v>243</v>
      </c>
      <c r="F18" s="58" t="s">
        <v>138</v>
      </c>
      <c r="H18" s="109">
        <f>'Input parameters'!U19</f>
        <v>2.8000000000000001E-2</v>
      </c>
      <c r="L18" s="177"/>
      <c r="M18" s="177"/>
      <c r="N18" s="177"/>
      <c r="O18" s="177"/>
      <c r="P18" s="177"/>
      <c r="Q18" s="177"/>
      <c r="R18" s="177"/>
      <c r="S18" s="177"/>
    </row>
    <row r="19" spans="2:21" x14ac:dyDescent="0.2">
      <c r="F19" s="58"/>
    </row>
    <row r="20" spans="2:21" x14ac:dyDescent="0.2">
      <c r="B20" s="3" t="s">
        <v>164</v>
      </c>
      <c r="F20" s="58" t="s">
        <v>186</v>
      </c>
      <c r="J20" s="69">
        <f>SUM(L20:S20)</f>
        <v>1066433845.5191191</v>
      </c>
      <c r="L20" s="114">
        <f>L12*(1-L13/100+$H$15)</f>
        <v>19924881.148029286</v>
      </c>
      <c r="M20" s="114">
        <f t="shared" ref="M20:S20" si="0">M12*(1-M13/100+$H$15)</f>
        <v>28195602.337017886</v>
      </c>
      <c r="N20" s="114">
        <f t="shared" si="0"/>
        <v>325591422.80474234</v>
      </c>
      <c r="O20" s="114">
        <f t="shared" si="0"/>
        <v>376018786.04688865</v>
      </c>
      <c r="P20" s="114">
        <f t="shared" si="0"/>
        <v>16862366.761935793</v>
      </c>
      <c r="Q20" s="114">
        <f t="shared" si="0"/>
        <v>278984790.69003886</v>
      </c>
      <c r="R20" s="114">
        <f t="shared" si="0"/>
        <v>15873598.83696973</v>
      </c>
      <c r="S20" s="114">
        <f t="shared" si="0"/>
        <v>4982396.8934965581</v>
      </c>
    </row>
    <row r="21" spans="2:21" x14ac:dyDescent="0.2">
      <c r="B21" s="3" t="s">
        <v>165</v>
      </c>
      <c r="F21" s="58" t="s">
        <v>187</v>
      </c>
      <c r="J21" s="69">
        <f>SUM(L21:S21)</f>
        <v>1065562690.9833938</v>
      </c>
      <c r="L21" s="114">
        <f>L20*(1-L13/100+$H$16)</f>
        <v>19896986.314422045</v>
      </c>
      <c r="M21" s="114">
        <f t="shared" ref="M21:S21" si="1">M20*(1-M13/100+$H$16)</f>
        <v>28161767.614213467</v>
      </c>
      <c r="N21" s="114">
        <f t="shared" si="1"/>
        <v>325135594.81281573</v>
      </c>
      <c r="O21" s="114">
        <f t="shared" si="1"/>
        <v>375943582.28967929</v>
      </c>
      <c r="P21" s="114">
        <f t="shared" si="1"/>
        <v>16855621.815231018</v>
      </c>
      <c r="Q21" s="114">
        <f t="shared" si="1"/>
        <v>278817399.81562483</v>
      </c>
      <c r="R21" s="114">
        <f t="shared" si="1"/>
        <v>15811691.801505547</v>
      </c>
      <c r="S21" s="114">
        <f t="shared" si="1"/>
        <v>4940046.5199018372</v>
      </c>
    </row>
    <row r="22" spans="2:21" x14ac:dyDescent="0.2">
      <c r="B22" s="3" t="s">
        <v>167</v>
      </c>
      <c r="F22" s="58" t="s">
        <v>185</v>
      </c>
      <c r="J22" s="69">
        <f>SUM(L22:S22)</f>
        <v>1072151912.6870439</v>
      </c>
      <c r="L22" s="114">
        <f>L21*(1-L13/100+$H$17)</f>
        <v>20008409.437782809</v>
      </c>
      <c r="M22" s="114">
        <f t="shared" ref="M22:S22" si="2">M21*(1-M13/100+$H$17)</f>
        <v>28325105.866375905</v>
      </c>
      <c r="N22" s="114">
        <f t="shared" si="2"/>
        <v>326956354.14376754</v>
      </c>
      <c r="O22" s="114">
        <f t="shared" si="2"/>
        <v>378499998.64924908</v>
      </c>
      <c r="P22" s="114">
        <f t="shared" si="2"/>
        <v>16966868.91921154</v>
      </c>
      <c r="Q22" s="114">
        <f t="shared" si="2"/>
        <v>280601831.17444479</v>
      </c>
      <c r="R22" s="114">
        <f t="shared" si="2"/>
        <v>15860708.046090212</v>
      </c>
      <c r="S22" s="114">
        <f t="shared" si="2"/>
        <v>4932636.4501219848</v>
      </c>
    </row>
    <row r="23" spans="2:21" x14ac:dyDescent="0.2">
      <c r="B23" s="3" t="s">
        <v>245</v>
      </c>
      <c r="F23" s="58" t="s">
        <v>244</v>
      </c>
      <c r="J23" s="69">
        <f>SUM(L23:S23)</f>
        <v>1086287666.6514008</v>
      </c>
      <c r="L23" s="114">
        <f>L22*(1-L13/100+$H$18)</f>
        <v>20260515.39669887</v>
      </c>
      <c r="M23" s="114">
        <f t="shared" ref="M23:S23" si="3">M22*(1-M13/100+$H$18)</f>
        <v>28687667.221465513</v>
      </c>
      <c r="N23" s="114">
        <f t="shared" si="3"/>
        <v>331076004.20597899</v>
      </c>
      <c r="O23" s="114">
        <f t="shared" si="3"/>
        <v>383723298.63060874</v>
      </c>
      <c r="P23" s="114">
        <f t="shared" si="3"/>
        <v>17197618.336512819</v>
      </c>
      <c r="Q23" s="114">
        <f t="shared" si="3"/>
        <v>284361895.7121824</v>
      </c>
      <c r="R23" s="114">
        <f t="shared" si="3"/>
        <v>16020901.197355723</v>
      </c>
      <c r="S23" s="114">
        <f t="shared" si="3"/>
        <v>4959765.950597656</v>
      </c>
    </row>
    <row r="25" spans="2:21" s="9" customFormat="1" x14ac:dyDescent="0.25">
      <c r="B25" s="9" t="s">
        <v>246</v>
      </c>
    </row>
    <row r="27" spans="2:21" x14ac:dyDescent="0.2">
      <c r="B27" s="3" t="s">
        <v>247</v>
      </c>
      <c r="F27" s="3" t="s">
        <v>244</v>
      </c>
      <c r="J27" s="69">
        <f t="shared" ref="J27:J34" si="4">SUM(L27:S27)</f>
        <v>47038839.459166028</v>
      </c>
      <c r="L27" s="115">
        <f>'Lokale heffingen 2018'!L37</f>
        <v>-492.87946298716076</v>
      </c>
      <c r="M27" s="115">
        <f>'Lokale heffingen 2018'!M37</f>
        <v>9438.4102312379127</v>
      </c>
      <c r="N27" s="115">
        <f>'Lokale heffingen 2018'!N37</f>
        <v>832902.57601802761</v>
      </c>
      <c r="O27" s="115">
        <f>'Lokale heffingen 2018'!O37</f>
        <v>33358767.659910399</v>
      </c>
      <c r="P27" s="115">
        <f>'Lokale heffingen 2018'!P37</f>
        <v>-295980.35057751386</v>
      </c>
      <c r="Q27" s="115">
        <f>'Lokale heffingen 2018'!Q37</f>
        <v>13123345.848129392</v>
      </c>
      <c r="R27" s="115">
        <f>'Lokale heffingen 2018'!R37</f>
        <v>10858.194917471505</v>
      </c>
      <c r="S27" s="115">
        <f>'Lokale heffingen 2018'!S37</f>
        <v>0</v>
      </c>
    </row>
    <row r="28" spans="2:21" x14ac:dyDescent="0.2">
      <c r="B28" s="3" t="s">
        <v>252</v>
      </c>
      <c r="F28" s="3" t="s">
        <v>244</v>
      </c>
      <c r="J28" s="69">
        <f t="shared" si="4"/>
        <v>354992.64682343946</v>
      </c>
      <c r="L28" s="115">
        <f>'Invoeding groen gas 2019'!L93</f>
        <v>520</v>
      </c>
      <c r="M28" s="115">
        <f>'Invoeding groen gas 2019'!M93</f>
        <v>0</v>
      </c>
      <c r="N28" s="115">
        <f>'Invoeding groen gas 2019'!N93</f>
        <v>260234.75651621533</v>
      </c>
      <c r="O28" s="115">
        <f>'Invoeding groen gas 2019'!O93</f>
        <v>62318.880000000012</v>
      </c>
      <c r="P28" s="115">
        <f>'Invoeding groen gas 2019'!P93</f>
        <v>16147.064266666668</v>
      </c>
      <c r="Q28" s="115">
        <f>'Invoeding groen gas 2019'!Q93</f>
        <v>15771.946040557468</v>
      </c>
      <c r="R28" s="115">
        <f>'Invoeding groen gas 2019'!R93</f>
        <v>0</v>
      </c>
      <c r="S28" s="115">
        <f>'Invoeding groen gas 2019'!S93</f>
        <v>0</v>
      </c>
    </row>
    <row r="29" spans="2:21" x14ac:dyDescent="0.2">
      <c r="B29" s="3" t="s">
        <v>324</v>
      </c>
      <c r="F29" s="3" t="s">
        <v>244</v>
      </c>
      <c r="J29" s="69">
        <f t="shared" si="4"/>
        <v>1335968.3226489599</v>
      </c>
      <c r="L29" s="115">
        <f>'Faillissement Flexenergie 2018'!L23</f>
        <v>12269.007379200002</v>
      </c>
      <c r="M29" s="115">
        <f>'Faillissement Flexenergie 2018'!M23</f>
        <v>19989.136344320003</v>
      </c>
      <c r="N29" s="115">
        <f>'Faillissement Flexenergie 2018'!N23</f>
        <v>376129.78411008004</v>
      </c>
      <c r="O29" s="115">
        <f>'Faillissement Flexenergie 2018'!O23</f>
        <v>565898.75513599999</v>
      </c>
      <c r="P29" s="115">
        <f>'Faillissement Flexenergie 2018'!P23</f>
        <v>13918.407360000001</v>
      </c>
      <c r="Q29" s="115">
        <f>'Faillissement Flexenergie 2018'!Q23</f>
        <v>339533.57316736004</v>
      </c>
      <c r="R29" s="115">
        <f>'Faillissement Flexenergie 2018'!R23</f>
        <v>8229.6591520000002</v>
      </c>
      <c r="S29" s="115">
        <f>'Faillissement Flexenergie 2018'!S23</f>
        <v>0</v>
      </c>
    </row>
    <row r="30" spans="2:21" x14ac:dyDescent="0.2">
      <c r="B30" s="3" t="s">
        <v>429</v>
      </c>
      <c r="F30" s="3" t="s">
        <v>244</v>
      </c>
      <c r="J30" s="69">
        <f t="shared" si="4"/>
        <v>18801260.797860246</v>
      </c>
      <c r="L30" s="115">
        <f>'Input nieuwe taken'!L15</f>
        <v>326249.33635196713</v>
      </c>
      <c r="M30" s="115">
        <f>'Input nieuwe taken'!M15</f>
        <v>473608.93235481577</v>
      </c>
      <c r="N30" s="115">
        <f>'Input nieuwe taken'!N15</f>
        <v>5967120.9689551992</v>
      </c>
      <c r="O30" s="115">
        <f>'Input nieuwe taken'!O15</f>
        <v>6143518.5200805049</v>
      </c>
      <c r="P30" s="115">
        <f>'Input nieuwe taken'!P15</f>
        <v>252673.24128268484</v>
      </c>
      <c r="Q30" s="115">
        <f>'Input nieuwe taken'!Q15</f>
        <v>4750061.384419743</v>
      </c>
      <c r="R30" s="115">
        <f>'Input nieuwe taken'!R15</f>
        <v>888028.41441533214</v>
      </c>
      <c r="S30" s="115">
        <f>'Input nieuwe taken'!S15</f>
        <v>0</v>
      </c>
    </row>
    <row r="31" spans="2:21" x14ac:dyDescent="0.2">
      <c r="B31" s="3" t="s">
        <v>446</v>
      </c>
      <c r="F31" s="3" t="s">
        <v>244</v>
      </c>
      <c r="J31" s="69">
        <f t="shared" si="4"/>
        <v>15413479.798263948</v>
      </c>
      <c r="L31" s="115">
        <f>'Input nieuwe taken'!L17</f>
        <v>164237.35020746524</v>
      </c>
      <c r="M31" s="115">
        <f>'Input nieuwe taken'!M17</f>
        <v>328110.94258486771</v>
      </c>
      <c r="N31" s="115">
        <f>'Input nieuwe taken'!N17</f>
        <v>4897775.1602981715</v>
      </c>
      <c r="O31" s="115">
        <f>'Input nieuwe taken'!O17</f>
        <v>5473439.6628916403</v>
      </c>
      <c r="P31" s="115">
        <f>'Input nieuwe taken'!P17</f>
        <v>149121.35877188097</v>
      </c>
      <c r="Q31" s="115">
        <f>'Input nieuwe taken'!Q17</f>
        <v>3533466.1432848517</v>
      </c>
      <c r="R31" s="115">
        <f>'Input nieuwe taken'!R17</f>
        <v>896128.71122506948</v>
      </c>
      <c r="S31" s="115">
        <f>'Input nieuwe taken'!S17</f>
        <v>-28799.531000000003</v>
      </c>
    </row>
    <row r="32" spans="2:21" x14ac:dyDescent="0.2">
      <c r="B32" s="3" t="s">
        <v>447</v>
      </c>
      <c r="F32" s="3" t="s">
        <v>244</v>
      </c>
      <c r="J32" s="69">
        <f t="shared" si="4"/>
        <v>5578322.7217234457</v>
      </c>
      <c r="L32" s="115">
        <f>'Input nieuwe taken'!L18</f>
        <v>266845.35312346061</v>
      </c>
      <c r="M32" s="115">
        <f>'Input nieuwe taken'!M18</f>
        <v>86673.023462579993</v>
      </c>
      <c r="N32" s="115">
        <f>'Input nieuwe taken'!N18</f>
        <v>1777283.5428935299</v>
      </c>
      <c r="O32" s="115">
        <f>'Input nieuwe taken'!O18</f>
        <v>1519796.5786638465</v>
      </c>
      <c r="P32" s="115">
        <f>'Input nieuwe taken'!P18</f>
        <v>123343.83574021969</v>
      </c>
      <c r="Q32" s="115">
        <f>'Input nieuwe taken'!Q18</f>
        <v>1698471.3933386588</v>
      </c>
      <c r="R32" s="115">
        <f>'Input nieuwe taken'!R18</f>
        <v>105908.99450114986</v>
      </c>
      <c r="S32" s="115">
        <f>'Input nieuwe taken'!S18</f>
        <v>0</v>
      </c>
    </row>
    <row r="33" spans="2:19" x14ac:dyDescent="0.2">
      <c r="B33" s="3" t="s">
        <v>248</v>
      </c>
      <c r="F33" s="3" t="s">
        <v>244</v>
      </c>
      <c r="J33" s="69">
        <f t="shared" si="4"/>
        <v>0</v>
      </c>
      <c r="L33" s="116"/>
      <c r="M33" s="116"/>
      <c r="N33" s="115">
        <f>'Overdracht Weert'!N29</f>
        <v>3062685.1844650782</v>
      </c>
      <c r="O33" s="116"/>
      <c r="P33" s="116"/>
      <c r="Q33" s="115">
        <f>'Overdracht Weert'!Q29</f>
        <v>-3062685.1844650782</v>
      </c>
      <c r="R33" s="116"/>
      <c r="S33" s="116"/>
    </row>
    <row r="34" spans="2:19" x14ac:dyDescent="0.2">
      <c r="B34" s="3" t="s">
        <v>437</v>
      </c>
      <c r="F34" s="3" t="s">
        <v>244</v>
      </c>
      <c r="J34" s="69">
        <f t="shared" si="4"/>
        <v>2422630.7417601096</v>
      </c>
      <c r="L34" s="116"/>
      <c r="M34" s="115">
        <f>'Gewijzigde x-factoren'!M130</f>
        <v>1142718.4913846569</v>
      </c>
      <c r="N34" s="115">
        <f>'Gewijzigde x-factoren'!N130</f>
        <v>697788.67762853671</v>
      </c>
      <c r="O34" s="116"/>
      <c r="P34" s="116"/>
      <c r="Q34" s="116"/>
      <c r="R34" s="116"/>
      <c r="S34" s="115">
        <f>'Gewijzigde x-factoren'!S130</f>
        <v>582123.57274691598</v>
      </c>
    </row>
    <row r="35" spans="2:19" x14ac:dyDescent="0.2">
      <c r="L35" s="58"/>
      <c r="M35" s="58"/>
      <c r="N35" s="58"/>
      <c r="O35" s="58"/>
      <c r="P35" s="58"/>
      <c r="Q35" s="58"/>
      <c r="R35" s="58"/>
      <c r="S35" s="58"/>
    </row>
    <row r="36" spans="2:19" x14ac:dyDescent="0.2">
      <c r="B36" s="2" t="s">
        <v>249</v>
      </c>
      <c r="F36" s="3" t="s">
        <v>244</v>
      </c>
      <c r="J36" s="69">
        <f>SUM(L36:S36)</f>
        <v>90945494.488246173</v>
      </c>
      <c r="L36" s="117">
        <f t="shared" ref="L36:R36" si="5">SUM(L27:L34)</f>
        <v>769628.16759910574</v>
      </c>
      <c r="M36" s="117">
        <f t="shared" si="5"/>
        <v>2060538.9363624782</v>
      </c>
      <c r="N36" s="117">
        <f t="shared" si="5"/>
        <v>17871920.650884837</v>
      </c>
      <c r="O36" s="117">
        <f t="shared" si="5"/>
        <v>47123740.056682393</v>
      </c>
      <c r="P36" s="117">
        <f t="shared" si="5"/>
        <v>259223.55684393831</v>
      </c>
      <c r="Q36" s="117">
        <f t="shared" si="5"/>
        <v>20397965.103915486</v>
      </c>
      <c r="R36" s="117">
        <f t="shared" si="5"/>
        <v>1909153.9742110227</v>
      </c>
      <c r="S36" s="117">
        <f>SUM(S27:S34)</f>
        <v>553324.04174691602</v>
      </c>
    </row>
    <row r="38" spans="2:19" s="9" customFormat="1" x14ac:dyDescent="0.25">
      <c r="B38" s="9" t="s">
        <v>251</v>
      </c>
    </row>
    <row r="40" spans="2:19" x14ac:dyDescent="0.2">
      <c r="B40" s="3" t="s">
        <v>250</v>
      </c>
      <c r="F40" s="3" t="s">
        <v>244</v>
      </c>
      <c r="J40" s="69">
        <f>SUM(L40:S40)</f>
        <v>1177233161.139647</v>
      </c>
      <c r="L40" s="119">
        <f t="shared" ref="L40:R40" si="6">L23+L36</f>
        <v>21030143.564297974</v>
      </c>
      <c r="M40" s="119">
        <f t="shared" si="6"/>
        <v>30748206.157827992</v>
      </c>
      <c r="N40" s="119">
        <f t="shared" si="6"/>
        <v>348947924.85686386</v>
      </c>
      <c r="O40" s="119">
        <f t="shared" si="6"/>
        <v>430847038.68729115</v>
      </c>
      <c r="P40" s="119">
        <f t="shared" si="6"/>
        <v>17456841.893356755</v>
      </c>
      <c r="Q40" s="119">
        <f t="shared" si="6"/>
        <v>304759860.81609792</v>
      </c>
      <c r="R40" s="119">
        <f t="shared" si="6"/>
        <v>17930055.171566747</v>
      </c>
      <c r="S40" s="119">
        <f>S23+S36</f>
        <v>5513089.9923445722</v>
      </c>
    </row>
    <row r="42" spans="2:19" x14ac:dyDescent="0.25">
      <c r="L42" s="47"/>
      <c r="M42" s="47"/>
      <c r="N42" s="47"/>
      <c r="O42" s="47"/>
      <c r="P42" s="47"/>
      <c r="Q42" s="47"/>
      <c r="R42" s="47"/>
      <c r="S42" s="47"/>
    </row>
    <row r="43" spans="2:19" x14ac:dyDescent="0.25">
      <c r="L43" s="47"/>
      <c r="M43" s="47"/>
      <c r="N43" s="47"/>
      <c r="O43" s="47"/>
      <c r="P43" s="47"/>
      <c r="Q43" s="47"/>
      <c r="R43" s="47"/>
      <c r="S43" s="47"/>
    </row>
    <row r="45" spans="2:19" x14ac:dyDescent="0.25">
      <c r="L45" s="144"/>
      <c r="M45" s="144"/>
      <c r="N45" s="144"/>
      <c r="O45" s="144"/>
      <c r="P45" s="144"/>
      <c r="Q45" s="144"/>
      <c r="R45" s="144"/>
      <c r="S45" s="144"/>
    </row>
    <row r="46" spans="2:19" x14ac:dyDescent="0.25">
      <c r="L46" s="177"/>
      <c r="M46" s="177"/>
      <c r="N46" s="177"/>
      <c r="O46" s="177"/>
      <c r="P46" s="177"/>
      <c r="Q46" s="177"/>
      <c r="R46" s="177"/>
      <c r="S46" s="177"/>
    </row>
    <row r="47" spans="2:19" x14ac:dyDescent="0.25">
      <c r="L47" s="177"/>
      <c r="M47" s="177"/>
      <c r="N47" s="177"/>
      <c r="O47" s="177"/>
      <c r="P47" s="177"/>
      <c r="Q47" s="177"/>
      <c r="R47" s="177"/>
      <c r="S47" s="177"/>
    </row>
    <row r="48" spans="2:19" x14ac:dyDescent="0.25">
      <c r="L48" s="177"/>
      <c r="M48" s="177"/>
      <c r="N48" s="177"/>
      <c r="O48" s="177"/>
      <c r="P48" s="177"/>
      <c r="Q48" s="177"/>
      <c r="R48" s="177"/>
      <c r="S48" s="177"/>
    </row>
    <row r="49" spans="12:19" x14ac:dyDescent="0.25">
      <c r="L49" s="177"/>
      <c r="M49" s="177"/>
      <c r="N49" s="177"/>
      <c r="O49" s="177"/>
      <c r="P49" s="177"/>
      <c r="Q49" s="177"/>
      <c r="R49" s="177"/>
      <c r="S49" s="177"/>
    </row>
    <row r="50" spans="12:19" x14ac:dyDescent="0.25">
      <c r="L50" s="177"/>
      <c r="M50" s="177"/>
      <c r="N50" s="177"/>
      <c r="O50" s="177"/>
      <c r="P50" s="177"/>
      <c r="Q50" s="177"/>
      <c r="R50" s="177"/>
      <c r="S50" s="17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5"/>
  <cols>
    <col min="1" max="16384" width="9.140625" style="33"/>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X25"/>
  <sheetViews>
    <sheetView showGridLines="0" zoomScale="85" zoomScaleNormal="85" workbookViewId="0">
      <pane xSplit="6" ySplit="10" topLeftCell="G11" activePane="bottomRight" state="frozen"/>
      <selection activeCell="A4" sqref="A4"/>
      <selection pane="topRight" activeCell="A4" sqref="A4"/>
      <selection pane="bottomLeft" activeCell="A4" sqref="A4"/>
      <selection pane="bottomRight" activeCell="G11" sqref="G11"/>
    </sheetView>
  </sheetViews>
  <sheetFormatPr defaultRowHeight="12.75" x14ac:dyDescent="0.25"/>
  <cols>
    <col min="1" max="1" width="4" style="3" customWidth="1"/>
    <col min="2" max="2" width="41.42578125" style="3" customWidth="1"/>
    <col min="3" max="5" width="4.5703125" style="3" customWidth="1"/>
    <col min="6" max="6" width="13.7109375" style="3" customWidth="1"/>
    <col min="7" max="7" width="2.7109375" style="3" customWidth="1"/>
    <col min="8" max="8" width="13.7109375" style="3" customWidth="1"/>
    <col min="9" max="9" width="2.7109375" style="3" customWidth="1"/>
    <col min="10" max="10" width="13.7109375" style="3" customWidth="1"/>
    <col min="11" max="11" width="2.7109375" style="3" customWidth="1"/>
    <col min="12" max="19" width="13.28515625" style="3" customWidth="1"/>
    <col min="20" max="21" width="2.7109375" style="3" customWidth="1"/>
    <col min="22" max="22" width="24.7109375" style="3" customWidth="1"/>
    <col min="23" max="23" width="2.7109375" style="3" customWidth="1"/>
    <col min="24" max="24" width="13.7109375" style="3" customWidth="1"/>
    <col min="25" max="25" width="2.7109375" style="3" customWidth="1"/>
    <col min="26" max="40" width="13.7109375" style="3" customWidth="1"/>
    <col min="41" max="16384" width="9.140625" style="3"/>
  </cols>
  <sheetData>
    <row r="2" spans="2:24" s="28" customFormat="1" ht="18" x14ac:dyDescent="0.25">
      <c r="B2" s="28" t="s">
        <v>171</v>
      </c>
    </row>
    <row r="4" spans="2:24" x14ac:dyDescent="0.25">
      <c r="B4" s="2" t="s">
        <v>29</v>
      </c>
      <c r="C4" s="2"/>
      <c r="D4" s="2"/>
    </row>
    <row r="5" spans="2:24" x14ac:dyDescent="0.25">
      <c r="B5" s="35" t="s">
        <v>170</v>
      </c>
      <c r="C5" s="35"/>
      <c r="D5" s="35"/>
      <c r="H5" s="29"/>
    </row>
    <row r="6" spans="2:24" x14ac:dyDescent="0.25">
      <c r="B6" s="35"/>
      <c r="C6" s="35"/>
      <c r="D6" s="35"/>
      <c r="H6" s="29"/>
    </row>
    <row r="7" spans="2:24" x14ac:dyDescent="0.25">
      <c r="B7" s="6"/>
      <c r="C7" s="35"/>
      <c r="D7" s="35"/>
      <c r="H7" s="29"/>
    </row>
    <row r="9" spans="2:24" s="9" customFormat="1" x14ac:dyDescent="0.25">
      <c r="B9" s="9" t="s">
        <v>45</v>
      </c>
      <c r="F9" s="9" t="s">
        <v>27</v>
      </c>
      <c r="H9" s="9" t="s">
        <v>28</v>
      </c>
      <c r="J9" s="9" t="s">
        <v>49</v>
      </c>
      <c r="L9" s="9" t="s">
        <v>172</v>
      </c>
      <c r="M9" s="9" t="s">
        <v>65</v>
      </c>
      <c r="N9" s="9" t="s">
        <v>66</v>
      </c>
      <c r="O9" s="9" t="s">
        <v>67</v>
      </c>
      <c r="P9" s="9" t="s">
        <v>68</v>
      </c>
      <c r="Q9" s="9" t="s">
        <v>69</v>
      </c>
      <c r="R9" s="9" t="s">
        <v>70</v>
      </c>
      <c r="S9" s="9" t="s">
        <v>71</v>
      </c>
      <c r="V9" s="9" t="s">
        <v>46</v>
      </c>
      <c r="X9" s="9" t="s">
        <v>47</v>
      </c>
    </row>
    <row r="12" spans="2:24" s="9" customFormat="1" x14ac:dyDescent="0.25">
      <c r="B12" s="9" t="s">
        <v>207</v>
      </c>
    </row>
    <row r="14" spans="2:24" x14ac:dyDescent="0.25">
      <c r="B14" s="2" t="s">
        <v>169</v>
      </c>
    </row>
    <row r="15" spans="2:24" x14ac:dyDescent="0.2">
      <c r="B15" s="3" t="s">
        <v>160</v>
      </c>
      <c r="F15" s="58" t="s">
        <v>184</v>
      </c>
      <c r="L15" s="152">
        <v>20195500.85954722</v>
      </c>
      <c r="M15" s="152">
        <v>28572762.806057848</v>
      </c>
      <c r="N15" s="152">
        <v>330013605.11326003</v>
      </c>
      <c r="O15" s="152">
        <v>380662873.09869272</v>
      </c>
      <c r="P15" s="152">
        <v>17074085.421158154</v>
      </c>
      <c r="Q15" s="152">
        <v>282544855.87405187</v>
      </c>
      <c r="R15" s="152">
        <v>16130066.900690712</v>
      </c>
      <c r="S15" s="152">
        <v>5086673.7044375269</v>
      </c>
      <c r="V15" s="3" t="s">
        <v>409</v>
      </c>
    </row>
    <row r="17" spans="2:22" x14ac:dyDescent="0.25">
      <c r="B17" s="2" t="s">
        <v>168</v>
      </c>
    </row>
    <row r="18" spans="2:22" x14ac:dyDescent="0.2">
      <c r="B18" s="3" t="s">
        <v>161</v>
      </c>
      <c r="F18" s="58" t="s">
        <v>77</v>
      </c>
      <c r="L18" s="147">
        <v>1.54</v>
      </c>
      <c r="M18" s="147">
        <v>1.52</v>
      </c>
      <c r="N18" s="147">
        <v>1.54</v>
      </c>
      <c r="O18" s="147">
        <v>1.42</v>
      </c>
      <c r="P18" s="147">
        <v>1.44</v>
      </c>
      <c r="Q18" s="147">
        <v>1.46</v>
      </c>
      <c r="R18" s="147">
        <v>1.79</v>
      </c>
      <c r="S18" s="147">
        <v>2.25</v>
      </c>
      <c r="V18" s="3" t="s">
        <v>408</v>
      </c>
    </row>
    <row r="20" spans="2:22" s="9" customFormat="1" x14ac:dyDescent="0.25">
      <c r="B20" s="9" t="s">
        <v>236</v>
      </c>
    </row>
    <row r="22" spans="2:22" x14ac:dyDescent="0.2">
      <c r="B22" s="42" t="s">
        <v>208</v>
      </c>
      <c r="H22" s="153">
        <v>1.0770378277281506E-2</v>
      </c>
      <c r="V22" s="3" t="s">
        <v>237</v>
      </c>
    </row>
    <row r="25" spans="2:22" x14ac:dyDescent="0.25">
      <c r="B25" s="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2:Z41"/>
  <sheetViews>
    <sheetView showGridLines="0" zoomScale="85" zoomScaleNormal="85" workbookViewId="0">
      <pane xSplit="6" ySplit="10" topLeftCell="G11" activePane="bottomRight" state="frozen"/>
      <selection activeCell="A4" sqref="A4"/>
      <selection pane="topRight" activeCell="A4" sqref="A4"/>
      <selection pane="bottomLeft" activeCell="A4" sqref="A4"/>
      <selection pane="bottomRight" activeCell="G11" sqref="G11"/>
    </sheetView>
  </sheetViews>
  <sheetFormatPr defaultRowHeight="12.75" x14ac:dyDescent="0.25"/>
  <cols>
    <col min="1" max="1" width="4" style="3" customWidth="1"/>
    <col min="2" max="2" width="41.42578125" style="3" customWidth="1"/>
    <col min="3" max="5" width="4.5703125" style="3" customWidth="1"/>
    <col min="6" max="6" width="13.7109375" style="3" customWidth="1"/>
    <col min="7" max="7" width="2.7109375" style="3" customWidth="1"/>
    <col min="8" max="8" width="13.7109375" style="3" customWidth="1"/>
    <col min="9" max="9" width="2.7109375" style="3" customWidth="1"/>
    <col min="10" max="10" width="13.7109375" style="3" customWidth="1"/>
    <col min="11" max="11" width="2.7109375" style="3" customWidth="1"/>
    <col min="12" max="22" width="12.5703125" style="3" customWidth="1"/>
    <col min="23" max="23" width="2.7109375" style="3" customWidth="1"/>
    <col min="24" max="24" width="24.7109375" style="3" customWidth="1"/>
    <col min="25" max="25" width="2.7109375" style="3" customWidth="1"/>
    <col min="26" max="26" width="13.7109375" style="3" customWidth="1"/>
    <col min="27" max="27" width="2.7109375" style="3" customWidth="1"/>
    <col min="28" max="42" width="13.7109375" style="3" customWidth="1"/>
    <col min="43" max="16384" width="9.140625" style="3"/>
  </cols>
  <sheetData>
    <row r="2" spans="1:26" s="28" customFormat="1" ht="18" x14ac:dyDescent="0.25">
      <c r="B2" s="28" t="s">
        <v>191</v>
      </c>
    </row>
    <row r="4" spans="1:26" x14ac:dyDescent="0.25">
      <c r="B4" s="41" t="s">
        <v>29</v>
      </c>
      <c r="C4" s="2"/>
      <c r="D4" s="2"/>
    </row>
    <row r="5" spans="1:26" x14ac:dyDescent="0.25">
      <c r="B5" s="35" t="s">
        <v>216</v>
      </c>
      <c r="C5" s="35"/>
      <c r="D5" s="35"/>
      <c r="H5" s="29"/>
    </row>
    <row r="6" spans="1:26" x14ac:dyDescent="0.25">
      <c r="B6" s="35" t="s">
        <v>481</v>
      </c>
      <c r="C6" s="35"/>
      <c r="D6" s="35"/>
      <c r="H6" s="29"/>
    </row>
    <row r="7" spans="1:26" x14ac:dyDescent="0.25">
      <c r="B7" s="6"/>
      <c r="C7" s="35"/>
      <c r="D7" s="35"/>
      <c r="H7" s="29"/>
    </row>
    <row r="9" spans="1:26" s="9" customFormat="1" x14ac:dyDescent="0.25">
      <c r="B9" s="9" t="s">
        <v>45</v>
      </c>
      <c r="F9" s="9" t="s">
        <v>27</v>
      </c>
      <c r="H9" s="9" t="s">
        <v>28</v>
      </c>
      <c r="J9" s="9" t="s">
        <v>49</v>
      </c>
      <c r="L9" s="9" t="s">
        <v>125</v>
      </c>
      <c r="M9" s="9" t="s">
        <v>126</v>
      </c>
      <c r="N9" s="9" t="s">
        <v>127</v>
      </c>
      <c r="O9" s="9" t="s">
        <v>128</v>
      </c>
      <c r="P9" s="9" t="s">
        <v>129</v>
      </c>
      <c r="Q9" s="9" t="s">
        <v>130</v>
      </c>
      <c r="R9" s="9" t="s">
        <v>131</v>
      </c>
      <c r="S9" s="9" t="s">
        <v>132</v>
      </c>
      <c r="T9" s="9" t="s">
        <v>133</v>
      </c>
      <c r="U9" s="9" t="s">
        <v>134</v>
      </c>
      <c r="V9" s="9" t="s">
        <v>135</v>
      </c>
      <c r="X9" s="9" t="s">
        <v>46</v>
      </c>
      <c r="Z9" s="9" t="s">
        <v>47</v>
      </c>
    </row>
    <row r="12" spans="1:26" s="9" customFormat="1" x14ac:dyDescent="0.25">
      <c r="B12" s="9" t="s">
        <v>218</v>
      </c>
    </row>
    <row r="14" spans="1:26" x14ac:dyDescent="0.25">
      <c r="B14" s="41" t="s">
        <v>219</v>
      </c>
    </row>
    <row r="15" spans="1:26" x14ac:dyDescent="0.25">
      <c r="A15" s="10"/>
      <c r="B15" s="3" t="s">
        <v>136</v>
      </c>
    </row>
    <row r="16" spans="1:26" x14ac:dyDescent="0.25">
      <c r="A16" s="10"/>
      <c r="B16" s="3" t="s">
        <v>137</v>
      </c>
    </row>
    <row r="17" spans="1:26" x14ac:dyDescent="0.25">
      <c r="A17" s="10"/>
      <c r="B17" s="3" t="s">
        <v>226</v>
      </c>
    </row>
    <row r="18" spans="1:26" x14ac:dyDescent="0.2">
      <c r="A18" s="10"/>
      <c r="B18" s="71"/>
    </row>
    <row r="19" spans="1:26" ht="15" x14ac:dyDescent="0.25">
      <c r="A19" s="10"/>
      <c r="B19" s="3" t="s">
        <v>220</v>
      </c>
      <c r="F19" s="3" t="s">
        <v>138</v>
      </c>
      <c r="L19" s="153">
        <v>1.4999999999999999E-2</v>
      </c>
      <c r="M19" s="153">
        <v>2.5999999999999999E-2</v>
      </c>
      <c r="N19" s="153">
        <v>2.3E-2</v>
      </c>
      <c r="O19" s="153">
        <v>2.8000000000000001E-2</v>
      </c>
      <c r="P19" s="153">
        <v>0.01</v>
      </c>
      <c r="Q19" s="153">
        <v>8.0000000000000002E-3</v>
      </c>
      <c r="R19" s="153">
        <v>2E-3</v>
      </c>
      <c r="S19" s="153">
        <v>1.4E-2</v>
      </c>
      <c r="T19" s="153">
        <v>2.1000000000000001E-2</v>
      </c>
      <c r="U19" s="153">
        <v>2.8000000000000001E-2</v>
      </c>
      <c r="Z19" s="40"/>
    </row>
    <row r="20" spans="1:26" x14ac:dyDescent="0.25">
      <c r="A20" s="10"/>
    </row>
    <row r="22" spans="1:26" s="9" customFormat="1" x14ac:dyDescent="0.25">
      <c r="B22" s="9" t="s">
        <v>139</v>
      </c>
    </row>
    <row r="24" spans="1:26" x14ac:dyDescent="0.25">
      <c r="B24" s="41" t="s">
        <v>140</v>
      </c>
    </row>
    <row r="25" spans="1:26" x14ac:dyDescent="0.25">
      <c r="A25" s="10"/>
      <c r="B25" s="3" t="s">
        <v>221</v>
      </c>
    </row>
    <row r="26" spans="1:26" x14ac:dyDescent="0.25">
      <c r="A26" s="10"/>
      <c r="B26" s="3" t="s">
        <v>222</v>
      </c>
    </row>
    <row r="27" spans="1:26" x14ac:dyDescent="0.25">
      <c r="A27" s="10"/>
      <c r="B27" s="3" t="s">
        <v>223</v>
      </c>
    </row>
    <row r="28" spans="1:26" x14ac:dyDescent="0.25">
      <c r="A28" s="10"/>
      <c r="B28" s="3" t="s">
        <v>224</v>
      </c>
    </row>
    <row r="29" spans="1:26" ht="15" x14ac:dyDescent="0.25">
      <c r="A29" s="10"/>
      <c r="B29" s="108"/>
    </row>
    <row r="30" spans="1:26" ht="15" x14ac:dyDescent="0.25">
      <c r="A30" s="10"/>
      <c r="B30" s="108" t="s">
        <v>225</v>
      </c>
    </row>
    <row r="31" spans="1:26" x14ac:dyDescent="0.2">
      <c r="B31" s="71"/>
    </row>
    <row r="32" spans="1:26" x14ac:dyDescent="0.25">
      <c r="B32" s="41" t="s">
        <v>141</v>
      </c>
    </row>
    <row r="33" spans="2:21" x14ac:dyDescent="0.25">
      <c r="B33" s="3" t="s">
        <v>142</v>
      </c>
      <c r="F33" s="3" t="s">
        <v>138</v>
      </c>
      <c r="L33" s="153">
        <v>2.5000000000000001E-2</v>
      </c>
      <c r="M33" s="153">
        <v>2.8500000000000001E-2</v>
      </c>
      <c r="N33" s="153">
        <v>0.03</v>
      </c>
      <c r="O33" s="153">
        <v>0.03</v>
      </c>
      <c r="P33" s="153">
        <v>0.04</v>
      </c>
      <c r="Q33" s="153">
        <v>0.04</v>
      </c>
      <c r="R33" s="153">
        <v>0.04</v>
      </c>
      <c r="S33" s="153">
        <v>0.04</v>
      </c>
      <c r="T33" s="153">
        <v>0.04</v>
      </c>
      <c r="U33" s="140">
        <v>0.04</v>
      </c>
    </row>
    <row r="34" spans="2:21" x14ac:dyDescent="0.25">
      <c r="B34" s="3" t="s">
        <v>143</v>
      </c>
      <c r="F34" s="3" t="s">
        <v>138</v>
      </c>
      <c r="L34" s="153">
        <v>2.5000000000000001E-2</v>
      </c>
      <c r="M34" s="153">
        <v>2.3E-2</v>
      </c>
      <c r="N34" s="153">
        <v>0.03</v>
      </c>
      <c r="O34" s="153">
        <v>0.04</v>
      </c>
      <c r="P34" s="153">
        <v>0.04</v>
      </c>
      <c r="Q34" s="153">
        <v>0.04</v>
      </c>
      <c r="R34" s="153">
        <v>0.04</v>
      </c>
      <c r="S34" s="153">
        <v>0.04</v>
      </c>
      <c r="T34" s="153">
        <v>0.04</v>
      </c>
      <c r="U34" s="140">
        <v>0.04</v>
      </c>
    </row>
    <row r="35" spans="2:21" x14ac:dyDescent="0.25">
      <c r="B35" s="3" t="s">
        <v>144</v>
      </c>
      <c r="F35" s="3" t="s">
        <v>138</v>
      </c>
      <c r="L35" s="153">
        <v>2.75E-2</v>
      </c>
      <c r="M35" s="153">
        <v>2.5000000000000001E-2</v>
      </c>
      <c r="N35" s="153">
        <v>0.03</v>
      </c>
      <c r="O35" s="153">
        <v>0.04</v>
      </c>
      <c r="P35" s="153">
        <v>0.04</v>
      </c>
      <c r="Q35" s="153">
        <v>0.04</v>
      </c>
      <c r="R35" s="153">
        <v>0.04</v>
      </c>
      <c r="S35" s="153">
        <v>0.04</v>
      </c>
      <c r="T35" s="153">
        <v>0.04</v>
      </c>
    </row>
    <row r="36" spans="2:21" x14ac:dyDescent="0.25">
      <c r="B36" s="3" t="s">
        <v>145</v>
      </c>
      <c r="F36" s="3" t="s">
        <v>138</v>
      </c>
      <c r="L36" s="153">
        <v>0.03</v>
      </c>
      <c r="M36" s="153">
        <v>2.2499999999999999E-2</v>
      </c>
      <c r="N36" s="153">
        <v>0.03</v>
      </c>
      <c r="O36" s="153">
        <v>0.04</v>
      </c>
      <c r="P36" s="153">
        <v>0.04</v>
      </c>
      <c r="Q36" s="153">
        <v>0.04</v>
      </c>
      <c r="R36" s="153">
        <v>0.04</v>
      </c>
      <c r="S36" s="153">
        <v>0.04</v>
      </c>
      <c r="T36" s="140">
        <v>0.04</v>
      </c>
    </row>
    <row r="37" spans="2:21" x14ac:dyDescent="0.25">
      <c r="L37" s="141"/>
      <c r="M37" s="141"/>
      <c r="N37" s="141"/>
      <c r="O37" s="141"/>
      <c r="P37" s="141"/>
      <c r="Q37" s="141"/>
      <c r="R37" s="141"/>
      <c r="S37" s="141"/>
      <c r="T37" s="141"/>
    </row>
    <row r="38" spans="2:21" x14ac:dyDescent="0.25">
      <c r="L38" s="141"/>
      <c r="M38" s="141"/>
      <c r="N38" s="141"/>
      <c r="O38" s="141"/>
      <c r="P38" s="141"/>
      <c r="Q38" s="141"/>
      <c r="R38" s="141"/>
      <c r="S38" s="141"/>
      <c r="T38" s="141"/>
    </row>
    <row r="39" spans="2:21" s="9" customFormat="1" x14ac:dyDescent="0.25">
      <c r="B39" s="9" t="s">
        <v>480</v>
      </c>
    </row>
    <row r="41" spans="2:21" x14ac:dyDescent="0.25">
      <c r="B41" s="3" t="s">
        <v>477</v>
      </c>
      <c r="F41" s="3" t="s">
        <v>138</v>
      </c>
      <c r="H41" s="181">
        <v>0.21</v>
      </c>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2:X178"/>
  <sheetViews>
    <sheetView showGridLines="0" zoomScale="85" zoomScaleNormal="85" workbookViewId="0">
      <pane xSplit="6" ySplit="17" topLeftCell="G18" activePane="bottomRight" state="frozen"/>
      <selection activeCell="Q51" sqref="Q51"/>
      <selection pane="topRight" activeCell="Q51" sqref="Q51"/>
      <selection pane="bottomLeft" activeCell="Q51" sqref="Q51"/>
      <selection pane="bottomRight" activeCell="G18" sqref="G18"/>
    </sheetView>
  </sheetViews>
  <sheetFormatPr defaultRowHeight="12.75" x14ac:dyDescent="0.25"/>
  <cols>
    <col min="1" max="1" width="4" style="3" customWidth="1"/>
    <col min="2" max="2" width="63" style="3" customWidth="1"/>
    <col min="3" max="5" width="4.5703125" style="3" customWidth="1"/>
    <col min="6" max="6" width="13.28515625" style="3" bestFit="1" customWidth="1"/>
    <col min="7" max="7" width="2.7109375" style="3" customWidth="1"/>
    <col min="8" max="8" width="13.7109375" style="3" customWidth="1"/>
    <col min="9" max="9" width="2.7109375" style="3" customWidth="1"/>
    <col min="10" max="10" width="13.7109375" style="3" customWidth="1"/>
    <col min="11" max="11" width="2.7109375" style="3" customWidth="1"/>
    <col min="12" max="19" width="13.28515625" style="3" customWidth="1"/>
    <col min="20" max="21" width="2.7109375" style="3" customWidth="1"/>
    <col min="22" max="22" width="17.140625" style="3" customWidth="1"/>
    <col min="23" max="23" width="2.7109375" style="3" customWidth="1"/>
    <col min="24" max="24" width="13.7109375" style="3" customWidth="1"/>
    <col min="25" max="25" width="2.7109375" style="3" customWidth="1"/>
    <col min="26" max="40" width="13.7109375" style="3" customWidth="1"/>
    <col min="41" max="16384" width="9.140625" style="3"/>
  </cols>
  <sheetData>
    <row r="2" spans="2:24" s="28" customFormat="1" ht="18" x14ac:dyDescent="0.25">
      <c r="B2" s="28" t="s">
        <v>247</v>
      </c>
    </row>
    <row r="4" spans="2:24" x14ac:dyDescent="0.25">
      <c r="B4" s="2" t="s">
        <v>29</v>
      </c>
      <c r="C4" s="2"/>
      <c r="D4" s="2"/>
    </row>
    <row r="5" spans="2:24" x14ac:dyDescent="0.2">
      <c r="B5" s="70" t="s">
        <v>259</v>
      </c>
      <c r="L5" s="47"/>
      <c r="M5" s="47"/>
      <c r="N5" s="47"/>
      <c r="O5" s="47"/>
      <c r="P5" s="47"/>
      <c r="Q5" s="47"/>
      <c r="R5" s="47"/>
      <c r="S5" s="47"/>
    </row>
    <row r="6" spans="2:24" x14ac:dyDescent="0.2">
      <c r="B6" s="70" t="s">
        <v>260</v>
      </c>
      <c r="C6" s="4"/>
      <c r="D6" s="4"/>
      <c r="H6" s="29"/>
      <c r="L6" s="47"/>
      <c r="M6" s="47"/>
      <c r="N6" s="47"/>
      <c r="O6" s="47"/>
      <c r="P6" s="47"/>
      <c r="Q6" s="47"/>
      <c r="R6" s="47"/>
      <c r="S6" s="47"/>
    </row>
    <row r="7" spans="2:24" x14ac:dyDescent="0.2">
      <c r="B7" s="70"/>
      <c r="C7" s="4"/>
      <c r="D7" s="4"/>
      <c r="L7" s="47"/>
      <c r="M7" s="47"/>
      <c r="N7" s="47"/>
      <c r="O7" s="47"/>
      <c r="P7" s="47"/>
      <c r="Q7" s="47"/>
      <c r="R7" s="47"/>
      <c r="S7" s="47"/>
    </row>
    <row r="8" spans="2:24" x14ac:dyDescent="0.2">
      <c r="B8" s="70" t="s">
        <v>111</v>
      </c>
      <c r="C8" s="4"/>
      <c r="D8" s="4"/>
      <c r="L8" s="47"/>
      <c r="M8" s="47"/>
      <c r="N8" s="47"/>
      <c r="O8" s="47"/>
      <c r="P8" s="47"/>
      <c r="Q8" s="47"/>
      <c r="R8" s="47"/>
      <c r="S8" s="47"/>
    </row>
    <row r="9" spans="2:24" x14ac:dyDescent="0.2">
      <c r="B9" s="70" t="s">
        <v>227</v>
      </c>
      <c r="C9" s="4"/>
      <c r="D9" s="4"/>
      <c r="L9" s="47"/>
      <c r="M9" s="47"/>
      <c r="N9" s="47"/>
      <c r="O9" s="47"/>
      <c r="P9" s="47"/>
      <c r="Q9" s="47"/>
      <c r="R9" s="47"/>
      <c r="S9" s="47"/>
    </row>
    <row r="10" spans="2:24" x14ac:dyDescent="0.2">
      <c r="B10" s="70" t="s">
        <v>261</v>
      </c>
      <c r="C10" s="4"/>
      <c r="D10" s="4"/>
      <c r="L10" s="47"/>
      <c r="M10" s="47"/>
      <c r="N10" s="47"/>
      <c r="O10" s="47"/>
      <c r="P10" s="47"/>
      <c r="Q10" s="47"/>
      <c r="R10" s="47"/>
      <c r="S10" s="47"/>
    </row>
    <row r="11" spans="2:24" x14ac:dyDescent="0.2">
      <c r="B11" s="70" t="s">
        <v>112</v>
      </c>
      <c r="C11" s="4"/>
      <c r="D11" s="4"/>
      <c r="L11" s="47"/>
      <c r="M11" s="47"/>
      <c r="N11" s="47"/>
      <c r="O11" s="47"/>
      <c r="P11" s="47"/>
      <c r="Q11" s="47"/>
      <c r="R11" s="47"/>
      <c r="S11" s="47"/>
    </row>
    <row r="12" spans="2:24" x14ac:dyDescent="0.2">
      <c r="B12" s="70" t="s">
        <v>228</v>
      </c>
      <c r="C12" s="4"/>
      <c r="D12" s="4"/>
      <c r="L12" s="47"/>
      <c r="M12" s="47"/>
      <c r="N12" s="47"/>
      <c r="O12" s="47"/>
      <c r="P12" s="47"/>
      <c r="Q12" s="47"/>
      <c r="R12" s="47"/>
      <c r="S12" s="47"/>
    </row>
    <row r="13" spans="2:24" x14ac:dyDescent="0.2">
      <c r="B13" s="70"/>
      <c r="C13" s="4"/>
      <c r="D13" s="4"/>
      <c r="L13" s="47"/>
      <c r="M13" s="47"/>
      <c r="N13" s="47"/>
      <c r="O13" s="47"/>
      <c r="P13" s="47"/>
      <c r="Q13" s="47"/>
      <c r="R13" s="47"/>
      <c r="S13" s="47"/>
    </row>
    <row r="14" spans="2:24" x14ac:dyDescent="0.2">
      <c r="B14" s="70" t="s">
        <v>113</v>
      </c>
      <c r="C14" s="4"/>
      <c r="D14" s="4"/>
      <c r="L14" s="47"/>
      <c r="M14" s="47"/>
      <c r="N14" s="47"/>
      <c r="O14" s="47"/>
      <c r="P14" s="47"/>
      <c r="Q14" s="47"/>
      <c r="R14" s="47"/>
      <c r="S14" s="47"/>
    </row>
    <row r="16" spans="2:24" s="9" customFormat="1" x14ac:dyDescent="0.25">
      <c r="B16" s="9" t="s">
        <v>45</v>
      </c>
      <c r="F16" s="9" t="s">
        <v>27</v>
      </c>
      <c r="H16" s="9" t="s">
        <v>28</v>
      </c>
      <c r="J16" s="9" t="s">
        <v>49</v>
      </c>
      <c r="L16" s="9" t="s">
        <v>172</v>
      </c>
      <c r="M16" s="9" t="s">
        <v>65</v>
      </c>
      <c r="N16" s="9" t="s">
        <v>66</v>
      </c>
      <c r="O16" s="9" t="s">
        <v>67</v>
      </c>
      <c r="P16" s="9" t="s">
        <v>68</v>
      </c>
      <c r="Q16" s="9" t="s">
        <v>69</v>
      </c>
      <c r="R16" s="9" t="s">
        <v>70</v>
      </c>
      <c r="S16" s="9" t="s">
        <v>71</v>
      </c>
      <c r="V16" s="9" t="s">
        <v>46</v>
      </c>
      <c r="X16" s="9" t="s">
        <v>47</v>
      </c>
    </row>
    <row r="19" spans="2:23" s="9" customFormat="1" x14ac:dyDescent="0.25">
      <c r="B19" s="9" t="s">
        <v>262</v>
      </c>
    </row>
    <row r="20" spans="2:23" s="10" customFormat="1" ht="15" x14ac:dyDescent="0.25">
      <c r="F20" s="58"/>
      <c r="J20" s="65"/>
      <c r="L20" s="59"/>
      <c r="M20" s="59"/>
      <c r="N20" s="59"/>
      <c r="O20" s="59"/>
      <c r="P20" s="59"/>
      <c r="Q20" s="59"/>
      <c r="R20" s="59"/>
      <c r="S20" s="59"/>
      <c r="W20" s="60"/>
    </row>
    <row r="21" spans="2:23" s="10" customFormat="1" ht="15" x14ac:dyDescent="0.25">
      <c r="B21" s="79" t="s">
        <v>114</v>
      </c>
      <c r="F21" s="58"/>
      <c r="J21" s="65"/>
      <c r="L21" s="59"/>
      <c r="M21" s="59"/>
      <c r="N21" s="59"/>
      <c r="O21" s="59"/>
      <c r="P21" s="59"/>
      <c r="Q21" s="59"/>
      <c r="R21" s="59"/>
      <c r="S21" s="59"/>
      <c r="W21" s="60"/>
    </row>
    <row r="22" spans="2:23" s="10" customFormat="1" ht="15" x14ac:dyDescent="0.25">
      <c r="B22" s="83"/>
      <c r="F22" s="58"/>
      <c r="J22" s="65"/>
      <c r="L22" s="40"/>
      <c r="M22" s="59"/>
      <c r="N22" s="59"/>
      <c r="O22" s="59"/>
      <c r="P22" s="59"/>
      <c r="Q22" s="59"/>
      <c r="R22" s="59"/>
      <c r="S22" s="59"/>
      <c r="W22" s="60"/>
    </row>
    <row r="23" spans="2:23" s="10" customFormat="1" x14ac:dyDescent="0.2">
      <c r="B23" s="79" t="s">
        <v>263</v>
      </c>
      <c r="F23" s="58"/>
      <c r="J23" s="65"/>
      <c r="L23" s="59"/>
      <c r="M23" s="59"/>
      <c r="N23" s="59"/>
      <c r="O23" s="59"/>
      <c r="P23" s="59"/>
      <c r="Q23" s="59"/>
      <c r="R23" s="59"/>
      <c r="S23" s="59"/>
    </row>
    <row r="24" spans="2:23" s="10" customFormat="1" x14ac:dyDescent="0.2">
      <c r="B24" s="84" t="s">
        <v>115</v>
      </c>
      <c r="F24" s="58"/>
      <c r="J24" s="65"/>
      <c r="L24" s="59"/>
      <c r="M24" s="59"/>
      <c r="N24" s="59"/>
      <c r="O24" s="59"/>
      <c r="P24" s="59"/>
      <c r="Q24" s="59"/>
      <c r="R24" s="59"/>
      <c r="S24" s="59"/>
    </row>
    <row r="25" spans="2:23" s="10" customFormat="1" ht="15" x14ac:dyDescent="0.25">
      <c r="B25" s="58" t="s">
        <v>116</v>
      </c>
      <c r="F25" s="70" t="s">
        <v>187</v>
      </c>
      <c r="J25" s="65"/>
      <c r="L25" s="152">
        <v>0</v>
      </c>
      <c r="M25" s="152">
        <v>441514.35</v>
      </c>
      <c r="N25" s="152">
        <v>1760788.1117211969</v>
      </c>
      <c r="O25" s="152">
        <v>56090680.289999999</v>
      </c>
      <c r="P25" s="152">
        <v>97329.26</v>
      </c>
      <c r="Q25" s="152">
        <v>25719154.933196317</v>
      </c>
      <c r="R25" s="152">
        <v>13330.91</v>
      </c>
      <c r="S25" s="152">
        <v>0</v>
      </c>
      <c r="T25" s="70"/>
      <c r="V25" s="70" t="s">
        <v>270</v>
      </c>
      <c r="W25" s="60"/>
    </row>
    <row r="26" spans="2:23" s="10" customFormat="1" ht="15" x14ac:dyDescent="0.25">
      <c r="B26" s="58" t="s">
        <v>117</v>
      </c>
      <c r="F26" s="70" t="s">
        <v>187</v>
      </c>
      <c r="J26" s="65"/>
      <c r="L26" s="152">
        <v>0</v>
      </c>
      <c r="M26" s="152">
        <v>25237.050749978356</v>
      </c>
      <c r="N26" s="152">
        <v>0</v>
      </c>
      <c r="O26" s="152">
        <v>0</v>
      </c>
      <c r="P26" s="152">
        <v>0</v>
      </c>
      <c r="Q26" s="152">
        <v>0</v>
      </c>
      <c r="R26" s="152">
        <v>0</v>
      </c>
      <c r="S26" s="152">
        <v>0</v>
      </c>
      <c r="T26" s="70"/>
      <c r="V26" s="70" t="s">
        <v>271</v>
      </c>
      <c r="W26" s="60"/>
    </row>
    <row r="27" spans="2:23" s="10" customFormat="1" ht="15" x14ac:dyDescent="0.25">
      <c r="B27" s="84" t="s">
        <v>233</v>
      </c>
      <c r="F27" s="89"/>
      <c r="J27" s="65"/>
      <c r="L27" s="80"/>
      <c r="M27" s="80"/>
      <c r="N27" s="80"/>
      <c r="O27" s="80"/>
      <c r="P27" s="80"/>
      <c r="Q27" s="80"/>
      <c r="R27" s="80"/>
      <c r="S27" s="80"/>
      <c r="T27" s="89"/>
      <c r="V27" s="70"/>
      <c r="W27" s="60"/>
    </row>
    <row r="28" spans="2:23" s="10" customFormat="1" ht="15" x14ac:dyDescent="0.25">
      <c r="B28" s="58" t="s">
        <v>116</v>
      </c>
      <c r="F28" s="70" t="s">
        <v>187</v>
      </c>
      <c r="J28" s="65"/>
      <c r="L28" s="152">
        <v>0</v>
      </c>
      <c r="M28" s="152">
        <v>0</v>
      </c>
      <c r="N28" s="152">
        <v>0</v>
      </c>
      <c r="O28" s="152">
        <v>0</v>
      </c>
      <c r="P28" s="152">
        <v>0</v>
      </c>
      <c r="Q28" s="152">
        <v>0</v>
      </c>
      <c r="R28" s="152">
        <v>0</v>
      </c>
      <c r="S28" s="152">
        <v>0</v>
      </c>
      <c r="T28" s="70"/>
      <c r="V28" s="70" t="s">
        <v>272</v>
      </c>
      <c r="W28" s="60"/>
    </row>
    <row r="29" spans="2:23" s="10" customFormat="1" ht="15" x14ac:dyDescent="0.25">
      <c r="B29" s="58" t="s">
        <v>117</v>
      </c>
      <c r="F29" s="70" t="s">
        <v>187</v>
      </c>
      <c r="J29" s="65"/>
      <c r="L29" s="152">
        <v>0</v>
      </c>
      <c r="M29" s="152">
        <v>0</v>
      </c>
      <c r="N29" s="152">
        <v>0</v>
      </c>
      <c r="O29" s="152">
        <v>0</v>
      </c>
      <c r="P29" s="152">
        <v>0</v>
      </c>
      <c r="Q29" s="152">
        <v>0</v>
      </c>
      <c r="R29" s="152">
        <v>0</v>
      </c>
      <c r="S29" s="152">
        <v>0</v>
      </c>
      <c r="T29" s="70"/>
      <c r="V29" s="70" t="s">
        <v>273</v>
      </c>
      <c r="W29" s="60"/>
    </row>
    <row r="30" spans="2:23" s="10" customFormat="1" ht="15" x14ac:dyDescent="0.25">
      <c r="B30" s="84" t="s">
        <v>234</v>
      </c>
      <c r="F30" s="89"/>
      <c r="J30" s="65"/>
      <c r="L30" s="80"/>
      <c r="M30" s="80"/>
      <c r="N30" s="80"/>
      <c r="O30" s="80"/>
      <c r="P30" s="80"/>
      <c r="Q30" s="80"/>
      <c r="R30" s="80"/>
      <c r="S30" s="80"/>
      <c r="T30" s="89"/>
      <c r="V30" s="70"/>
      <c r="W30" s="60"/>
    </row>
    <row r="31" spans="2:23" s="10" customFormat="1" x14ac:dyDescent="0.2">
      <c r="B31" s="58" t="s">
        <v>116</v>
      </c>
      <c r="F31" s="70" t="s">
        <v>187</v>
      </c>
      <c r="J31" s="65"/>
      <c r="L31" s="152">
        <v>0</v>
      </c>
      <c r="M31" s="152">
        <v>0</v>
      </c>
      <c r="N31" s="152">
        <v>0</v>
      </c>
      <c r="O31" s="152">
        <v>0</v>
      </c>
      <c r="P31" s="152">
        <v>0</v>
      </c>
      <c r="Q31" s="152">
        <v>0</v>
      </c>
      <c r="R31" s="152">
        <v>0</v>
      </c>
      <c r="S31" s="152">
        <v>0</v>
      </c>
      <c r="T31" s="70"/>
      <c r="V31" s="70" t="s">
        <v>274</v>
      </c>
    </row>
    <row r="32" spans="2:23" s="10" customFormat="1" x14ac:dyDescent="0.2">
      <c r="B32" s="58" t="s">
        <v>117</v>
      </c>
      <c r="F32" s="70" t="s">
        <v>187</v>
      </c>
      <c r="J32" s="65"/>
      <c r="L32" s="152">
        <v>0</v>
      </c>
      <c r="M32" s="152">
        <v>0</v>
      </c>
      <c r="N32" s="152">
        <v>0</v>
      </c>
      <c r="O32" s="152">
        <v>0</v>
      </c>
      <c r="P32" s="152">
        <v>0</v>
      </c>
      <c r="Q32" s="152">
        <v>0</v>
      </c>
      <c r="R32" s="152">
        <v>0</v>
      </c>
      <c r="S32" s="152">
        <v>0</v>
      </c>
      <c r="T32" s="70"/>
      <c r="V32" s="70" t="s">
        <v>275</v>
      </c>
    </row>
    <row r="33" spans="2:23" s="10" customFormat="1" x14ac:dyDescent="0.2">
      <c r="B33" s="79"/>
      <c r="F33" s="70"/>
      <c r="J33" s="65"/>
      <c r="L33" s="93"/>
      <c r="M33" s="83"/>
      <c r="N33" s="83"/>
      <c r="O33" s="83"/>
      <c r="P33" s="83"/>
      <c r="Q33" s="83"/>
      <c r="R33" s="83"/>
      <c r="S33" s="83"/>
      <c r="T33" s="70"/>
      <c r="V33" s="70"/>
    </row>
    <row r="34" spans="2:23" s="10" customFormat="1" ht="15" x14ac:dyDescent="0.25">
      <c r="B34" s="79" t="s">
        <v>264</v>
      </c>
      <c r="F34" s="70"/>
      <c r="J34" s="66"/>
      <c r="L34" s="93"/>
      <c r="M34" s="83"/>
      <c r="N34" s="83"/>
      <c r="O34" s="83"/>
      <c r="P34" s="83"/>
      <c r="Q34" s="83"/>
      <c r="R34" s="83"/>
      <c r="S34" s="83"/>
      <c r="T34" s="70"/>
      <c r="V34" s="70"/>
    </row>
    <row r="35" spans="2:23" s="10" customFormat="1" ht="15" x14ac:dyDescent="0.25">
      <c r="B35" s="79"/>
      <c r="F35" s="70"/>
      <c r="J35" s="65"/>
      <c r="L35" s="93"/>
      <c r="M35" s="83"/>
      <c r="N35" s="83"/>
      <c r="O35" s="83"/>
      <c r="P35" s="83"/>
      <c r="Q35" s="83"/>
      <c r="R35" s="83"/>
      <c r="S35" s="83"/>
      <c r="T35" s="70"/>
      <c r="V35" s="70"/>
      <c r="W35" s="60"/>
    </row>
    <row r="36" spans="2:23" s="10" customFormat="1" ht="15" x14ac:dyDescent="0.25">
      <c r="B36" s="85" t="s">
        <v>118</v>
      </c>
      <c r="F36" s="70"/>
      <c r="J36" s="65"/>
      <c r="L36" s="94"/>
      <c r="M36" s="70"/>
      <c r="N36" s="125"/>
      <c r="O36" s="97"/>
      <c r="P36" s="94"/>
      <c r="Q36" s="97"/>
      <c r="R36" s="70"/>
      <c r="S36" s="70"/>
      <c r="T36" s="70"/>
      <c r="V36" s="70"/>
      <c r="W36" s="60"/>
    </row>
    <row r="37" spans="2:23" s="10" customFormat="1" ht="15" x14ac:dyDescent="0.25">
      <c r="B37" s="86" t="s">
        <v>119</v>
      </c>
      <c r="F37" s="70" t="s">
        <v>187</v>
      </c>
      <c r="J37" s="65"/>
      <c r="L37" s="95"/>
      <c r="M37" s="70"/>
      <c r="N37" s="118">
        <v>0</v>
      </c>
      <c r="O37" s="70"/>
      <c r="P37" s="152">
        <v>0</v>
      </c>
      <c r="Q37" s="70"/>
      <c r="R37" s="70"/>
      <c r="S37" s="70"/>
      <c r="T37" s="70"/>
      <c r="V37" s="70" t="s">
        <v>212</v>
      </c>
      <c r="W37" s="60"/>
    </row>
    <row r="38" spans="2:23" s="10" customFormat="1" ht="15" x14ac:dyDescent="0.25">
      <c r="B38" s="86" t="s">
        <v>120</v>
      </c>
      <c r="F38" s="70" t="s">
        <v>187</v>
      </c>
      <c r="J38" s="65"/>
      <c r="L38" s="95"/>
      <c r="M38" s="70"/>
      <c r="N38" s="118">
        <v>904780.76343284617</v>
      </c>
      <c r="O38" s="70"/>
      <c r="P38" s="152">
        <v>1794478.0751134637</v>
      </c>
      <c r="Q38" s="70"/>
      <c r="R38" s="70"/>
      <c r="S38" s="70"/>
      <c r="T38" s="70"/>
      <c r="V38" s="70" t="s">
        <v>212</v>
      </c>
      <c r="W38" s="60"/>
    </row>
    <row r="39" spans="2:23" s="10" customFormat="1" x14ac:dyDescent="0.2">
      <c r="B39" s="86" t="s">
        <v>121</v>
      </c>
      <c r="F39" s="70" t="s">
        <v>187</v>
      </c>
      <c r="J39" s="65"/>
      <c r="L39" s="95"/>
      <c r="M39" s="70"/>
      <c r="N39" s="118">
        <v>3619123.0537313968</v>
      </c>
      <c r="O39" s="70"/>
      <c r="P39" s="152">
        <v>0</v>
      </c>
      <c r="Q39" s="70"/>
      <c r="R39" s="70"/>
      <c r="S39" s="70"/>
      <c r="T39" s="70"/>
      <c r="V39" s="70" t="s">
        <v>212</v>
      </c>
    </row>
    <row r="40" spans="2:23" s="10" customFormat="1" x14ac:dyDescent="0.2">
      <c r="B40" s="86"/>
      <c r="F40" s="70"/>
      <c r="J40" s="65"/>
      <c r="L40" s="93"/>
      <c r="M40" s="83"/>
      <c r="N40" s="83"/>
      <c r="O40" s="83"/>
      <c r="P40" s="83"/>
      <c r="Q40" s="83"/>
      <c r="R40" s="83"/>
      <c r="S40" s="83"/>
      <c r="T40" s="70"/>
      <c r="U40" s="70"/>
    </row>
    <row r="41" spans="2:23" s="9" customFormat="1" x14ac:dyDescent="0.25">
      <c r="B41" s="9" t="s">
        <v>122</v>
      </c>
    </row>
    <row r="42" spans="2:23" s="10" customFormat="1" x14ac:dyDescent="0.2">
      <c r="B42" s="86"/>
      <c r="F42" s="70"/>
      <c r="J42" s="65"/>
      <c r="L42" s="93"/>
      <c r="M42" s="83"/>
      <c r="N42" s="83"/>
      <c r="O42" s="83"/>
      <c r="P42" s="83"/>
      <c r="Q42" s="83"/>
      <c r="R42" s="83"/>
      <c r="S42" s="83"/>
      <c r="T42" s="70"/>
      <c r="U42" s="70"/>
    </row>
    <row r="43" spans="2:23" s="10" customFormat="1" ht="15" x14ac:dyDescent="0.25">
      <c r="B43" s="79" t="s">
        <v>123</v>
      </c>
      <c r="F43" s="71"/>
      <c r="J43" s="65"/>
      <c r="L43" s="96"/>
      <c r="M43" s="96"/>
      <c r="N43" s="96"/>
      <c r="O43" s="96"/>
      <c r="P43" s="96"/>
      <c r="Q43" s="96"/>
      <c r="R43" s="96"/>
      <c r="S43" s="96"/>
      <c r="T43" s="71"/>
      <c r="U43" s="71"/>
      <c r="V43" s="60"/>
    </row>
    <row r="44" spans="2:23" s="10" customFormat="1" ht="15" x14ac:dyDescent="0.25">
      <c r="B44" s="79"/>
      <c r="F44" s="71"/>
      <c r="J44" s="65"/>
      <c r="L44" s="43"/>
      <c r="M44" s="43"/>
      <c r="N44" s="43"/>
      <c r="O44" s="43"/>
      <c r="P44" s="43"/>
      <c r="Q44" s="43"/>
      <c r="R44" s="43"/>
      <c r="S44" s="96"/>
      <c r="T44" s="71"/>
      <c r="U44" s="71"/>
      <c r="V44" s="60"/>
    </row>
    <row r="45" spans="2:23" s="10" customFormat="1" x14ac:dyDescent="0.2">
      <c r="B45" s="87" t="s">
        <v>177</v>
      </c>
      <c r="F45" s="42" t="s">
        <v>184</v>
      </c>
      <c r="J45" s="65"/>
      <c r="L45" s="152">
        <v>20195038.327987451</v>
      </c>
      <c r="M45" s="152">
        <v>28581616.499825902</v>
      </c>
      <c r="N45" s="152">
        <v>330728579.02088535</v>
      </c>
      <c r="O45" s="152">
        <v>410981757.82584947</v>
      </c>
      <c r="P45" s="152">
        <v>16766499.242208339</v>
      </c>
      <c r="Q45" s="152">
        <v>294484484.56993276</v>
      </c>
      <c r="R45" s="152">
        <v>16140308.05200607</v>
      </c>
      <c r="S45" s="152">
        <v>5086673.7044375269</v>
      </c>
      <c r="T45" s="87"/>
      <c r="U45" s="71"/>
      <c r="V45" s="10" t="s">
        <v>471</v>
      </c>
    </row>
    <row r="46" spans="2:23" s="10" customFormat="1" x14ac:dyDescent="0.2">
      <c r="B46" s="87" t="s">
        <v>178</v>
      </c>
      <c r="F46" s="87" t="s">
        <v>77</v>
      </c>
      <c r="L46" s="147">
        <v>1.54</v>
      </c>
      <c r="M46" s="147">
        <v>1.52</v>
      </c>
      <c r="N46" s="147">
        <v>1.53</v>
      </c>
      <c r="O46" s="147">
        <v>1.31</v>
      </c>
      <c r="P46" s="147">
        <v>1.35</v>
      </c>
      <c r="Q46" s="147">
        <v>1.4</v>
      </c>
      <c r="R46" s="147">
        <v>1.79</v>
      </c>
      <c r="S46" s="147">
        <v>2.25</v>
      </c>
      <c r="T46" s="87"/>
      <c r="U46" s="71"/>
      <c r="V46" s="10" t="s">
        <v>472</v>
      </c>
    </row>
    <row r="47" spans="2:23" s="91" customFormat="1" x14ac:dyDescent="0.2">
      <c r="B47" s="90"/>
      <c r="F47" s="90"/>
    </row>
    <row r="48" spans="2:23" s="92" customFormat="1" x14ac:dyDescent="0.2">
      <c r="B48" s="98"/>
      <c r="F48" s="99"/>
      <c r="H48" s="100"/>
    </row>
    <row r="49" spans="2:22" s="91" customFormat="1" x14ac:dyDescent="0.2">
      <c r="B49" s="98"/>
      <c r="F49" s="99"/>
      <c r="H49" s="100"/>
    </row>
    <row r="50" spans="2:22" s="10" customFormat="1" x14ac:dyDescent="0.2">
      <c r="B50" s="81"/>
      <c r="F50" s="101"/>
      <c r="H50" s="100"/>
    </row>
    <row r="51" spans="2:22" s="10" customFormat="1" x14ac:dyDescent="0.2">
      <c r="B51" s="81"/>
      <c r="F51" s="101"/>
    </row>
    <row r="52" spans="2:22" s="10" customFormat="1" x14ac:dyDescent="0.2">
      <c r="B52" s="71"/>
      <c r="F52" s="70"/>
    </row>
    <row r="53" spans="2:22" s="10" customFormat="1" ht="15" x14ac:dyDescent="0.25">
      <c r="B53" s="71"/>
      <c r="F53" s="70"/>
      <c r="J53" s="65"/>
      <c r="L53" s="59"/>
      <c r="M53" s="59"/>
      <c r="N53" s="59"/>
      <c r="O53" s="59"/>
      <c r="P53" s="59"/>
      <c r="Q53" s="59"/>
      <c r="R53" s="59"/>
      <c r="S53" s="59"/>
      <c r="V53" s="60"/>
    </row>
    <row r="54" spans="2:22" s="10" customFormat="1" ht="15" x14ac:dyDescent="0.25">
      <c r="B54" s="71"/>
      <c r="F54" s="70"/>
      <c r="J54" s="65"/>
      <c r="L54" s="59"/>
      <c r="M54" s="59"/>
      <c r="N54" s="59"/>
      <c r="O54" s="59"/>
      <c r="P54" s="59"/>
      <c r="Q54" s="59"/>
      <c r="R54" s="59"/>
      <c r="S54" s="59"/>
      <c r="V54" s="60"/>
    </row>
    <row r="55" spans="2:22" s="10" customFormat="1" ht="15" x14ac:dyDescent="0.25">
      <c r="F55" s="58"/>
      <c r="J55" s="65"/>
      <c r="L55" s="59"/>
      <c r="M55" s="59"/>
      <c r="N55" s="59"/>
      <c r="O55" s="59"/>
      <c r="P55" s="59"/>
      <c r="Q55" s="59"/>
      <c r="R55" s="59"/>
      <c r="S55" s="59"/>
      <c r="V55" s="60"/>
    </row>
    <row r="56" spans="2:22" s="10" customFormat="1" ht="15" x14ac:dyDescent="0.25">
      <c r="F56" s="58"/>
      <c r="J56" s="65"/>
      <c r="L56" s="59"/>
      <c r="M56" s="59"/>
      <c r="N56" s="59"/>
      <c r="O56" s="59"/>
      <c r="P56" s="59"/>
      <c r="Q56" s="59"/>
      <c r="R56" s="59"/>
      <c r="S56" s="59"/>
      <c r="V56" s="60"/>
    </row>
    <row r="57" spans="2:22" s="10" customFormat="1" ht="15" x14ac:dyDescent="0.25">
      <c r="F57" s="58"/>
      <c r="J57" s="65"/>
      <c r="L57" s="59"/>
      <c r="M57" s="59"/>
      <c r="N57" s="59"/>
      <c r="O57" s="59"/>
      <c r="P57" s="59"/>
      <c r="Q57" s="59"/>
      <c r="R57" s="59"/>
      <c r="S57" s="59"/>
      <c r="V57" s="60"/>
    </row>
    <row r="58" spans="2:22" s="10" customFormat="1" ht="15" x14ac:dyDescent="0.25">
      <c r="F58" s="58"/>
      <c r="J58" s="65"/>
      <c r="L58" s="59"/>
      <c r="M58" s="59"/>
      <c r="N58" s="59"/>
      <c r="O58" s="59"/>
      <c r="P58" s="59"/>
      <c r="Q58" s="59"/>
      <c r="R58" s="59"/>
      <c r="S58" s="59"/>
      <c r="V58" s="60"/>
    </row>
    <row r="59" spans="2:22" s="10" customFormat="1" x14ac:dyDescent="0.2">
      <c r="F59" s="58"/>
      <c r="J59" s="65"/>
      <c r="L59" s="59"/>
      <c r="M59" s="59"/>
      <c r="N59" s="59"/>
      <c r="O59" s="59"/>
      <c r="P59" s="59"/>
      <c r="Q59" s="59"/>
      <c r="R59" s="59"/>
      <c r="S59" s="59"/>
    </row>
    <row r="60" spans="2:22" s="10" customFormat="1" x14ac:dyDescent="0.2">
      <c r="B60" s="72"/>
      <c r="F60" s="58"/>
      <c r="J60" s="65"/>
      <c r="L60" s="59"/>
      <c r="M60" s="59"/>
      <c r="N60" s="59"/>
      <c r="O60" s="59"/>
      <c r="P60" s="59"/>
      <c r="Q60" s="59"/>
      <c r="R60" s="59"/>
      <c r="S60" s="59"/>
    </row>
    <row r="61" spans="2:22" s="10" customFormat="1" ht="15" x14ac:dyDescent="0.25">
      <c r="F61" s="58"/>
      <c r="J61" s="65"/>
      <c r="L61" s="59"/>
      <c r="M61" s="59"/>
      <c r="N61" s="59"/>
      <c r="O61" s="59"/>
      <c r="P61" s="59"/>
      <c r="Q61" s="59"/>
      <c r="R61" s="59"/>
      <c r="S61" s="59"/>
      <c r="V61" s="60"/>
    </row>
    <row r="62" spans="2:22" s="10" customFormat="1" ht="15" x14ac:dyDescent="0.25">
      <c r="F62" s="58"/>
      <c r="J62" s="65"/>
      <c r="L62" s="59"/>
      <c r="M62" s="59"/>
      <c r="N62" s="59"/>
      <c r="O62" s="59"/>
      <c r="P62" s="59"/>
      <c r="Q62" s="59"/>
      <c r="R62" s="59"/>
      <c r="S62" s="59"/>
      <c r="V62" s="60"/>
    </row>
    <row r="63" spans="2:22" s="10" customFormat="1" ht="15" x14ac:dyDescent="0.25">
      <c r="F63" s="58"/>
      <c r="J63" s="65"/>
      <c r="L63" s="59"/>
      <c r="M63" s="59"/>
      <c r="N63" s="59"/>
      <c r="O63" s="59"/>
      <c r="P63" s="59"/>
      <c r="Q63" s="59"/>
      <c r="R63" s="59"/>
      <c r="S63" s="59"/>
      <c r="V63" s="60"/>
    </row>
    <row r="64" spans="2:22" s="10" customFormat="1" ht="15" x14ac:dyDescent="0.25">
      <c r="F64" s="58"/>
      <c r="J64" s="65"/>
      <c r="L64" s="59"/>
      <c r="M64" s="59"/>
      <c r="N64" s="59"/>
      <c r="O64" s="59"/>
      <c r="P64" s="59"/>
      <c r="Q64" s="59"/>
      <c r="R64" s="59"/>
      <c r="S64" s="59"/>
      <c r="V64" s="60"/>
    </row>
    <row r="65" spans="2:22" s="10" customFormat="1" ht="15" x14ac:dyDescent="0.25">
      <c r="F65" s="58"/>
      <c r="J65" s="65"/>
      <c r="L65" s="59"/>
      <c r="M65" s="59"/>
      <c r="N65" s="59"/>
      <c r="O65" s="59"/>
      <c r="P65" s="59"/>
      <c r="Q65" s="59"/>
      <c r="R65" s="59"/>
      <c r="S65" s="59"/>
      <c r="V65" s="60"/>
    </row>
    <row r="66" spans="2:22" s="10" customFormat="1" ht="15" x14ac:dyDescent="0.25">
      <c r="F66" s="58"/>
      <c r="J66" s="65"/>
      <c r="L66" s="59"/>
      <c r="M66" s="59"/>
      <c r="N66" s="59"/>
      <c r="O66" s="59"/>
      <c r="P66" s="59"/>
      <c r="Q66" s="59"/>
      <c r="R66" s="59"/>
      <c r="S66" s="59"/>
      <c r="V66" s="60"/>
    </row>
    <row r="67" spans="2:22" s="10" customFormat="1" x14ac:dyDescent="0.2">
      <c r="F67" s="58"/>
      <c r="J67" s="65"/>
      <c r="L67" s="59"/>
      <c r="M67" s="59"/>
      <c r="N67" s="59"/>
      <c r="O67" s="59"/>
      <c r="P67" s="59"/>
      <c r="Q67" s="59"/>
      <c r="R67" s="59"/>
      <c r="S67" s="59"/>
    </row>
    <row r="68" spans="2:22" s="10" customFormat="1" x14ac:dyDescent="0.2">
      <c r="B68" s="72"/>
      <c r="F68" s="58"/>
      <c r="J68" s="65"/>
      <c r="L68" s="59"/>
      <c r="M68" s="59"/>
      <c r="N68" s="59"/>
      <c r="O68" s="59"/>
      <c r="P68" s="59"/>
      <c r="Q68" s="59"/>
      <c r="R68" s="59"/>
      <c r="S68" s="59"/>
    </row>
    <row r="69" spans="2:22" s="10" customFormat="1" x14ac:dyDescent="0.2">
      <c r="F69" s="58"/>
      <c r="J69" s="65"/>
      <c r="L69" s="59"/>
      <c r="M69" s="59"/>
      <c r="N69" s="59"/>
      <c r="O69" s="59"/>
      <c r="P69" s="59"/>
      <c r="Q69" s="59"/>
      <c r="R69" s="59"/>
      <c r="S69" s="59"/>
    </row>
    <row r="70" spans="2:22" s="10" customFormat="1" ht="15" x14ac:dyDescent="0.25">
      <c r="B70" s="72"/>
      <c r="F70" s="58"/>
      <c r="J70" s="66"/>
      <c r="L70" s="60"/>
      <c r="M70" s="60"/>
      <c r="N70" s="60"/>
      <c r="O70" s="60"/>
      <c r="P70" s="60"/>
      <c r="Q70" s="60"/>
      <c r="R70" s="60"/>
      <c r="S70" s="60"/>
    </row>
    <row r="71" spans="2:22" s="10" customFormat="1" ht="15" x14ac:dyDescent="0.25">
      <c r="F71" s="58"/>
      <c r="J71" s="65"/>
      <c r="L71" s="59"/>
      <c r="M71" s="59"/>
      <c r="N71" s="59"/>
      <c r="O71" s="59"/>
      <c r="P71" s="59"/>
      <c r="Q71" s="59"/>
      <c r="R71" s="59"/>
      <c r="S71" s="59"/>
      <c r="V71" s="60"/>
    </row>
    <row r="72" spans="2:22" s="10" customFormat="1" ht="15" x14ac:dyDescent="0.25">
      <c r="F72" s="58"/>
      <c r="J72" s="65"/>
      <c r="L72" s="59"/>
      <c r="M72" s="59"/>
      <c r="N72" s="59"/>
      <c r="O72" s="59"/>
      <c r="P72" s="59"/>
      <c r="Q72" s="59"/>
      <c r="R72" s="59"/>
      <c r="S72" s="59"/>
      <c r="V72" s="60"/>
    </row>
    <row r="73" spans="2:22" s="10" customFormat="1" ht="15" x14ac:dyDescent="0.25">
      <c r="F73" s="58"/>
      <c r="J73" s="65"/>
      <c r="L73" s="59"/>
      <c r="M73" s="59"/>
      <c r="N73" s="59"/>
      <c r="O73" s="59"/>
      <c r="P73" s="59"/>
      <c r="Q73" s="59"/>
      <c r="R73" s="59"/>
      <c r="S73" s="59"/>
      <c r="V73" s="60"/>
    </row>
    <row r="74" spans="2:22" s="10" customFormat="1" ht="15" x14ac:dyDescent="0.25">
      <c r="F74" s="58"/>
      <c r="J74" s="65"/>
      <c r="L74" s="59"/>
      <c r="M74" s="59"/>
      <c r="N74" s="59"/>
      <c r="O74" s="59"/>
      <c r="P74" s="59"/>
      <c r="Q74" s="59"/>
      <c r="R74" s="59"/>
      <c r="S74" s="59"/>
      <c r="V74" s="60"/>
    </row>
    <row r="75" spans="2:22" s="10" customFormat="1" x14ac:dyDescent="0.2">
      <c r="F75" s="58"/>
      <c r="J75" s="65"/>
      <c r="L75" s="59"/>
      <c r="M75" s="59"/>
      <c r="N75" s="59"/>
      <c r="O75" s="59"/>
      <c r="P75" s="59"/>
      <c r="Q75" s="59"/>
      <c r="R75" s="59"/>
      <c r="S75" s="59"/>
    </row>
    <row r="76" spans="2:22" s="10" customFormat="1" x14ac:dyDescent="0.2">
      <c r="B76" s="72"/>
      <c r="F76" s="58"/>
      <c r="J76" s="65"/>
      <c r="L76" s="59"/>
      <c r="M76" s="59"/>
      <c r="N76" s="59"/>
      <c r="O76" s="59"/>
      <c r="P76" s="59"/>
      <c r="Q76" s="59"/>
      <c r="R76" s="59"/>
      <c r="S76" s="59"/>
    </row>
    <row r="77" spans="2:22" s="10" customFormat="1" x14ac:dyDescent="0.2">
      <c r="F77" s="58"/>
      <c r="J77" s="65"/>
      <c r="L77" s="59"/>
      <c r="M77" s="59"/>
      <c r="N77" s="59"/>
      <c r="O77" s="59"/>
      <c r="P77" s="59"/>
      <c r="Q77" s="59"/>
      <c r="R77" s="59"/>
      <c r="S77" s="59"/>
    </row>
    <row r="78" spans="2:22" s="10" customFormat="1" x14ac:dyDescent="0.2">
      <c r="B78" s="72"/>
      <c r="F78" s="58"/>
      <c r="J78" s="65"/>
      <c r="L78" s="59"/>
      <c r="M78" s="59"/>
      <c r="N78" s="59"/>
      <c r="O78" s="59"/>
      <c r="P78" s="59"/>
      <c r="Q78" s="59"/>
      <c r="R78" s="59"/>
      <c r="S78" s="59"/>
    </row>
    <row r="79" spans="2:22" s="10" customFormat="1" ht="15" x14ac:dyDescent="0.25">
      <c r="F79" s="58"/>
      <c r="J79" s="65"/>
      <c r="L79" s="59"/>
      <c r="M79" s="59"/>
      <c r="N79" s="59"/>
      <c r="O79" s="59"/>
      <c r="P79" s="59"/>
      <c r="Q79" s="59"/>
      <c r="R79" s="59"/>
      <c r="S79" s="59"/>
      <c r="V79" s="60"/>
    </row>
    <row r="80" spans="2:22" s="10" customFormat="1" ht="15" x14ac:dyDescent="0.25">
      <c r="F80" s="58"/>
      <c r="J80" s="65"/>
      <c r="L80" s="59"/>
      <c r="M80" s="59"/>
      <c r="N80" s="59"/>
      <c r="O80" s="59"/>
      <c r="P80" s="59"/>
      <c r="Q80" s="59"/>
      <c r="R80" s="59"/>
      <c r="S80" s="59"/>
      <c r="V80" s="60"/>
    </row>
    <row r="81" spans="2:22" s="10" customFormat="1" ht="15" x14ac:dyDescent="0.25">
      <c r="F81" s="58"/>
      <c r="J81" s="65"/>
      <c r="L81" s="59"/>
      <c r="M81" s="59"/>
      <c r="N81" s="59"/>
      <c r="O81" s="59"/>
      <c r="P81" s="59"/>
      <c r="Q81" s="59"/>
      <c r="R81" s="59"/>
      <c r="S81" s="59"/>
      <c r="V81" s="60"/>
    </row>
    <row r="82" spans="2:22" s="10" customFormat="1" ht="15" x14ac:dyDescent="0.25">
      <c r="F82" s="58"/>
      <c r="J82" s="65"/>
      <c r="L82" s="59"/>
      <c r="M82" s="59"/>
      <c r="N82" s="59"/>
      <c r="O82" s="59"/>
      <c r="P82" s="59"/>
      <c r="Q82" s="59"/>
      <c r="R82" s="59"/>
      <c r="S82" s="59"/>
      <c r="V82" s="60"/>
    </row>
    <row r="83" spans="2:22" s="10" customFormat="1" x14ac:dyDescent="0.25">
      <c r="J83" s="67"/>
    </row>
    <row r="84" spans="2:22" s="73" customFormat="1" x14ac:dyDescent="0.25"/>
    <row r="85" spans="2:22" s="10" customFormat="1" x14ac:dyDescent="0.25"/>
    <row r="86" spans="2:22" s="10" customFormat="1" x14ac:dyDescent="0.25">
      <c r="B86" s="72"/>
    </row>
    <row r="87" spans="2:22" s="10" customFormat="1" x14ac:dyDescent="0.25"/>
    <row r="88" spans="2:22" s="10" customFormat="1" x14ac:dyDescent="0.25">
      <c r="B88" s="72"/>
      <c r="J88" s="67"/>
    </row>
    <row r="89" spans="2:22" s="10" customFormat="1" ht="15" x14ac:dyDescent="0.25">
      <c r="F89" s="58"/>
      <c r="J89" s="65"/>
      <c r="L89" s="59"/>
      <c r="M89" s="59"/>
      <c r="N89" s="59"/>
      <c r="O89" s="59"/>
      <c r="P89" s="59"/>
      <c r="Q89" s="59"/>
      <c r="R89" s="59"/>
      <c r="S89" s="59"/>
      <c r="V89" s="60"/>
    </row>
    <row r="90" spans="2:22" s="10" customFormat="1" ht="15" x14ac:dyDescent="0.25">
      <c r="F90" s="58"/>
      <c r="J90" s="65"/>
      <c r="L90" s="59"/>
      <c r="M90" s="59"/>
      <c r="N90" s="59"/>
      <c r="O90" s="59"/>
      <c r="P90" s="59"/>
      <c r="Q90" s="59"/>
      <c r="R90" s="59"/>
      <c r="S90" s="59"/>
      <c r="V90" s="60"/>
    </row>
    <row r="91" spans="2:22" s="10" customFormat="1" ht="15" x14ac:dyDescent="0.25">
      <c r="F91" s="58"/>
      <c r="J91" s="65"/>
      <c r="L91" s="59"/>
      <c r="M91" s="59"/>
      <c r="N91" s="59"/>
      <c r="O91" s="59"/>
      <c r="P91" s="59"/>
      <c r="Q91" s="59"/>
      <c r="R91" s="59"/>
      <c r="S91" s="59"/>
      <c r="V91" s="60"/>
    </row>
    <row r="92" spans="2:22" s="10" customFormat="1" ht="15" x14ac:dyDescent="0.25">
      <c r="F92" s="58"/>
      <c r="J92" s="65"/>
      <c r="L92" s="59"/>
      <c r="M92" s="59"/>
      <c r="N92" s="59"/>
      <c r="O92" s="59"/>
      <c r="P92" s="59"/>
      <c r="Q92" s="59"/>
      <c r="R92" s="59"/>
      <c r="S92" s="59"/>
      <c r="V92" s="60"/>
    </row>
    <row r="93" spans="2:22" s="10" customFormat="1" ht="15" x14ac:dyDescent="0.25">
      <c r="F93" s="58"/>
      <c r="J93" s="65"/>
      <c r="L93" s="59"/>
      <c r="M93" s="59"/>
      <c r="N93" s="59"/>
      <c r="O93" s="59"/>
      <c r="P93" s="59"/>
      <c r="Q93" s="59"/>
      <c r="R93" s="59"/>
      <c r="S93" s="59"/>
      <c r="V93" s="60"/>
    </row>
    <row r="94" spans="2:22" s="10" customFormat="1" ht="15" x14ac:dyDescent="0.25">
      <c r="F94" s="58"/>
      <c r="J94" s="65"/>
      <c r="L94" s="59"/>
      <c r="M94" s="59"/>
      <c r="N94" s="59"/>
      <c r="O94" s="59"/>
      <c r="P94" s="59"/>
      <c r="Q94" s="59"/>
      <c r="R94" s="59"/>
      <c r="S94" s="59"/>
      <c r="V94" s="60"/>
    </row>
    <row r="95" spans="2:22" s="10" customFormat="1" x14ac:dyDescent="0.2">
      <c r="F95" s="58"/>
      <c r="J95" s="65"/>
      <c r="L95" s="59"/>
      <c r="M95" s="59"/>
      <c r="N95" s="59"/>
      <c r="O95" s="59"/>
      <c r="P95" s="59"/>
      <c r="Q95" s="59"/>
      <c r="R95" s="59"/>
      <c r="S95" s="59"/>
    </row>
    <row r="96" spans="2:22" s="10" customFormat="1" x14ac:dyDescent="0.2">
      <c r="B96" s="72"/>
      <c r="F96" s="58"/>
      <c r="J96" s="65"/>
      <c r="L96" s="59"/>
      <c r="M96" s="59"/>
      <c r="N96" s="59"/>
      <c r="O96" s="59"/>
      <c r="P96" s="59"/>
      <c r="Q96" s="59"/>
      <c r="R96" s="59"/>
      <c r="S96" s="59"/>
    </row>
    <row r="97" spans="2:22" s="10" customFormat="1" ht="15" x14ac:dyDescent="0.25">
      <c r="F97" s="58"/>
      <c r="J97" s="65"/>
      <c r="L97" s="59"/>
      <c r="M97" s="59"/>
      <c r="N97" s="59"/>
      <c r="O97" s="59"/>
      <c r="P97" s="59"/>
      <c r="Q97" s="59"/>
      <c r="R97" s="59"/>
      <c r="S97" s="59"/>
      <c r="V97" s="60"/>
    </row>
    <row r="98" spans="2:22" s="10" customFormat="1" ht="15" x14ac:dyDescent="0.25">
      <c r="F98" s="58"/>
      <c r="J98" s="65"/>
      <c r="L98" s="59"/>
      <c r="M98" s="59"/>
      <c r="N98" s="59"/>
      <c r="O98" s="59"/>
      <c r="P98" s="59"/>
      <c r="Q98" s="59"/>
      <c r="R98" s="59"/>
      <c r="S98" s="59"/>
      <c r="V98" s="60"/>
    </row>
    <row r="99" spans="2:22" s="10" customFormat="1" ht="15" x14ac:dyDescent="0.25">
      <c r="F99" s="58"/>
      <c r="J99" s="65"/>
      <c r="L99" s="59"/>
      <c r="M99" s="59"/>
      <c r="N99" s="59"/>
      <c r="O99" s="59"/>
      <c r="P99" s="59"/>
      <c r="Q99" s="59"/>
      <c r="R99" s="59"/>
      <c r="S99" s="59"/>
      <c r="V99" s="60"/>
    </row>
    <row r="100" spans="2:22" s="10" customFormat="1" ht="15" x14ac:dyDescent="0.25">
      <c r="F100" s="58"/>
      <c r="J100" s="65"/>
      <c r="L100" s="59"/>
      <c r="M100" s="59"/>
      <c r="N100" s="59"/>
      <c r="O100" s="59"/>
      <c r="P100" s="59"/>
      <c r="Q100" s="59"/>
      <c r="R100" s="59"/>
      <c r="S100" s="59"/>
      <c r="V100" s="60"/>
    </row>
    <row r="101" spans="2:22" s="10" customFormat="1" ht="15" x14ac:dyDescent="0.25">
      <c r="F101" s="58"/>
      <c r="J101" s="65"/>
      <c r="L101" s="59"/>
      <c r="M101" s="59"/>
      <c r="N101" s="59"/>
      <c r="O101" s="59"/>
      <c r="P101" s="59"/>
      <c r="Q101" s="59"/>
      <c r="R101" s="59"/>
      <c r="S101" s="59"/>
      <c r="V101" s="60"/>
    </row>
    <row r="102" spans="2:22" s="10" customFormat="1" ht="15" x14ac:dyDescent="0.25">
      <c r="F102" s="58"/>
      <c r="J102" s="65"/>
      <c r="L102" s="59"/>
      <c r="M102" s="59"/>
      <c r="N102" s="59"/>
      <c r="O102" s="59"/>
      <c r="P102" s="59"/>
      <c r="Q102" s="59"/>
      <c r="R102" s="59"/>
      <c r="S102" s="59"/>
      <c r="V102" s="60"/>
    </row>
    <row r="103" spans="2:22" s="10" customFormat="1" x14ac:dyDescent="0.2">
      <c r="F103" s="58"/>
      <c r="J103" s="65"/>
      <c r="L103" s="59"/>
      <c r="M103" s="59"/>
      <c r="N103" s="59"/>
      <c r="O103" s="59"/>
      <c r="P103" s="59"/>
      <c r="Q103" s="59"/>
      <c r="R103" s="59"/>
      <c r="S103" s="59"/>
    </row>
    <row r="104" spans="2:22" s="10" customFormat="1" x14ac:dyDescent="0.2">
      <c r="B104" s="72"/>
      <c r="F104" s="58"/>
      <c r="J104" s="65"/>
      <c r="L104" s="59"/>
      <c r="M104" s="59"/>
      <c r="N104" s="59"/>
      <c r="O104" s="59"/>
      <c r="P104" s="59"/>
      <c r="Q104" s="59"/>
      <c r="R104" s="59"/>
      <c r="S104" s="59"/>
    </row>
    <row r="105" spans="2:22" s="10" customFormat="1" x14ac:dyDescent="0.2">
      <c r="F105" s="58"/>
      <c r="J105" s="65"/>
      <c r="L105" s="59"/>
      <c r="M105" s="59"/>
      <c r="N105" s="59"/>
      <c r="O105" s="59"/>
      <c r="P105" s="59"/>
      <c r="Q105" s="59"/>
      <c r="R105" s="59"/>
      <c r="S105" s="59"/>
    </row>
    <row r="106" spans="2:22" s="10" customFormat="1" ht="15" x14ac:dyDescent="0.25">
      <c r="B106" s="72"/>
      <c r="F106" s="58"/>
      <c r="J106" s="66"/>
      <c r="L106" s="60"/>
      <c r="M106" s="60"/>
      <c r="N106" s="60"/>
      <c r="O106" s="60"/>
      <c r="P106" s="60"/>
      <c r="Q106" s="60"/>
      <c r="R106" s="60"/>
      <c r="S106" s="60"/>
    </row>
    <row r="107" spans="2:22" s="10" customFormat="1" ht="15" x14ac:dyDescent="0.25">
      <c r="F107" s="58"/>
      <c r="J107" s="65"/>
      <c r="L107" s="59"/>
      <c r="M107" s="59"/>
      <c r="N107" s="59"/>
      <c r="O107" s="59"/>
      <c r="P107" s="59"/>
      <c r="Q107" s="59"/>
      <c r="R107" s="59"/>
      <c r="S107" s="59"/>
      <c r="V107" s="60"/>
    </row>
    <row r="108" spans="2:22" s="10" customFormat="1" ht="15" x14ac:dyDescent="0.25">
      <c r="F108" s="58"/>
      <c r="J108" s="65"/>
      <c r="L108" s="59"/>
      <c r="M108" s="59"/>
      <c r="N108" s="59"/>
      <c r="O108" s="59"/>
      <c r="P108" s="59"/>
      <c r="Q108" s="59"/>
      <c r="R108" s="59"/>
      <c r="S108" s="59"/>
      <c r="V108" s="60"/>
    </row>
    <row r="109" spans="2:22" s="10" customFormat="1" ht="15" x14ac:dyDescent="0.25">
      <c r="F109" s="58"/>
      <c r="J109" s="65"/>
      <c r="L109" s="59"/>
      <c r="M109" s="59"/>
      <c r="N109" s="59"/>
      <c r="O109" s="59"/>
      <c r="P109" s="59"/>
      <c r="Q109" s="59"/>
      <c r="R109" s="59"/>
      <c r="S109" s="59"/>
      <c r="V109" s="60"/>
    </row>
    <row r="110" spans="2:22" s="10" customFormat="1" ht="15" x14ac:dyDescent="0.25">
      <c r="F110" s="58"/>
      <c r="J110" s="65"/>
      <c r="L110" s="59"/>
      <c r="M110" s="59"/>
      <c r="N110" s="59"/>
      <c r="O110" s="59"/>
      <c r="P110" s="59"/>
      <c r="Q110" s="59"/>
      <c r="R110" s="59"/>
      <c r="S110" s="59"/>
      <c r="V110" s="60"/>
    </row>
    <row r="111" spans="2:22" s="10" customFormat="1" x14ac:dyDescent="0.2">
      <c r="F111" s="58"/>
      <c r="J111" s="65"/>
      <c r="L111" s="59"/>
      <c r="M111" s="59"/>
      <c r="N111" s="59"/>
      <c r="O111" s="59"/>
      <c r="P111" s="59"/>
      <c r="Q111" s="59"/>
      <c r="R111" s="59"/>
      <c r="S111" s="59"/>
    </row>
    <row r="112" spans="2:22" s="10" customFormat="1" x14ac:dyDescent="0.2">
      <c r="B112" s="72"/>
      <c r="F112" s="58"/>
      <c r="J112" s="65"/>
      <c r="L112" s="59"/>
      <c r="M112" s="59"/>
      <c r="N112" s="59"/>
      <c r="O112" s="59"/>
      <c r="P112" s="59"/>
      <c r="Q112" s="59"/>
      <c r="R112" s="59"/>
      <c r="S112" s="59"/>
    </row>
    <row r="113" spans="1:22" s="10" customFormat="1" x14ac:dyDescent="0.2">
      <c r="F113" s="58"/>
      <c r="J113" s="65"/>
      <c r="L113" s="59"/>
      <c r="M113" s="59"/>
      <c r="N113" s="59"/>
      <c r="O113" s="59"/>
      <c r="P113" s="59"/>
      <c r="Q113" s="59"/>
      <c r="R113" s="59"/>
      <c r="S113" s="59"/>
    </row>
    <row r="114" spans="1:22" s="10" customFormat="1" x14ac:dyDescent="0.2">
      <c r="B114" s="72"/>
      <c r="F114" s="58"/>
      <c r="J114" s="65"/>
      <c r="L114" s="59"/>
      <c r="M114" s="59"/>
      <c r="N114" s="59"/>
      <c r="O114" s="59"/>
      <c r="P114" s="59"/>
      <c r="Q114" s="59"/>
      <c r="R114" s="59"/>
      <c r="S114" s="59"/>
    </row>
    <row r="115" spans="1:22" s="10" customFormat="1" ht="15" x14ac:dyDescent="0.25">
      <c r="F115" s="58"/>
      <c r="J115" s="65"/>
      <c r="L115" s="59"/>
      <c r="M115" s="59"/>
      <c r="N115" s="59"/>
      <c r="O115" s="59"/>
      <c r="P115" s="59"/>
      <c r="Q115" s="59"/>
      <c r="R115" s="59"/>
      <c r="S115" s="59"/>
      <c r="V115" s="60"/>
    </row>
    <row r="116" spans="1:22" s="10" customFormat="1" ht="15" x14ac:dyDescent="0.25">
      <c r="F116" s="58"/>
      <c r="J116" s="65"/>
      <c r="L116" s="59"/>
      <c r="M116" s="59"/>
      <c r="N116" s="59"/>
      <c r="O116" s="59"/>
      <c r="P116" s="59"/>
      <c r="Q116" s="59"/>
      <c r="R116" s="59"/>
      <c r="S116" s="59"/>
      <c r="V116" s="60"/>
    </row>
    <row r="117" spans="1:22" s="10" customFormat="1" ht="15" x14ac:dyDescent="0.25">
      <c r="F117" s="58"/>
      <c r="J117" s="65"/>
      <c r="L117" s="59"/>
      <c r="M117" s="59"/>
      <c r="N117" s="59"/>
      <c r="O117" s="59"/>
      <c r="P117" s="59"/>
      <c r="Q117" s="59"/>
      <c r="R117" s="59"/>
      <c r="S117" s="59"/>
      <c r="V117" s="60"/>
    </row>
    <row r="118" spans="1:22" s="10" customFormat="1" ht="15" x14ac:dyDescent="0.25">
      <c r="F118" s="58"/>
      <c r="J118" s="65"/>
      <c r="L118" s="59"/>
      <c r="M118" s="59"/>
      <c r="N118" s="59"/>
      <c r="O118" s="59"/>
      <c r="P118" s="59"/>
      <c r="Q118" s="59"/>
      <c r="R118" s="59"/>
      <c r="S118" s="59"/>
      <c r="V118" s="60"/>
    </row>
    <row r="119" spans="1:22" s="10" customFormat="1" x14ac:dyDescent="0.25"/>
    <row r="120" spans="1:22" s="73" customFormat="1" x14ac:dyDescent="0.25">
      <c r="B120" s="74"/>
      <c r="L120" s="75"/>
      <c r="M120" s="75"/>
      <c r="N120" s="75"/>
      <c r="O120" s="75"/>
      <c r="P120" s="75"/>
      <c r="Q120" s="75"/>
      <c r="R120" s="75"/>
      <c r="S120" s="75"/>
    </row>
    <row r="121" spans="1:22" s="60" customFormat="1" ht="15" x14ac:dyDescent="0.25">
      <c r="A121" s="58"/>
      <c r="B121" s="58"/>
      <c r="C121" s="58"/>
      <c r="D121" s="58"/>
      <c r="E121" s="58"/>
      <c r="F121" s="57"/>
      <c r="G121" s="58"/>
      <c r="H121" s="59"/>
      <c r="I121" s="59"/>
      <c r="J121" s="59"/>
      <c r="K121" s="59"/>
      <c r="L121" s="59"/>
      <c r="M121" s="59"/>
      <c r="N121" s="59"/>
    </row>
    <row r="122" spans="1:22" s="60" customFormat="1" ht="15" x14ac:dyDescent="0.25">
      <c r="B122" s="76"/>
      <c r="C122" s="58"/>
      <c r="D122" s="58"/>
      <c r="E122" s="58"/>
      <c r="F122" s="57"/>
      <c r="G122" s="58"/>
      <c r="H122" s="59"/>
      <c r="I122" s="59"/>
      <c r="J122" s="59"/>
      <c r="K122" s="59"/>
      <c r="L122" s="59"/>
      <c r="M122" s="59"/>
      <c r="N122" s="59"/>
    </row>
    <row r="123" spans="1:22" s="60" customFormat="1" ht="15" x14ac:dyDescent="0.25">
      <c r="B123" s="58"/>
      <c r="C123" s="58"/>
      <c r="D123" s="58"/>
      <c r="E123" s="58"/>
      <c r="F123" s="57"/>
      <c r="G123" s="58"/>
      <c r="H123" s="59"/>
      <c r="I123" s="59"/>
      <c r="J123" s="59"/>
      <c r="K123" s="59"/>
      <c r="L123" s="59"/>
      <c r="M123" s="59"/>
      <c r="N123" s="59"/>
    </row>
    <row r="124" spans="1:22" s="60" customFormat="1" ht="15" x14ac:dyDescent="0.25">
      <c r="B124" s="76"/>
      <c r="C124" s="58"/>
      <c r="D124" s="58"/>
      <c r="E124" s="58"/>
      <c r="F124" s="57"/>
      <c r="G124" s="58"/>
      <c r="H124" s="59"/>
      <c r="I124" s="59"/>
      <c r="J124" s="59"/>
      <c r="K124" s="59"/>
      <c r="L124" s="59"/>
      <c r="M124" s="59"/>
      <c r="N124" s="59"/>
    </row>
    <row r="125" spans="1:22" s="60" customFormat="1" ht="15" x14ac:dyDescent="0.25">
      <c r="B125" s="58"/>
      <c r="C125" s="10"/>
      <c r="D125" s="10"/>
      <c r="E125" s="58"/>
      <c r="F125" s="58"/>
      <c r="G125" s="10"/>
      <c r="H125" s="10"/>
      <c r="I125" s="10"/>
      <c r="J125" s="65"/>
      <c r="K125" s="58"/>
      <c r="L125" s="59"/>
      <c r="M125" s="59"/>
      <c r="N125" s="59"/>
      <c r="O125" s="59"/>
      <c r="P125" s="59"/>
      <c r="Q125" s="59"/>
      <c r="R125" s="59"/>
      <c r="S125" s="59"/>
    </row>
    <row r="126" spans="1:22" s="60" customFormat="1" ht="15" x14ac:dyDescent="0.25">
      <c r="B126" s="58"/>
      <c r="C126" s="10"/>
      <c r="D126" s="10"/>
      <c r="E126" s="58"/>
      <c r="F126" s="58"/>
      <c r="G126" s="10"/>
      <c r="H126" s="10"/>
      <c r="I126" s="10"/>
      <c r="J126" s="65"/>
      <c r="K126" s="58"/>
      <c r="L126" s="59"/>
      <c r="M126" s="59"/>
      <c r="N126" s="59"/>
      <c r="O126" s="59"/>
      <c r="P126" s="59"/>
      <c r="Q126" s="59"/>
      <c r="R126" s="59"/>
      <c r="S126" s="59"/>
    </row>
    <row r="127" spans="1:22" s="60" customFormat="1" ht="15" x14ac:dyDescent="0.25">
      <c r="B127" s="58"/>
      <c r="C127" s="10"/>
      <c r="D127" s="10"/>
      <c r="E127" s="58"/>
      <c r="F127" s="58"/>
      <c r="G127" s="10"/>
      <c r="H127" s="10"/>
      <c r="I127" s="10"/>
      <c r="J127" s="65"/>
      <c r="K127" s="58"/>
      <c r="L127" s="59"/>
      <c r="M127" s="59"/>
      <c r="N127" s="59"/>
      <c r="O127" s="59"/>
      <c r="P127" s="59"/>
      <c r="Q127" s="59"/>
      <c r="R127" s="59"/>
      <c r="S127" s="59"/>
    </row>
    <row r="128" spans="1:22" s="60" customFormat="1" ht="15" x14ac:dyDescent="0.25">
      <c r="B128" s="58"/>
      <c r="C128" s="10"/>
      <c r="D128" s="10"/>
      <c r="E128" s="58"/>
      <c r="F128" s="58"/>
      <c r="G128" s="10"/>
      <c r="H128" s="10"/>
      <c r="I128" s="10"/>
      <c r="J128" s="65"/>
      <c r="K128" s="58"/>
      <c r="L128" s="59"/>
      <c r="M128" s="59"/>
      <c r="N128" s="59"/>
      <c r="O128" s="59"/>
      <c r="P128" s="59"/>
      <c r="Q128" s="59"/>
      <c r="R128" s="59"/>
      <c r="S128" s="59"/>
    </row>
    <row r="129" spans="2:19" s="60" customFormat="1" ht="15" x14ac:dyDescent="0.25">
      <c r="B129" s="58"/>
      <c r="C129" s="10"/>
      <c r="D129" s="10"/>
      <c r="E129" s="58"/>
      <c r="F129" s="58"/>
      <c r="G129" s="10"/>
      <c r="H129" s="10"/>
      <c r="I129" s="10"/>
      <c r="J129" s="65"/>
      <c r="K129" s="58"/>
      <c r="L129" s="59"/>
      <c r="M129" s="59"/>
      <c r="N129" s="59"/>
      <c r="O129" s="59"/>
      <c r="P129" s="59"/>
      <c r="Q129" s="59"/>
      <c r="R129" s="59"/>
      <c r="S129" s="59"/>
    </row>
    <row r="130" spans="2:19" s="60" customFormat="1" ht="15" x14ac:dyDescent="0.25">
      <c r="B130" s="58"/>
      <c r="C130" s="10"/>
      <c r="D130" s="10"/>
      <c r="E130" s="58"/>
      <c r="F130" s="58"/>
      <c r="G130" s="10"/>
      <c r="H130" s="10"/>
      <c r="I130" s="10"/>
      <c r="J130" s="65"/>
      <c r="K130" s="58"/>
      <c r="L130" s="59"/>
      <c r="M130" s="59"/>
      <c r="N130" s="59"/>
      <c r="O130" s="59"/>
      <c r="P130" s="59"/>
      <c r="Q130" s="59"/>
      <c r="R130" s="59"/>
      <c r="S130" s="59"/>
    </row>
    <row r="131" spans="2:19" s="60" customFormat="1" ht="15" x14ac:dyDescent="0.25">
      <c r="B131" s="58"/>
      <c r="C131" s="10"/>
      <c r="D131" s="10"/>
      <c r="E131" s="58"/>
      <c r="F131" s="58"/>
      <c r="G131" s="10"/>
      <c r="H131" s="10"/>
      <c r="I131" s="10"/>
      <c r="J131" s="65"/>
      <c r="K131" s="58"/>
      <c r="L131" s="59"/>
      <c r="M131" s="59"/>
      <c r="N131" s="59"/>
      <c r="O131" s="59"/>
      <c r="P131" s="59"/>
      <c r="Q131" s="59"/>
      <c r="R131" s="59"/>
      <c r="S131" s="59"/>
    </row>
    <row r="132" spans="2:19" s="60" customFormat="1" ht="15" x14ac:dyDescent="0.25">
      <c r="B132" s="76"/>
      <c r="C132" s="10"/>
      <c r="D132" s="10"/>
      <c r="E132" s="58"/>
      <c r="F132" s="58"/>
      <c r="G132" s="10"/>
      <c r="H132" s="10"/>
      <c r="I132" s="10"/>
      <c r="J132" s="65"/>
      <c r="K132" s="58"/>
      <c r="L132" s="59"/>
      <c r="M132" s="59"/>
      <c r="N132" s="59"/>
      <c r="O132" s="59"/>
      <c r="P132" s="59"/>
      <c r="Q132" s="59"/>
      <c r="R132" s="59"/>
      <c r="S132" s="59"/>
    </row>
    <row r="133" spans="2:19" s="60" customFormat="1" ht="15" x14ac:dyDescent="0.25">
      <c r="B133" s="58"/>
      <c r="C133" s="10"/>
      <c r="D133" s="10"/>
      <c r="E133" s="58"/>
      <c r="F133" s="58"/>
      <c r="G133" s="10"/>
      <c r="H133" s="10"/>
      <c r="I133" s="10"/>
      <c r="J133" s="65"/>
      <c r="K133" s="58"/>
      <c r="L133" s="59"/>
      <c r="M133" s="59"/>
      <c r="N133" s="59"/>
      <c r="O133" s="59"/>
      <c r="P133" s="59"/>
      <c r="Q133" s="59"/>
      <c r="R133" s="59"/>
      <c r="S133" s="59"/>
    </row>
    <row r="134" spans="2:19" s="60" customFormat="1" ht="15" x14ac:dyDescent="0.25">
      <c r="B134" s="58"/>
      <c r="C134" s="10"/>
      <c r="D134" s="10"/>
      <c r="E134" s="58"/>
      <c r="F134" s="58"/>
      <c r="G134" s="10"/>
      <c r="H134" s="10"/>
      <c r="I134" s="10"/>
      <c r="J134" s="65"/>
      <c r="K134" s="58"/>
      <c r="L134" s="59"/>
      <c r="M134" s="59"/>
      <c r="N134" s="59"/>
      <c r="O134" s="59"/>
      <c r="P134" s="59"/>
      <c r="Q134" s="59"/>
      <c r="R134" s="59"/>
      <c r="S134" s="59"/>
    </row>
    <row r="135" spans="2:19" s="60" customFormat="1" ht="15" x14ac:dyDescent="0.25">
      <c r="B135" s="58"/>
      <c r="C135" s="10"/>
      <c r="D135" s="10"/>
      <c r="E135" s="58"/>
      <c r="F135" s="58"/>
      <c r="G135" s="10"/>
      <c r="H135" s="10"/>
      <c r="I135" s="10"/>
      <c r="J135" s="65"/>
      <c r="K135" s="58"/>
      <c r="L135" s="59"/>
      <c r="M135" s="59"/>
      <c r="N135" s="59"/>
      <c r="O135" s="59"/>
      <c r="P135" s="59"/>
      <c r="Q135" s="59"/>
      <c r="R135" s="59"/>
      <c r="S135" s="59"/>
    </row>
    <row r="136" spans="2:19" s="60" customFormat="1" ht="15" x14ac:dyDescent="0.25">
      <c r="B136" s="58"/>
      <c r="C136" s="10"/>
      <c r="D136" s="10"/>
      <c r="E136" s="58"/>
      <c r="F136" s="58"/>
      <c r="G136" s="10"/>
      <c r="H136" s="10"/>
      <c r="I136" s="10"/>
      <c r="J136" s="65"/>
      <c r="K136" s="58"/>
      <c r="L136" s="59"/>
      <c r="M136" s="59"/>
      <c r="N136" s="59"/>
      <c r="O136" s="59"/>
      <c r="P136" s="59"/>
      <c r="Q136" s="59"/>
      <c r="R136" s="59"/>
      <c r="S136" s="59"/>
    </row>
    <row r="137" spans="2:19" s="60" customFormat="1" ht="15" x14ac:dyDescent="0.25">
      <c r="B137" s="58"/>
      <c r="C137" s="10"/>
      <c r="D137" s="10"/>
      <c r="E137" s="58"/>
      <c r="F137" s="58"/>
      <c r="G137" s="10"/>
      <c r="H137" s="10"/>
      <c r="I137" s="10"/>
      <c r="J137" s="65"/>
      <c r="K137" s="58"/>
      <c r="L137" s="59"/>
      <c r="M137" s="59"/>
      <c r="N137" s="59"/>
      <c r="O137" s="59"/>
      <c r="P137" s="59"/>
      <c r="Q137" s="59"/>
      <c r="R137" s="59"/>
      <c r="S137" s="59"/>
    </row>
    <row r="138" spans="2:19" s="60" customFormat="1" ht="15" x14ac:dyDescent="0.25">
      <c r="B138" s="58"/>
      <c r="C138" s="10"/>
      <c r="D138" s="10"/>
      <c r="E138" s="58"/>
      <c r="F138" s="58"/>
      <c r="G138" s="10"/>
      <c r="H138" s="10"/>
      <c r="I138" s="10"/>
      <c r="J138" s="65"/>
      <c r="K138" s="58"/>
      <c r="L138" s="59"/>
      <c r="M138" s="59"/>
      <c r="N138" s="59"/>
      <c r="O138" s="59"/>
      <c r="P138" s="59"/>
      <c r="Q138" s="59"/>
      <c r="R138" s="59"/>
      <c r="S138" s="59"/>
    </row>
    <row r="139" spans="2:19" s="60" customFormat="1" ht="15" x14ac:dyDescent="0.25">
      <c r="B139" s="76"/>
      <c r="C139" s="10"/>
      <c r="D139" s="10"/>
      <c r="E139" s="58"/>
      <c r="F139" s="58"/>
      <c r="G139" s="10"/>
      <c r="H139" s="10"/>
      <c r="I139" s="10"/>
      <c r="J139" s="65"/>
      <c r="K139" s="58"/>
      <c r="L139" s="59"/>
      <c r="M139" s="59"/>
      <c r="N139" s="59"/>
      <c r="O139" s="59"/>
      <c r="P139" s="59"/>
      <c r="Q139" s="59"/>
      <c r="R139" s="59"/>
      <c r="S139" s="59"/>
    </row>
    <row r="140" spans="2:19" s="60" customFormat="1" ht="15" x14ac:dyDescent="0.25">
      <c r="B140" s="58"/>
      <c r="C140" s="10"/>
      <c r="D140" s="10"/>
      <c r="E140" s="58"/>
      <c r="F140" s="58"/>
      <c r="G140" s="10"/>
      <c r="H140" s="10"/>
      <c r="I140" s="10"/>
      <c r="J140" s="65"/>
      <c r="K140" s="58"/>
      <c r="L140" s="59"/>
      <c r="M140" s="59"/>
      <c r="N140" s="59"/>
      <c r="O140" s="59"/>
      <c r="P140" s="59"/>
      <c r="Q140" s="59"/>
      <c r="R140" s="59"/>
      <c r="S140" s="59"/>
    </row>
    <row r="141" spans="2:19" s="60" customFormat="1" ht="15" x14ac:dyDescent="0.25">
      <c r="B141" s="76"/>
      <c r="C141" s="10"/>
      <c r="D141" s="10"/>
      <c r="E141" s="58"/>
      <c r="F141" s="58"/>
      <c r="G141" s="10"/>
      <c r="H141" s="10"/>
      <c r="I141" s="10"/>
      <c r="J141" s="66"/>
      <c r="K141" s="58"/>
      <c r="L141" s="59"/>
      <c r="M141" s="59"/>
      <c r="N141" s="59"/>
      <c r="O141" s="59"/>
      <c r="P141" s="59"/>
      <c r="Q141" s="59"/>
      <c r="R141" s="59"/>
      <c r="S141" s="59"/>
    </row>
    <row r="142" spans="2:19" s="60" customFormat="1" ht="15" x14ac:dyDescent="0.25">
      <c r="B142" s="58"/>
      <c r="C142" s="10"/>
      <c r="D142" s="10"/>
      <c r="E142" s="58"/>
      <c r="F142" s="58"/>
      <c r="G142" s="10"/>
      <c r="H142" s="10"/>
      <c r="I142" s="10"/>
      <c r="J142" s="65"/>
      <c r="K142" s="58"/>
      <c r="L142" s="59"/>
      <c r="M142" s="59"/>
      <c r="N142" s="59"/>
      <c r="O142" s="59"/>
      <c r="P142" s="59"/>
      <c r="Q142" s="59"/>
      <c r="R142" s="59"/>
      <c r="S142" s="59"/>
    </row>
    <row r="143" spans="2:19" s="60" customFormat="1" ht="15" x14ac:dyDescent="0.25">
      <c r="B143" s="58"/>
      <c r="C143" s="10"/>
      <c r="D143" s="10"/>
      <c r="E143" s="58"/>
      <c r="F143" s="58"/>
      <c r="G143" s="10"/>
      <c r="H143" s="10"/>
      <c r="I143" s="10"/>
      <c r="J143" s="65"/>
      <c r="K143" s="58"/>
      <c r="L143" s="59"/>
      <c r="M143" s="59"/>
      <c r="N143" s="59"/>
      <c r="O143" s="59"/>
      <c r="P143" s="59"/>
      <c r="Q143" s="59"/>
      <c r="R143" s="59"/>
      <c r="S143" s="59"/>
    </row>
    <row r="144" spans="2:19" s="60" customFormat="1" ht="15" x14ac:dyDescent="0.25">
      <c r="C144" s="10"/>
      <c r="D144" s="10"/>
      <c r="E144" s="58"/>
      <c r="F144" s="58"/>
      <c r="G144" s="10"/>
      <c r="H144" s="10"/>
      <c r="I144" s="10"/>
      <c r="J144" s="65"/>
      <c r="K144" s="58"/>
      <c r="L144" s="59"/>
      <c r="M144" s="59"/>
      <c r="N144" s="59"/>
      <c r="O144" s="59"/>
      <c r="P144" s="59"/>
      <c r="Q144" s="59"/>
      <c r="R144" s="59"/>
      <c r="S144" s="59"/>
    </row>
    <row r="145" spans="1:19" s="60" customFormat="1" ht="15" x14ac:dyDescent="0.25">
      <c r="B145" s="58"/>
      <c r="C145" s="10"/>
      <c r="D145" s="10"/>
      <c r="E145" s="58"/>
      <c r="F145" s="58"/>
      <c r="G145" s="10"/>
      <c r="H145" s="10"/>
      <c r="I145" s="10"/>
      <c r="J145" s="65"/>
      <c r="K145" s="58"/>
      <c r="L145" s="59"/>
      <c r="M145" s="59"/>
      <c r="N145" s="59"/>
      <c r="O145" s="59"/>
      <c r="P145" s="59"/>
      <c r="Q145" s="59"/>
      <c r="R145" s="59"/>
      <c r="S145" s="59"/>
    </row>
    <row r="146" spans="1:19" s="60" customFormat="1" ht="15" x14ac:dyDescent="0.25">
      <c r="B146" s="58"/>
      <c r="C146" s="10"/>
      <c r="D146" s="10"/>
      <c r="E146" s="58"/>
      <c r="F146" s="58"/>
      <c r="G146" s="10"/>
      <c r="H146" s="10"/>
      <c r="I146" s="10"/>
      <c r="J146" s="65"/>
      <c r="K146" s="58"/>
      <c r="L146" s="59"/>
      <c r="M146" s="59"/>
      <c r="N146" s="59"/>
      <c r="O146" s="59"/>
      <c r="P146" s="59"/>
      <c r="Q146" s="59"/>
      <c r="R146" s="59"/>
      <c r="S146" s="59"/>
    </row>
    <row r="147" spans="1:19" s="60" customFormat="1" ht="15" x14ac:dyDescent="0.25">
      <c r="B147" s="76"/>
      <c r="C147" s="10"/>
      <c r="D147" s="10"/>
      <c r="E147" s="58"/>
      <c r="F147" s="58"/>
      <c r="G147" s="10"/>
      <c r="H147" s="10"/>
      <c r="I147" s="10"/>
      <c r="J147" s="65"/>
      <c r="K147" s="58"/>
      <c r="L147" s="59"/>
      <c r="M147" s="59"/>
      <c r="N147" s="59"/>
      <c r="O147" s="59"/>
      <c r="P147" s="59"/>
      <c r="Q147" s="59"/>
      <c r="R147" s="59"/>
      <c r="S147" s="59"/>
    </row>
    <row r="148" spans="1:19" s="60" customFormat="1" ht="15" x14ac:dyDescent="0.25">
      <c r="B148" s="58"/>
      <c r="C148" s="10"/>
      <c r="D148" s="10"/>
      <c r="E148" s="58"/>
      <c r="F148" s="58"/>
      <c r="G148" s="10"/>
      <c r="H148" s="10"/>
      <c r="I148" s="10"/>
      <c r="J148" s="65"/>
      <c r="K148" s="58"/>
      <c r="L148" s="59"/>
      <c r="M148" s="59"/>
      <c r="N148" s="59"/>
      <c r="O148" s="59"/>
      <c r="P148" s="59"/>
      <c r="Q148" s="59"/>
      <c r="R148" s="59"/>
      <c r="S148" s="59"/>
    </row>
    <row r="149" spans="1:19" s="60" customFormat="1" ht="15" x14ac:dyDescent="0.25">
      <c r="B149" s="76"/>
      <c r="C149" s="10"/>
      <c r="D149" s="10"/>
      <c r="E149" s="58"/>
      <c r="F149" s="58"/>
      <c r="G149" s="10"/>
      <c r="H149" s="10"/>
      <c r="I149" s="10"/>
      <c r="J149" s="65"/>
      <c r="K149" s="58"/>
      <c r="L149" s="59"/>
      <c r="M149" s="59"/>
      <c r="N149" s="59"/>
      <c r="O149" s="59"/>
      <c r="P149" s="59"/>
      <c r="Q149" s="59"/>
      <c r="R149" s="59"/>
      <c r="S149" s="59"/>
    </row>
    <row r="150" spans="1:19" s="60" customFormat="1" ht="15" x14ac:dyDescent="0.25">
      <c r="B150" s="58"/>
      <c r="C150" s="10"/>
      <c r="D150" s="10"/>
      <c r="E150" s="58"/>
      <c r="F150" s="58"/>
      <c r="G150" s="10"/>
      <c r="H150" s="10"/>
      <c r="I150" s="10"/>
      <c r="J150" s="65"/>
      <c r="K150" s="58"/>
      <c r="L150" s="59"/>
      <c r="M150" s="59"/>
      <c r="N150" s="59"/>
      <c r="O150" s="59"/>
      <c r="P150" s="59"/>
      <c r="Q150" s="59"/>
      <c r="R150" s="59"/>
      <c r="S150" s="59"/>
    </row>
    <row r="151" spans="1:19" s="60" customFormat="1" ht="15" x14ac:dyDescent="0.25">
      <c r="B151" s="58"/>
      <c r="C151" s="10"/>
      <c r="D151" s="10"/>
      <c r="E151" s="58"/>
      <c r="F151" s="58"/>
      <c r="G151" s="10"/>
      <c r="H151" s="10"/>
      <c r="I151" s="10"/>
      <c r="J151" s="65"/>
      <c r="K151" s="58"/>
      <c r="L151" s="59"/>
      <c r="M151" s="59"/>
      <c r="N151" s="59"/>
      <c r="O151" s="59"/>
      <c r="P151" s="59"/>
      <c r="Q151" s="59"/>
      <c r="R151" s="59"/>
      <c r="S151" s="59"/>
    </row>
    <row r="152" spans="1:19" s="60" customFormat="1" ht="15" x14ac:dyDescent="0.25">
      <c r="B152" s="58"/>
      <c r="C152" s="10"/>
      <c r="D152" s="10"/>
      <c r="E152" s="58"/>
      <c r="F152" s="58"/>
      <c r="G152" s="10"/>
      <c r="H152" s="10"/>
      <c r="I152" s="10"/>
      <c r="J152" s="65"/>
      <c r="K152" s="58"/>
      <c r="L152" s="59"/>
      <c r="M152" s="59"/>
      <c r="N152" s="59"/>
      <c r="O152" s="59"/>
      <c r="P152" s="59"/>
      <c r="Q152" s="59"/>
      <c r="R152" s="59"/>
      <c r="S152" s="59"/>
    </row>
    <row r="153" spans="1:19" s="60" customFormat="1" ht="15" x14ac:dyDescent="0.25">
      <c r="B153" s="58"/>
      <c r="C153" s="10"/>
      <c r="D153" s="10"/>
      <c r="E153" s="58"/>
      <c r="F153" s="58"/>
      <c r="G153" s="10"/>
      <c r="H153" s="10"/>
      <c r="I153" s="10"/>
      <c r="J153" s="65"/>
      <c r="K153" s="58"/>
      <c r="L153" s="59"/>
      <c r="M153" s="59"/>
      <c r="N153" s="59"/>
      <c r="O153" s="59"/>
      <c r="P153" s="59"/>
      <c r="Q153" s="59"/>
      <c r="R153" s="59"/>
      <c r="S153" s="59"/>
    </row>
    <row r="154" spans="1:19" s="60" customFormat="1" ht="15" x14ac:dyDescent="0.25">
      <c r="C154" s="10"/>
      <c r="D154" s="10"/>
      <c r="J154" s="66"/>
    </row>
    <row r="155" spans="1:19" s="73" customFormat="1" x14ac:dyDescent="0.25"/>
    <row r="156" spans="1:19" s="60" customFormat="1" ht="15" x14ac:dyDescent="0.25">
      <c r="A156" s="58"/>
      <c r="B156" s="58"/>
      <c r="C156" s="58"/>
      <c r="D156" s="58"/>
      <c r="E156" s="58"/>
      <c r="F156" s="57"/>
      <c r="G156" s="58"/>
      <c r="H156" s="59"/>
      <c r="I156" s="59"/>
      <c r="J156" s="59"/>
      <c r="K156" s="59"/>
      <c r="L156" s="59"/>
      <c r="M156" s="59"/>
      <c r="N156" s="59"/>
    </row>
    <row r="157" spans="1:19" s="60" customFormat="1" ht="15" x14ac:dyDescent="0.25">
      <c r="B157" s="76"/>
      <c r="C157" s="58"/>
      <c r="D157" s="58"/>
      <c r="E157" s="58"/>
      <c r="F157" s="57"/>
      <c r="G157" s="58"/>
      <c r="H157" s="59"/>
      <c r="I157" s="59"/>
      <c r="J157" s="59"/>
      <c r="K157" s="59"/>
      <c r="L157" s="59"/>
      <c r="M157" s="59"/>
      <c r="N157" s="59"/>
    </row>
    <row r="158" spans="1:19" s="60" customFormat="1" ht="15" x14ac:dyDescent="0.25">
      <c r="B158" s="58"/>
      <c r="C158" s="58"/>
      <c r="D158" s="58"/>
      <c r="E158" s="58"/>
      <c r="F158" s="57"/>
      <c r="G158" s="58"/>
      <c r="H158" s="59"/>
      <c r="I158" s="59"/>
      <c r="J158" s="59"/>
      <c r="K158" s="59"/>
      <c r="L158" s="59"/>
      <c r="M158" s="59"/>
      <c r="N158" s="59"/>
    </row>
    <row r="159" spans="1:19" s="60" customFormat="1" ht="15" x14ac:dyDescent="0.25">
      <c r="B159" s="76"/>
      <c r="C159" s="58"/>
      <c r="D159" s="58"/>
      <c r="E159" s="58"/>
      <c r="F159" s="57"/>
      <c r="G159" s="58"/>
      <c r="H159" s="59"/>
      <c r="I159" s="59"/>
      <c r="J159" s="59"/>
      <c r="K159" s="59"/>
      <c r="L159" s="59"/>
      <c r="M159" s="59"/>
      <c r="N159" s="59"/>
    </row>
    <row r="160" spans="1:19" s="60" customFormat="1" ht="15" x14ac:dyDescent="0.25">
      <c r="B160" s="58"/>
      <c r="C160" s="58"/>
      <c r="D160" s="10"/>
      <c r="E160" s="58"/>
      <c r="F160" s="58"/>
      <c r="G160" s="58"/>
      <c r="H160" s="10"/>
      <c r="I160" s="10"/>
      <c r="J160" s="10"/>
      <c r="K160" s="10"/>
      <c r="L160" s="63"/>
      <c r="M160" s="63"/>
      <c r="N160" s="63"/>
      <c r="O160" s="63"/>
      <c r="P160" s="63"/>
      <c r="Q160" s="63"/>
      <c r="R160" s="63"/>
      <c r="S160" s="63"/>
    </row>
    <row r="161" spans="2:19" s="60" customFormat="1" ht="15" x14ac:dyDescent="0.25">
      <c r="B161" s="58"/>
      <c r="C161" s="58"/>
      <c r="D161" s="10"/>
      <c r="E161" s="58"/>
      <c r="F161" s="58"/>
      <c r="G161" s="58"/>
      <c r="H161" s="10"/>
      <c r="I161" s="10"/>
      <c r="J161" s="10"/>
      <c r="K161" s="10"/>
      <c r="L161" s="63"/>
      <c r="M161" s="63"/>
      <c r="N161" s="63"/>
      <c r="O161" s="63"/>
      <c r="P161" s="63"/>
      <c r="Q161" s="63"/>
      <c r="R161" s="63"/>
      <c r="S161" s="63"/>
    </row>
    <row r="162" spans="2:19" s="60" customFormat="1" ht="15" x14ac:dyDescent="0.25">
      <c r="B162" s="58"/>
      <c r="C162" s="58"/>
      <c r="D162" s="10"/>
      <c r="E162" s="58"/>
      <c r="F162" s="58"/>
      <c r="G162" s="58"/>
      <c r="H162" s="10"/>
      <c r="I162" s="10"/>
      <c r="J162" s="10"/>
      <c r="K162" s="10"/>
      <c r="L162" s="63"/>
      <c r="M162" s="63"/>
      <c r="N162" s="63"/>
      <c r="O162" s="63"/>
      <c r="P162" s="63"/>
      <c r="Q162" s="63"/>
      <c r="R162" s="63"/>
      <c r="S162" s="63"/>
    </row>
    <row r="163" spans="2:19" s="60" customFormat="1" ht="15" x14ac:dyDescent="0.25">
      <c r="B163" s="76"/>
      <c r="C163" s="58"/>
      <c r="D163" s="10"/>
      <c r="E163" s="58"/>
      <c r="F163" s="58"/>
      <c r="G163" s="58"/>
      <c r="H163" s="10"/>
      <c r="I163" s="10"/>
      <c r="J163" s="10"/>
      <c r="K163" s="10"/>
      <c r="L163" s="63"/>
      <c r="M163" s="63"/>
      <c r="N163" s="63"/>
      <c r="O163" s="63"/>
      <c r="P163" s="63"/>
      <c r="Q163" s="63"/>
      <c r="R163" s="63"/>
      <c r="S163" s="63"/>
    </row>
    <row r="164" spans="2:19" s="60" customFormat="1" ht="15" x14ac:dyDescent="0.25">
      <c r="B164" s="58"/>
      <c r="C164" s="58"/>
      <c r="D164" s="10"/>
      <c r="E164" s="58"/>
      <c r="F164" s="58"/>
      <c r="G164" s="58"/>
      <c r="H164" s="10"/>
      <c r="I164" s="10"/>
      <c r="J164" s="10"/>
      <c r="K164" s="10"/>
      <c r="L164" s="63"/>
      <c r="M164" s="63"/>
      <c r="N164" s="63"/>
      <c r="O164" s="63"/>
      <c r="P164" s="63"/>
      <c r="Q164" s="63"/>
      <c r="R164" s="63"/>
      <c r="S164" s="63"/>
    </row>
    <row r="165" spans="2:19" s="60" customFormat="1" ht="15" x14ac:dyDescent="0.25">
      <c r="B165" s="58"/>
      <c r="C165" s="58"/>
      <c r="D165" s="10"/>
      <c r="E165" s="58"/>
      <c r="F165" s="58"/>
      <c r="G165" s="58"/>
      <c r="H165" s="10"/>
      <c r="I165" s="10"/>
      <c r="J165" s="10"/>
      <c r="K165" s="10"/>
      <c r="L165" s="63"/>
      <c r="M165" s="63"/>
      <c r="N165" s="63"/>
      <c r="O165" s="63"/>
      <c r="P165" s="63"/>
      <c r="Q165" s="63"/>
      <c r="R165" s="63"/>
      <c r="S165" s="63"/>
    </row>
    <row r="166" spans="2:19" s="60" customFormat="1" ht="15" x14ac:dyDescent="0.25">
      <c r="B166" s="58"/>
      <c r="C166" s="58"/>
      <c r="D166" s="10"/>
      <c r="E166" s="58"/>
      <c r="F166" s="58"/>
      <c r="G166" s="58"/>
      <c r="H166" s="10"/>
      <c r="I166" s="10"/>
      <c r="J166" s="10"/>
      <c r="K166" s="10"/>
      <c r="L166" s="63"/>
      <c r="M166" s="63"/>
      <c r="N166" s="63"/>
      <c r="O166" s="63"/>
      <c r="P166" s="63"/>
      <c r="Q166" s="63"/>
      <c r="R166" s="63"/>
      <c r="S166" s="63"/>
    </row>
    <row r="167" spans="2:19" s="60" customFormat="1" ht="15" x14ac:dyDescent="0.25">
      <c r="B167" s="76"/>
      <c r="C167" s="58"/>
      <c r="D167" s="10"/>
      <c r="E167" s="58"/>
      <c r="F167" s="58"/>
      <c r="G167" s="57"/>
      <c r="H167" s="10"/>
      <c r="I167" s="10"/>
      <c r="J167" s="10"/>
      <c r="K167" s="10"/>
      <c r="L167" s="77"/>
      <c r="M167" s="77"/>
      <c r="N167" s="77"/>
      <c r="O167" s="77"/>
      <c r="P167" s="77"/>
      <c r="Q167" s="77"/>
      <c r="R167" s="63"/>
      <c r="S167" s="63"/>
    </row>
    <row r="168" spans="2:19" s="60" customFormat="1" ht="15" x14ac:dyDescent="0.25">
      <c r="B168" s="58"/>
      <c r="C168" s="58"/>
      <c r="D168" s="10"/>
      <c r="E168" s="58"/>
      <c r="F168" s="58"/>
      <c r="G168" s="58"/>
      <c r="H168" s="10"/>
      <c r="I168" s="10"/>
      <c r="J168" s="10"/>
      <c r="K168" s="10"/>
      <c r="L168" s="63"/>
      <c r="M168" s="63"/>
      <c r="N168" s="63"/>
      <c r="O168" s="63"/>
      <c r="P168" s="63"/>
      <c r="Q168" s="63"/>
      <c r="R168" s="63"/>
      <c r="S168" s="63"/>
    </row>
    <row r="169" spans="2:19" s="60" customFormat="1" ht="15" x14ac:dyDescent="0.25">
      <c r="B169" s="58"/>
      <c r="C169" s="58"/>
      <c r="D169" s="10"/>
      <c r="E169" s="58"/>
      <c r="F169" s="58"/>
      <c r="G169" s="58"/>
      <c r="H169" s="10"/>
      <c r="I169" s="10"/>
      <c r="J169" s="10"/>
      <c r="K169" s="10"/>
      <c r="L169" s="63"/>
      <c r="M169" s="63"/>
      <c r="N169" s="63"/>
      <c r="O169" s="63"/>
      <c r="P169" s="63"/>
      <c r="Q169" s="63"/>
      <c r="R169" s="63"/>
      <c r="S169" s="63"/>
    </row>
    <row r="170" spans="2:19" s="60" customFormat="1" ht="15" x14ac:dyDescent="0.25">
      <c r="B170" s="58"/>
      <c r="C170" s="58"/>
      <c r="D170" s="10"/>
      <c r="E170" s="58"/>
      <c r="F170" s="58"/>
      <c r="G170" s="58"/>
      <c r="H170" s="10"/>
      <c r="I170" s="10"/>
      <c r="J170" s="10"/>
      <c r="K170" s="10"/>
      <c r="L170" s="63"/>
      <c r="M170" s="63"/>
      <c r="N170" s="63"/>
      <c r="O170" s="63"/>
      <c r="P170" s="63"/>
      <c r="Q170" s="63"/>
      <c r="R170" s="63"/>
      <c r="S170" s="63"/>
    </row>
    <row r="171" spans="2:19" s="60" customFormat="1" ht="15" x14ac:dyDescent="0.25">
      <c r="B171" s="58"/>
      <c r="C171" s="58"/>
      <c r="D171" s="10"/>
      <c r="E171" s="58"/>
      <c r="F171" s="58"/>
      <c r="G171" s="58"/>
      <c r="H171" s="10"/>
      <c r="I171" s="10"/>
      <c r="J171" s="10"/>
      <c r="K171" s="10"/>
      <c r="L171" s="63"/>
      <c r="M171" s="63"/>
      <c r="N171" s="63"/>
      <c r="O171" s="63"/>
      <c r="P171" s="63"/>
      <c r="Q171" s="63"/>
      <c r="R171" s="63"/>
      <c r="S171" s="63"/>
    </row>
    <row r="172" spans="2:19" s="60" customFormat="1" ht="15" x14ac:dyDescent="0.25">
      <c r="D172" s="10"/>
      <c r="H172" s="10"/>
      <c r="I172" s="10"/>
      <c r="J172" s="10"/>
      <c r="K172" s="10"/>
      <c r="L172" s="62"/>
      <c r="M172" s="62"/>
      <c r="N172" s="62"/>
      <c r="O172" s="62"/>
      <c r="P172" s="62"/>
      <c r="Q172" s="62"/>
      <c r="R172" s="62"/>
      <c r="S172" s="62"/>
    </row>
    <row r="173" spans="2:19" s="60" customFormat="1" ht="15" x14ac:dyDescent="0.25">
      <c r="B173" s="78"/>
      <c r="D173" s="10"/>
      <c r="H173" s="10"/>
      <c r="I173" s="10"/>
      <c r="J173" s="10"/>
      <c r="K173" s="10"/>
      <c r="L173" s="62"/>
      <c r="M173" s="62"/>
      <c r="N173" s="62"/>
      <c r="O173" s="62"/>
      <c r="P173" s="62"/>
      <c r="Q173" s="62"/>
      <c r="R173" s="62"/>
      <c r="S173" s="62"/>
    </row>
    <row r="174" spans="2:19" s="60" customFormat="1" ht="15" x14ac:dyDescent="0.25">
      <c r="D174" s="10"/>
      <c r="H174" s="10"/>
      <c r="I174" s="10"/>
      <c r="J174" s="10"/>
      <c r="K174" s="10"/>
      <c r="L174" s="62"/>
      <c r="M174" s="62"/>
      <c r="N174" s="62"/>
      <c r="O174" s="62"/>
      <c r="P174" s="62"/>
      <c r="Q174" s="62"/>
      <c r="R174" s="62"/>
      <c r="S174" s="62"/>
    </row>
    <row r="175" spans="2:19" s="60" customFormat="1" ht="15" x14ac:dyDescent="0.25">
      <c r="D175" s="10"/>
      <c r="F175" s="58"/>
      <c r="H175" s="10"/>
      <c r="I175" s="10"/>
      <c r="J175" s="10"/>
      <c r="K175" s="10"/>
      <c r="L175" s="62"/>
      <c r="M175" s="62"/>
      <c r="N175" s="62"/>
      <c r="O175" s="62"/>
      <c r="P175" s="62"/>
      <c r="Q175" s="63"/>
      <c r="R175" s="62"/>
      <c r="S175" s="62"/>
    </row>
    <row r="176" spans="2:19" s="60" customFormat="1" ht="15" x14ac:dyDescent="0.25">
      <c r="D176" s="10"/>
      <c r="F176" s="58"/>
      <c r="H176" s="10"/>
      <c r="I176" s="10"/>
      <c r="J176" s="10"/>
      <c r="K176" s="10"/>
      <c r="L176" s="62"/>
      <c r="M176" s="62"/>
      <c r="N176" s="62"/>
      <c r="O176" s="63"/>
      <c r="P176" s="62"/>
      <c r="Q176" s="62"/>
      <c r="R176" s="62"/>
      <c r="S176" s="62"/>
    </row>
    <row r="177" s="60" customFormat="1" ht="15" x14ac:dyDescent="0.25"/>
    <row r="178" s="60" customFormat="1" ht="15" x14ac:dyDescent="0.25"/>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AA175"/>
  <sheetViews>
    <sheetView showGridLines="0" zoomScale="85" zoomScaleNormal="85" workbookViewId="0">
      <pane xSplit="6" ySplit="10" topLeftCell="G11" activePane="bottomRight" state="frozen"/>
      <selection activeCell="Q51" sqref="Q51"/>
      <selection pane="topRight" activeCell="Q51" sqref="Q51"/>
      <selection pane="bottomLeft" activeCell="Q51" sqref="Q51"/>
      <selection pane="bottomRight" activeCell="G11" sqref="G11"/>
    </sheetView>
  </sheetViews>
  <sheetFormatPr defaultRowHeight="12.75" x14ac:dyDescent="0.25"/>
  <cols>
    <col min="1" max="1" width="4" style="3" customWidth="1"/>
    <col min="2" max="2" width="41.42578125" style="3" customWidth="1"/>
    <col min="3" max="5" width="4.5703125" style="3" customWidth="1"/>
    <col min="6" max="6" width="13.7109375" style="3" customWidth="1"/>
    <col min="7" max="7" width="2.7109375" style="3" customWidth="1"/>
    <col min="8" max="8" width="13.7109375" style="3" customWidth="1"/>
    <col min="9" max="9" width="2.7109375" style="3" customWidth="1"/>
    <col min="10" max="10" width="13.7109375" style="3" customWidth="1"/>
    <col min="11" max="11" width="2.7109375" style="3" customWidth="1"/>
    <col min="12" max="19" width="12.5703125" style="3" customWidth="1"/>
    <col min="20" max="21" width="2.7109375" style="3" customWidth="1"/>
    <col min="22" max="22" width="17.140625" style="3" customWidth="1"/>
    <col min="23" max="23" width="2.7109375" style="3" customWidth="1"/>
    <col min="24" max="24" width="13.7109375" style="3" customWidth="1"/>
    <col min="25" max="25" width="2.7109375" style="3" customWidth="1"/>
    <col min="26" max="40" width="13.7109375" style="3" customWidth="1"/>
    <col min="41" max="16384" width="9.140625" style="3"/>
  </cols>
  <sheetData>
    <row r="2" spans="2:24" s="28" customFormat="1" ht="18" x14ac:dyDescent="0.25">
      <c r="B2" s="28" t="s">
        <v>252</v>
      </c>
    </row>
    <row r="4" spans="2:24" ht="15" x14ac:dyDescent="0.25">
      <c r="B4" s="2" t="s">
        <v>29</v>
      </c>
      <c r="C4" s="2"/>
      <c r="D4" s="2"/>
      <c r="L4" s="40"/>
      <c r="M4" s="40"/>
    </row>
    <row r="5" spans="2:24" x14ac:dyDescent="0.25">
      <c r="B5" s="3" t="s">
        <v>276</v>
      </c>
    </row>
    <row r="6" spans="2:24" x14ac:dyDescent="0.25">
      <c r="B6" s="3" t="s">
        <v>277</v>
      </c>
    </row>
    <row r="7" spans="2:24" x14ac:dyDescent="0.25">
      <c r="B7" s="3" t="s">
        <v>217</v>
      </c>
    </row>
    <row r="9" spans="2:24" s="9" customFormat="1" x14ac:dyDescent="0.25">
      <c r="B9" s="9" t="s">
        <v>45</v>
      </c>
      <c r="F9" s="9" t="s">
        <v>27</v>
      </c>
      <c r="H9" s="9" t="s">
        <v>28</v>
      </c>
      <c r="J9" s="9" t="s">
        <v>49</v>
      </c>
      <c r="L9" s="9" t="s">
        <v>172</v>
      </c>
      <c r="M9" s="9" t="s">
        <v>65</v>
      </c>
      <c r="N9" s="9" t="s">
        <v>66</v>
      </c>
      <c r="O9" s="9" t="s">
        <v>67</v>
      </c>
      <c r="P9" s="9" t="s">
        <v>68</v>
      </c>
      <c r="Q9" s="9" t="s">
        <v>69</v>
      </c>
      <c r="R9" s="9" t="s">
        <v>70</v>
      </c>
      <c r="S9" s="9" t="s">
        <v>71</v>
      </c>
      <c r="V9" s="9" t="s">
        <v>46</v>
      </c>
      <c r="X9" s="9" t="s">
        <v>47</v>
      </c>
    </row>
    <row r="12" spans="2:24" s="9" customFormat="1" x14ac:dyDescent="0.25">
      <c r="B12" s="9" t="s">
        <v>106</v>
      </c>
    </row>
    <row r="14" spans="2:24" x14ac:dyDescent="0.25">
      <c r="B14" s="41" t="s">
        <v>74</v>
      </c>
    </row>
    <row r="16" spans="2:24" x14ac:dyDescent="0.25">
      <c r="B16" s="41" t="s">
        <v>75</v>
      </c>
    </row>
    <row r="17" spans="2:22" x14ac:dyDescent="0.2">
      <c r="B17" s="3" t="s">
        <v>76</v>
      </c>
      <c r="F17" s="42" t="s">
        <v>77</v>
      </c>
      <c r="J17" s="65"/>
      <c r="L17" s="152"/>
      <c r="M17" s="152"/>
      <c r="N17" s="152"/>
      <c r="O17" s="152"/>
      <c r="P17" s="152"/>
      <c r="Q17" s="152"/>
      <c r="R17" s="152"/>
      <c r="S17" s="152"/>
      <c r="V17" s="3" t="s">
        <v>189</v>
      </c>
    </row>
    <row r="18" spans="2:22" ht="15" x14ac:dyDescent="0.25">
      <c r="B18" s="3" t="s">
        <v>79</v>
      </c>
      <c r="F18" s="42" t="s">
        <v>77</v>
      </c>
      <c r="J18" s="65"/>
      <c r="L18" s="152"/>
      <c r="M18" s="152"/>
      <c r="N18" s="152"/>
      <c r="O18" s="152"/>
      <c r="P18" s="152"/>
      <c r="Q18" s="152"/>
      <c r="R18" s="152"/>
      <c r="S18" s="152"/>
      <c r="V18"/>
    </row>
    <row r="19" spans="2:22" ht="15" x14ac:dyDescent="0.25">
      <c r="B19" s="3" t="s">
        <v>80</v>
      </c>
      <c r="F19" s="42" t="s">
        <v>77</v>
      </c>
      <c r="J19" s="65"/>
      <c r="L19" s="152"/>
      <c r="M19" s="152"/>
      <c r="N19" s="152"/>
      <c r="O19" s="152"/>
      <c r="P19" s="152"/>
      <c r="Q19" s="152"/>
      <c r="R19" s="152"/>
      <c r="S19" s="152"/>
      <c r="V19"/>
    </row>
    <row r="20" spans="2:22" ht="15" x14ac:dyDescent="0.25">
      <c r="B20" s="3" t="s">
        <v>81</v>
      </c>
      <c r="F20" s="42" t="s">
        <v>77</v>
      </c>
      <c r="J20" s="65"/>
      <c r="L20" s="152"/>
      <c r="M20" s="152"/>
      <c r="N20" s="152"/>
      <c r="O20" s="152"/>
      <c r="P20" s="152"/>
      <c r="Q20" s="152"/>
      <c r="R20" s="152"/>
      <c r="S20" s="152"/>
      <c r="V20"/>
    </row>
    <row r="21" spans="2:22" ht="15" x14ac:dyDescent="0.25">
      <c r="B21" s="3" t="s">
        <v>82</v>
      </c>
      <c r="F21" s="42" t="s">
        <v>77</v>
      </c>
      <c r="J21" s="65"/>
      <c r="L21" s="152"/>
      <c r="M21" s="152"/>
      <c r="N21" s="152"/>
      <c r="O21" s="152"/>
      <c r="P21" s="152"/>
      <c r="Q21" s="152"/>
      <c r="R21" s="152"/>
      <c r="S21" s="152"/>
      <c r="V21"/>
    </row>
    <row r="22" spans="2:22" ht="15" x14ac:dyDescent="0.25">
      <c r="B22" s="3" t="s">
        <v>83</v>
      </c>
      <c r="F22" s="42" t="s">
        <v>77</v>
      </c>
      <c r="J22" s="65"/>
      <c r="L22" s="152"/>
      <c r="M22" s="152"/>
      <c r="N22" s="152"/>
      <c r="O22" s="152"/>
      <c r="P22" s="152"/>
      <c r="Q22" s="152"/>
      <c r="R22" s="152"/>
      <c r="S22" s="152"/>
      <c r="V22"/>
    </row>
    <row r="23" spans="2:22" x14ac:dyDescent="0.2">
      <c r="F23" s="42"/>
      <c r="J23" s="65"/>
      <c r="L23" s="43"/>
      <c r="M23" s="43"/>
      <c r="N23" s="43"/>
      <c r="O23" s="43"/>
      <c r="P23" s="43"/>
      <c r="Q23" s="43"/>
      <c r="R23" s="43"/>
      <c r="S23" s="43"/>
    </row>
    <row r="24" spans="2:22" x14ac:dyDescent="0.2">
      <c r="B24" s="41" t="s">
        <v>84</v>
      </c>
      <c r="F24" s="42"/>
      <c r="J24" s="65"/>
      <c r="L24" s="43"/>
      <c r="M24" s="43"/>
      <c r="N24" s="43"/>
      <c r="O24" s="43"/>
      <c r="P24" s="43"/>
      <c r="Q24" s="43"/>
      <c r="R24" s="43"/>
      <c r="S24" s="43"/>
    </row>
    <row r="25" spans="2:22" ht="15" x14ac:dyDescent="0.25">
      <c r="B25" s="3" t="s">
        <v>85</v>
      </c>
      <c r="F25" s="42" t="s">
        <v>77</v>
      </c>
      <c r="J25" s="65"/>
      <c r="L25" s="152"/>
      <c r="M25" s="152"/>
      <c r="N25" s="152"/>
      <c r="O25" s="152"/>
      <c r="P25" s="152"/>
      <c r="Q25" s="152"/>
      <c r="R25" s="152"/>
      <c r="S25" s="152"/>
      <c r="V25"/>
    </row>
    <row r="26" spans="2:22" ht="15" x14ac:dyDescent="0.25">
      <c r="B26" s="3" t="s">
        <v>86</v>
      </c>
      <c r="F26" s="42" t="s">
        <v>77</v>
      </c>
      <c r="J26" s="65"/>
      <c r="L26" s="152"/>
      <c r="M26" s="152"/>
      <c r="N26" s="152"/>
      <c r="O26" s="152"/>
      <c r="P26" s="152"/>
      <c r="Q26" s="152"/>
      <c r="R26" s="152"/>
      <c r="S26" s="152"/>
      <c r="V26"/>
    </row>
    <row r="27" spans="2:22" ht="15" x14ac:dyDescent="0.25">
      <c r="B27" s="3" t="s">
        <v>87</v>
      </c>
      <c r="F27" s="42" t="s">
        <v>77</v>
      </c>
      <c r="J27" s="65"/>
      <c r="L27" s="152"/>
      <c r="M27" s="152"/>
      <c r="N27" s="152"/>
      <c r="O27" s="152"/>
      <c r="P27" s="152"/>
      <c r="Q27" s="152"/>
      <c r="R27" s="152"/>
      <c r="S27" s="152"/>
      <c r="V27"/>
    </row>
    <row r="28" spans="2:22" ht="15" x14ac:dyDescent="0.25">
      <c r="B28" s="3" t="s">
        <v>88</v>
      </c>
      <c r="F28" s="42" t="s">
        <v>77</v>
      </c>
      <c r="J28" s="65"/>
      <c r="L28" s="152"/>
      <c r="M28" s="152"/>
      <c r="N28" s="152"/>
      <c r="O28" s="152"/>
      <c r="P28" s="152"/>
      <c r="Q28" s="152"/>
      <c r="R28" s="152"/>
      <c r="S28" s="152"/>
      <c r="V28"/>
    </row>
    <row r="29" spans="2:22" ht="15" x14ac:dyDescent="0.25">
      <c r="B29" s="3" t="s">
        <v>89</v>
      </c>
      <c r="F29" s="42" t="s">
        <v>77</v>
      </c>
      <c r="J29" s="65"/>
      <c r="L29" s="152"/>
      <c r="M29" s="152"/>
      <c r="N29" s="152"/>
      <c r="O29" s="152"/>
      <c r="P29" s="152"/>
      <c r="Q29" s="152"/>
      <c r="R29" s="152"/>
      <c r="S29" s="152"/>
      <c r="V29"/>
    </row>
    <row r="30" spans="2:22" x14ac:dyDescent="0.2">
      <c r="F30" s="42"/>
      <c r="J30" s="65"/>
      <c r="L30" s="43"/>
      <c r="M30" s="43"/>
      <c r="N30" s="43"/>
      <c r="O30" s="43"/>
      <c r="P30" s="43"/>
      <c r="Q30" s="43"/>
      <c r="R30" s="43"/>
      <c r="S30" s="43"/>
    </row>
    <row r="31" spans="2:22" x14ac:dyDescent="0.2">
      <c r="B31" s="41" t="s">
        <v>90</v>
      </c>
      <c r="F31" s="42"/>
      <c r="J31" s="65"/>
      <c r="L31" s="43"/>
      <c r="M31" s="43"/>
      <c r="N31" s="43"/>
      <c r="O31" s="43"/>
      <c r="P31" s="43"/>
      <c r="Q31" s="43"/>
      <c r="R31" s="43"/>
      <c r="S31" s="43"/>
    </row>
    <row r="32" spans="2:22" x14ac:dyDescent="0.2">
      <c r="F32" s="42"/>
      <c r="J32" s="65"/>
      <c r="L32" s="43"/>
      <c r="M32" s="43"/>
      <c r="N32" s="43"/>
      <c r="O32" s="43"/>
      <c r="P32" s="43"/>
      <c r="Q32" s="43"/>
      <c r="R32" s="43"/>
      <c r="S32" s="43"/>
    </row>
    <row r="33" spans="2:22" ht="15" x14ac:dyDescent="0.25">
      <c r="B33" s="41" t="s">
        <v>91</v>
      </c>
      <c r="F33" s="42"/>
      <c r="J33" s="66"/>
      <c r="L33"/>
      <c r="M33"/>
      <c r="N33"/>
      <c r="O33"/>
      <c r="P33"/>
      <c r="Q33"/>
      <c r="R33"/>
      <c r="S33"/>
    </row>
    <row r="34" spans="2:22" ht="15" x14ac:dyDescent="0.25">
      <c r="B34" s="3" t="s">
        <v>92</v>
      </c>
      <c r="F34" s="42" t="s">
        <v>77</v>
      </c>
      <c r="J34" s="65"/>
      <c r="L34" s="152">
        <v>1</v>
      </c>
      <c r="M34" s="152"/>
      <c r="N34" s="152"/>
      <c r="O34" s="152"/>
      <c r="P34" s="152"/>
      <c r="Q34" s="152"/>
      <c r="R34" s="152"/>
      <c r="S34" s="152"/>
      <c r="V34"/>
    </row>
    <row r="35" spans="2:22" ht="15" x14ac:dyDescent="0.25">
      <c r="B35" s="3" t="s">
        <v>93</v>
      </c>
      <c r="F35" s="42" t="s">
        <v>77</v>
      </c>
      <c r="J35" s="65"/>
      <c r="L35" s="152"/>
      <c r="M35" s="152"/>
      <c r="N35" s="152"/>
      <c r="O35" s="152"/>
      <c r="P35" s="152"/>
      <c r="Q35" s="152"/>
      <c r="R35" s="152"/>
      <c r="S35" s="152"/>
      <c r="V35"/>
    </row>
    <row r="36" spans="2:22" ht="15" x14ac:dyDescent="0.25">
      <c r="F36" s="42"/>
      <c r="J36" s="65"/>
      <c r="L36" s="43"/>
      <c r="M36" s="43"/>
      <c r="N36" s="43"/>
      <c r="O36" s="43"/>
      <c r="P36" s="43"/>
      <c r="Q36" s="43"/>
      <c r="R36" s="43"/>
      <c r="S36" s="43"/>
      <c r="V36"/>
    </row>
    <row r="37" spans="2:22" ht="15" x14ac:dyDescent="0.25">
      <c r="B37" s="3" t="s">
        <v>94</v>
      </c>
      <c r="F37" s="42" t="s">
        <v>77</v>
      </c>
      <c r="J37" s="65"/>
      <c r="L37" s="152"/>
      <c r="M37" s="152"/>
      <c r="N37" s="118">
        <f>10+0.904057971014493</f>
        <v>10.904057971014494</v>
      </c>
      <c r="O37" s="152">
        <v>6</v>
      </c>
      <c r="P37" s="152"/>
      <c r="Q37" s="152">
        <v>3</v>
      </c>
      <c r="R37" s="152"/>
      <c r="S37" s="152"/>
      <c r="V37"/>
    </row>
    <row r="38" spans="2:22" x14ac:dyDescent="0.2">
      <c r="F38" s="42"/>
      <c r="J38" s="65"/>
      <c r="L38" s="43"/>
      <c r="M38" s="43"/>
      <c r="N38" s="43"/>
      <c r="O38" s="43"/>
      <c r="P38" s="43"/>
      <c r="Q38" s="43"/>
      <c r="R38" s="43"/>
      <c r="S38" s="43"/>
    </row>
    <row r="39" spans="2:22" x14ac:dyDescent="0.2">
      <c r="B39" s="41" t="s">
        <v>95</v>
      </c>
      <c r="F39" s="42"/>
      <c r="J39" s="65"/>
      <c r="L39" s="43"/>
      <c r="M39" s="43"/>
      <c r="N39" s="43"/>
      <c r="O39" s="43"/>
      <c r="P39" s="43"/>
      <c r="Q39" s="43"/>
      <c r="R39" s="43"/>
      <c r="S39" s="43"/>
    </row>
    <row r="40" spans="2:22" x14ac:dyDescent="0.2">
      <c r="F40" s="42"/>
      <c r="J40" s="65"/>
      <c r="L40" s="43"/>
      <c r="M40" s="43"/>
      <c r="N40" s="43"/>
      <c r="O40" s="43"/>
      <c r="P40" s="43"/>
      <c r="Q40" s="43"/>
      <c r="R40" s="43"/>
      <c r="S40" s="43"/>
    </row>
    <row r="41" spans="2:22" x14ac:dyDescent="0.2">
      <c r="B41" s="41" t="s">
        <v>91</v>
      </c>
      <c r="F41" s="42"/>
      <c r="J41" s="65"/>
      <c r="L41" s="43"/>
      <c r="M41" s="43"/>
      <c r="N41" s="43"/>
      <c r="O41" s="43"/>
      <c r="P41" s="43"/>
      <c r="Q41" s="43"/>
      <c r="R41" s="43"/>
      <c r="S41" s="43"/>
    </row>
    <row r="42" spans="2:22" ht="15" x14ac:dyDescent="0.25">
      <c r="B42" s="3" t="s">
        <v>92</v>
      </c>
      <c r="F42" s="42" t="s">
        <v>77</v>
      </c>
      <c r="J42" s="65"/>
      <c r="L42" s="152">
        <v>0</v>
      </c>
      <c r="M42" s="152"/>
      <c r="N42" s="152"/>
      <c r="O42" s="152"/>
      <c r="P42" s="152"/>
      <c r="Q42" s="152"/>
      <c r="R42" s="152"/>
      <c r="S42" s="152"/>
      <c r="V42"/>
    </row>
    <row r="43" spans="2:22" ht="15" x14ac:dyDescent="0.25">
      <c r="B43" s="3" t="s">
        <v>93</v>
      </c>
      <c r="F43" s="42" t="s">
        <v>77</v>
      </c>
      <c r="J43" s="65"/>
      <c r="L43" s="152"/>
      <c r="M43" s="152"/>
      <c r="N43" s="152"/>
      <c r="O43" s="152"/>
      <c r="P43" s="152"/>
      <c r="Q43" s="152"/>
      <c r="R43" s="152"/>
      <c r="S43" s="152"/>
      <c r="V43"/>
    </row>
    <row r="44" spans="2:22" ht="15" x14ac:dyDescent="0.25">
      <c r="F44" s="42"/>
      <c r="J44" s="65"/>
      <c r="L44" s="43"/>
      <c r="M44" s="43"/>
      <c r="N44" s="43"/>
      <c r="O44" s="43"/>
      <c r="P44" s="43"/>
      <c r="Q44" s="43"/>
      <c r="R44" s="43"/>
      <c r="S44" s="43"/>
      <c r="V44"/>
    </row>
    <row r="45" spans="2:22" ht="15" x14ac:dyDescent="0.25">
      <c r="B45" s="3" t="s">
        <v>96</v>
      </c>
      <c r="F45" s="42" t="s">
        <v>77</v>
      </c>
      <c r="J45" s="65"/>
      <c r="L45" s="152"/>
      <c r="M45" s="152"/>
      <c r="N45" s="118">
        <f>9842+369.570652173913</f>
        <v>10211.570652173912</v>
      </c>
      <c r="O45" s="152">
        <v>2145</v>
      </c>
      <c r="P45" s="152"/>
      <c r="Q45" s="152">
        <v>523.99894695274452</v>
      </c>
      <c r="R45" s="152"/>
      <c r="S45" s="152"/>
      <c r="V45"/>
    </row>
    <row r="47" spans="2:22" s="9" customFormat="1" x14ac:dyDescent="0.25">
      <c r="B47" s="9" t="s">
        <v>107</v>
      </c>
    </row>
    <row r="49" spans="2:22" x14ac:dyDescent="0.25">
      <c r="B49" s="41" t="s">
        <v>74</v>
      </c>
    </row>
    <row r="51" spans="2:22" x14ac:dyDescent="0.25">
      <c r="B51" s="41" t="s">
        <v>75</v>
      </c>
    </row>
    <row r="52" spans="2:22" x14ac:dyDescent="0.2">
      <c r="B52" s="3" t="s">
        <v>76</v>
      </c>
      <c r="F52" s="42" t="s">
        <v>77</v>
      </c>
      <c r="J52" s="65"/>
      <c r="L52" s="152"/>
      <c r="M52" s="152"/>
      <c r="N52" s="152"/>
      <c r="O52" s="152"/>
      <c r="P52" s="152"/>
      <c r="Q52" s="152"/>
      <c r="R52" s="152"/>
      <c r="S52" s="152"/>
      <c r="V52" s="3" t="s">
        <v>189</v>
      </c>
    </row>
    <row r="53" spans="2:22" ht="15" x14ac:dyDescent="0.25">
      <c r="B53" s="3" t="s">
        <v>79</v>
      </c>
      <c r="F53" s="42" t="s">
        <v>77</v>
      </c>
      <c r="J53" s="65"/>
      <c r="L53" s="152"/>
      <c r="M53" s="152"/>
      <c r="N53" s="152"/>
      <c r="O53" s="152"/>
      <c r="P53" s="152"/>
      <c r="Q53" s="152"/>
      <c r="R53" s="152"/>
      <c r="S53" s="152"/>
      <c r="V53"/>
    </row>
    <row r="54" spans="2:22" ht="15" x14ac:dyDescent="0.25">
      <c r="B54" s="3" t="s">
        <v>80</v>
      </c>
      <c r="F54" s="42" t="s">
        <v>77</v>
      </c>
      <c r="J54" s="65"/>
      <c r="L54" s="152"/>
      <c r="M54" s="152"/>
      <c r="N54" s="152"/>
      <c r="O54" s="152"/>
      <c r="P54" s="152"/>
      <c r="Q54" s="152"/>
      <c r="R54" s="152"/>
      <c r="S54" s="152"/>
      <c r="V54"/>
    </row>
    <row r="55" spans="2:22" ht="15" x14ac:dyDescent="0.25">
      <c r="B55" s="3" t="s">
        <v>81</v>
      </c>
      <c r="F55" s="42" t="s">
        <v>77</v>
      </c>
      <c r="J55" s="65"/>
      <c r="L55" s="152"/>
      <c r="M55" s="152"/>
      <c r="N55" s="152"/>
      <c r="O55" s="152"/>
      <c r="P55" s="152"/>
      <c r="Q55" s="152"/>
      <c r="R55" s="152"/>
      <c r="S55" s="152"/>
      <c r="V55"/>
    </row>
    <row r="56" spans="2:22" ht="15" x14ac:dyDescent="0.25">
      <c r="B56" s="3" t="s">
        <v>82</v>
      </c>
      <c r="F56" s="42" t="s">
        <v>77</v>
      </c>
      <c r="J56" s="65"/>
      <c r="L56" s="152"/>
      <c r="M56" s="152"/>
      <c r="N56" s="152"/>
      <c r="O56" s="152"/>
      <c r="P56" s="152"/>
      <c r="Q56" s="152"/>
      <c r="R56" s="152"/>
      <c r="S56" s="152"/>
      <c r="V56"/>
    </row>
    <row r="57" spans="2:22" ht="15" x14ac:dyDescent="0.25">
      <c r="B57" s="3" t="s">
        <v>83</v>
      </c>
      <c r="F57" s="42" t="s">
        <v>77</v>
      </c>
      <c r="J57" s="65"/>
      <c r="L57" s="152"/>
      <c r="M57" s="152"/>
      <c r="N57" s="152"/>
      <c r="O57" s="152"/>
      <c r="P57" s="152"/>
      <c r="Q57" s="152"/>
      <c r="R57" s="152"/>
      <c r="S57" s="152"/>
      <c r="V57"/>
    </row>
    <row r="58" spans="2:22" x14ac:dyDescent="0.2">
      <c r="F58" s="42"/>
      <c r="J58" s="65"/>
      <c r="L58" s="43"/>
      <c r="M58" s="43"/>
      <c r="N58" s="43"/>
      <c r="O58" s="43"/>
      <c r="P58" s="43"/>
      <c r="Q58" s="43"/>
      <c r="R58" s="43"/>
      <c r="S58" s="43"/>
    </row>
    <row r="59" spans="2:22" x14ac:dyDescent="0.2">
      <c r="B59" s="41" t="s">
        <v>84</v>
      </c>
      <c r="F59" s="42"/>
      <c r="J59" s="65"/>
      <c r="L59" s="43"/>
      <c r="M59" s="43"/>
      <c r="N59" s="43"/>
      <c r="O59" s="43"/>
      <c r="P59" s="43"/>
      <c r="Q59" s="43"/>
      <c r="R59" s="43"/>
      <c r="S59" s="43"/>
    </row>
    <row r="60" spans="2:22" ht="15" x14ac:dyDescent="0.25">
      <c r="B60" s="3" t="s">
        <v>85</v>
      </c>
      <c r="F60" s="42" t="s">
        <v>77</v>
      </c>
      <c r="J60" s="65"/>
      <c r="L60" s="152"/>
      <c r="M60" s="152"/>
      <c r="N60" s="152"/>
      <c r="O60" s="152"/>
      <c r="P60" s="152"/>
      <c r="Q60" s="152"/>
      <c r="R60" s="152"/>
      <c r="S60" s="152"/>
      <c r="V60"/>
    </row>
    <row r="61" spans="2:22" ht="15" x14ac:dyDescent="0.25">
      <c r="B61" s="3" t="s">
        <v>86</v>
      </c>
      <c r="F61" s="42" t="s">
        <v>77</v>
      </c>
      <c r="J61" s="65"/>
      <c r="L61" s="152"/>
      <c r="M61" s="152"/>
      <c r="N61" s="152"/>
      <c r="O61" s="152"/>
      <c r="P61" s="152"/>
      <c r="Q61" s="152"/>
      <c r="R61" s="152"/>
      <c r="S61" s="152"/>
      <c r="V61"/>
    </row>
    <row r="62" spans="2:22" ht="15" x14ac:dyDescent="0.25">
      <c r="B62" s="3" t="s">
        <v>87</v>
      </c>
      <c r="F62" s="42" t="s">
        <v>77</v>
      </c>
      <c r="J62" s="65"/>
      <c r="L62" s="152"/>
      <c r="M62" s="152"/>
      <c r="N62" s="152"/>
      <c r="O62" s="152"/>
      <c r="P62" s="152"/>
      <c r="Q62" s="152"/>
      <c r="R62" s="152"/>
      <c r="S62" s="152"/>
      <c r="V62"/>
    </row>
    <row r="63" spans="2:22" ht="15" x14ac:dyDescent="0.25">
      <c r="B63" s="3" t="s">
        <v>88</v>
      </c>
      <c r="F63" s="42" t="s">
        <v>77</v>
      </c>
      <c r="J63" s="65"/>
      <c r="L63" s="152"/>
      <c r="M63" s="152"/>
      <c r="N63" s="152"/>
      <c r="O63" s="152"/>
      <c r="P63" s="152"/>
      <c r="Q63" s="152"/>
      <c r="R63" s="152"/>
      <c r="S63" s="152"/>
      <c r="V63"/>
    </row>
    <row r="64" spans="2:22" ht="15" x14ac:dyDescent="0.25">
      <c r="B64" s="3" t="s">
        <v>89</v>
      </c>
      <c r="F64" s="42" t="s">
        <v>77</v>
      </c>
      <c r="J64" s="65"/>
      <c r="L64" s="152"/>
      <c r="M64" s="152"/>
      <c r="N64" s="152"/>
      <c r="O64" s="152"/>
      <c r="P64" s="152"/>
      <c r="Q64" s="152"/>
      <c r="R64" s="152"/>
      <c r="S64" s="152"/>
      <c r="V64"/>
    </row>
    <row r="65" spans="2:22" x14ac:dyDescent="0.2">
      <c r="F65" s="42"/>
      <c r="J65" s="65"/>
      <c r="L65" s="43"/>
      <c r="M65" s="43"/>
      <c r="N65" s="43"/>
      <c r="O65" s="43"/>
      <c r="P65" s="43"/>
      <c r="Q65" s="43"/>
      <c r="R65" s="43"/>
      <c r="S65" s="43"/>
    </row>
    <row r="66" spans="2:22" x14ac:dyDescent="0.2">
      <c r="B66" s="41" t="s">
        <v>90</v>
      </c>
      <c r="F66" s="42"/>
      <c r="J66" s="65"/>
      <c r="L66" s="43"/>
      <c r="M66" s="43"/>
      <c r="N66" s="43"/>
      <c r="O66" s="43"/>
      <c r="P66" s="43"/>
      <c r="Q66" s="43"/>
      <c r="R66" s="43"/>
      <c r="S66" s="43"/>
    </row>
    <row r="67" spans="2:22" x14ac:dyDescent="0.2">
      <c r="F67" s="42"/>
      <c r="J67" s="65"/>
      <c r="L67" s="43"/>
      <c r="M67" s="43"/>
      <c r="N67" s="43"/>
      <c r="O67" s="43"/>
      <c r="P67" s="43"/>
      <c r="Q67" s="43"/>
      <c r="R67" s="43"/>
      <c r="S67" s="43"/>
    </row>
    <row r="68" spans="2:22" ht="15" x14ac:dyDescent="0.25">
      <c r="B68" s="41" t="s">
        <v>91</v>
      </c>
      <c r="F68" s="42"/>
      <c r="J68" s="66"/>
      <c r="L68"/>
      <c r="M68"/>
      <c r="N68"/>
      <c r="O68"/>
      <c r="P68"/>
      <c r="Q68"/>
      <c r="R68"/>
      <c r="S68"/>
    </row>
    <row r="69" spans="2:22" ht="15" x14ac:dyDescent="0.25">
      <c r="B69" s="3" t="s">
        <v>92</v>
      </c>
      <c r="F69" s="42" t="s">
        <v>77</v>
      </c>
      <c r="J69" s="65"/>
      <c r="L69" s="152">
        <v>1</v>
      </c>
      <c r="M69" s="152"/>
      <c r="N69" s="152"/>
      <c r="O69" s="152"/>
      <c r="P69" s="152">
        <v>0.42</v>
      </c>
      <c r="Q69" s="152"/>
      <c r="R69" s="152"/>
      <c r="S69" s="152"/>
      <c r="V69"/>
    </row>
    <row r="70" spans="2:22" ht="15" x14ac:dyDescent="0.25">
      <c r="B70" s="3" t="s">
        <v>93</v>
      </c>
      <c r="F70" s="42" t="s">
        <v>77</v>
      </c>
      <c r="J70" s="65"/>
      <c r="L70" s="152"/>
      <c r="M70" s="152"/>
      <c r="N70" s="152"/>
      <c r="O70" s="152"/>
      <c r="P70" s="152"/>
      <c r="Q70" s="152"/>
      <c r="R70" s="152"/>
      <c r="S70" s="152"/>
      <c r="V70"/>
    </row>
    <row r="71" spans="2:22" ht="15" x14ac:dyDescent="0.25">
      <c r="F71" s="42"/>
      <c r="J71" s="65"/>
      <c r="L71" s="43"/>
      <c r="M71" s="43"/>
      <c r="N71" s="43"/>
      <c r="O71" s="43"/>
      <c r="P71" s="43"/>
      <c r="Q71" s="43"/>
      <c r="R71" s="43"/>
      <c r="S71" s="43"/>
      <c r="V71"/>
    </row>
    <row r="72" spans="2:22" ht="15" x14ac:dyDescent="0.25">
      <c r="B72" s="3" t="s">
        <v>94</v>
      </c>
      <c r="F72" s="42" t="s">
        <v>77</v>
      </c>
      <c r="J72" s="65"/>
      <c r="L72" s="152"/>
      <c r="M72" s="152"/>
      <c r="N72" s="118">
        <f>10+1.99983849764</f>
        <v>11.999838497640001</v>
      </c>
      <c r="O72" s="152">
        <v>7</v>
      </c>
      <c r="P72" s="152"/>
      <c r="Q72" s="152">
        <v>3</v>
      </c>
      <c r="R72" s="152"/>
      <c r="S72" s="152"/>
      <c r="V72"/>
    </row>
    <row r="73" spans="2:22" x14ac:dyDescent="0.2">
      <c r="F73" s="42"/>
      <c r="J73" s="65"/>
      <c r="L73" s="43"/>
      <c r="M73" s="43"/>
      <c r="N73" s="43"/>
      <c r="O73" s="43"/>
      <c r="P73" s="43"/>
      <c r="Q73" s="43"/>
      <c r="R73" s="43"/>
      <c r="S73" s="43"/>
    </row>
    <row r="74" spans="2:22" x14ac:dyDescent="0.2">
      <c r="B74" s="41" t="s">
        <v>95</v>
      </c>
      <c r="F74" s="42"/>
      <c r="J74" s="65"/>
      <c r="L74" s="43"/>
      <c r="M74" s="43"/>
      <c r="N74" s="43"/>
      <c r="O74" s="43"/>
      <c r="P74" s="43"/>
      <c r="Q74" s="43"/>
      <c r="R74" s="43"/>
      <c r="S74" s="43"/>
    </row>
    <row r="75" spans="2:22" x14ac:dyDescent="0.2">
      <c r="F75" s="42"/>
      <c r="J75" s="65"/>
      <c r="L75" s="43"/>
      <c r="M75" s="43"/>
      <c r="N75" s="43"/>
      <c r="O75" s="43"/>
      <c r="P75" s="43"/>
      <c r="Q75" s="43"/>
      <c r="R75" s="43"/>
      <c r="S75" s="43"/>
    </row>
    <row r="76" spans="2:22" x14ac:dyDescent="0.2">
      <c r="B76" s="41" t="s">
        <v>91</v>
      </c>
      <c r="F76" s="42"/>
      <c r="J76" s="65"/>
      <c r="L76" s="43"/>
      <c r="M76" s="43"/>
      <c r="N76" s="43"/>
      <c r="O76" s="43"/>
      <c r="P76" s="43"/>
      <c r="Q76" s="43"/>
      <c r="R76" s="43"/>
      <c r="S76" s="43"/>
    </row>
    <row r="77" spans="2:22" ht="15" x14ac:dyDescent="0.25">
      <c r="B77" s="3" t="s">
        <v>92</v>
      </c>
      <c r="F77" s="42" t="s">
        <v>77</v>
      </c>
      <c r="J77" s="65"/>
      <c r="L77" s="152">
        <v>0</v>
      </c>
      <c r="M77" s="152"/>
      <c r="N77" s="152"/>
      <c r="O77" s="152"/>
      <c r="P77" s="152">
        <v>1008</v>
      </c>
      <c r="Q77" s="152"/>
      <c r="R77" s="152"/>
      <c r="S77" s="152"/>
      <c r="V77"/>
    </row>
    <row r="78" spans="2:22" ht="15" x14ac:dyDescent="0.25">
      <c r="B78" s="3" t="s">
        <v>93</v>
      </c>
      <c r="F78" s="42" t="s">
        <v>77</v>
      </c>
      <c r="J78" s="65"/>
      <c r="L78" s="152"/>
      <c r="M78" s="152"/>
      <c r="N78" s="152"/>
      <c r="O78" s="152"/>
      <c r="P78" s="152"/>
      <c r="Q78" s="152"/>
      <c r="R78" s="152"/>
      <c r="S78" s="152"/>
      <c r="V78"/>
    </row>
    <row r="79" spans="2:22" ht="15" x14ac:dyDescent="0.25">
      <c r="F79" s="42"/>
      <c r="J79" s="65"/>
      <c r="L79" s="43"/>
      <c r="M79" s="43"/>
      <c r="N79" s="43"/>
      <c r="O79" s="43"/>
      <c r="P79" s="43"/>
      <c r="Q79" s="43"/>
      <c r="R79" s="43"/>
      <c r="S79" s="43"/>
      <c r="V79"/>
    </row>
    <row r="80" spans="2:22" ht="15" x14ac:dyDescent="0.25">
      <c r="B80" s="3" t="s">
        <v>96</v>
      </c>
      <c r="F80" s="42" t="s">
        <v>77</v>
      </c>
      <c r="J80" s="65"/>
      <c r="L80" s="152"/>
      <c r="M80" s="152"/>
      <c r="N80" s="118">
        <f>10338+1049.91521126124</f>
        <v>11387.915211261239</v>
      </c>
      <c r="O80" s="152">
        <v>2675</v>
      </c>
      <c r="P80" s="152"/>
      <c r="Q80" s="152">
        <v>524</v>
      </c>
      <c r="R80" s="152"/>
      <c r="S80" s="152"/>
      <c r="V80"/>
    </row>
    <row r="81" spans="2:22" x14ac:dyDescent="0.25">
      <c r="J81" s="67"/>
    </row>
    <row r="82" spans="2:22" s="9" customFormat="1" x14ac:dyDescent="0.25">
      <c r="B82" s="9" t="s">
        <v>108</v>
      </c>
    </row>
    <row r="84" spans="2:22" x14ac:dyDescent="0.25">
      <c r="B84" s="41" t="s">
        <v>74</v>
      </c>
    </row>
    <row r="86" spans="2:22" x14ac:dyDescent="0.25">
      <c r="B86" s="41" t="s">
        <v>75</v>
      </c>
      <c r="J86" s="67"/>
    </row>
    <row r="87" spans="2:22" ht="15" x14ac:dyDescent="0.25">
      <c r="B87" s="3" t="s">
        <v>76</v>
      </c>
      <c r="F87" s="42" t="s">
        <v>77</v>
      </c>
      <c r="J87" s="65"/>
      <c r="L87" s="152"/>
      <c r="M87" s="152"/>
      <c r="N87" s="152"/>
      <c r="O87" s="152"/>
      <c r="P87" s="152"/>
      <c r="Q87" s="152"/>
      <c r="R87" s="152"/>
      <c r="S87" s="152"/>
      <c r="V87" t="s">
        <v>78</v>
      </c>
    </row>
    <row r="88" spans="2:22" ht="15" x14ac:dyDescent="0.25">
      <c r="B88" s="3" t="s">
        <v>79</v>
      </c>
      <c r="F88" s="42" t="s">
        <v>77</v>
      </c>
      <c r="J88" s="65"/>
      <c r="L88" s="152"/>
      <c r="M88" s="152"/>
      <c r="N88" s="152"/>
      <c r="O88" s="152"/>
      <c r="P88" s="152"/>
      <c r="Q88" s="152"/>
      <c r="R88" s="152"/>
      <c r="S88" s="152"/>
      <c r="V88"/>
    </row>
    <row r="89" spans="2:22" ht="15" x14ac:dyDescent="0.25">
      <c r="B89" s="3" t="s">
        <v>80</v>
      </c>
      <c r="F89" s="42" t="s">
        <v>77</v>
      </c>
      <c r="J89" s="65"/>
      <c r="L89" s="152"/>
      <c r="M89" s="152"/>
      <c r="N89" s="152"/>
      <c r="O89" s="152"/>
      <c r="P89" s="152"/>
      <c r="Q89" s="152"/>
      <c r="R89" s="152"/>
      <c r="S89" s="152"/>
      <c r="V89"/>
    </row>
    <row r="90" spans="2:22" ht="15" x14ac:dyDescent="0.25">
      <c r="B90" s="3" t="s">
        <v>81</v>
      </c>
      <c r="F90" s="42" t="s">
        <v>77</v>
      </c>
      <c r="J90" s="65"/>
      <c r="L90" s="152"/>
      <c r="M90" s="152"/>
      <c r="N90" s="152"/>
      <c r="O90" s="152"/>
      <c r="P90" s="152"/>
      <c r="Q90" s="152"/>
      <c r="R90" s="152"/>
      <c r="S90" s="152"/>
      <c r="V90"/>
    </row>
    <row r="91" spans="2:22" ht="15" x14ac:dyDescent="0.25">
      <c r="B91" s="3" t="s">
        <v>82</v>
      </c>
      <c r="F91" s="42" t="s">
        <v>77</v>
      </c>
      <c r="J91" s="65"/>
      <c r="L91" s="152"/>
      <c r="M91" s="152"/>
      <c r="N91" s="152"/>
      <c r="O91" s="152"/>
      <c r="P91" s="152"/>
      <c r="Q91" s="152"/>
      <c r="R91" s="152"/>
      <c r="S91" s="152"/>
      <c r="V91"/>
    </row>
    <row r="92" spans="2:22" ht="15" x14ac:dyDescent="0.25">
      <c r="B92" s="3" t="s">
        <v>83</v>
      </c>
      <c r="F92" s="42" t="s">
        <v>77</v>
      </c>
      <c r="J92" s="65"/>
      <c r="L92" s="152"/>
      <c r="M92" s="152"/>
      <c r="N92" s="152"/>
      <c r="O92" s="152"/>
      <c r="P92" s="152"/>
      <c r="Q92" s="152">
        <v>0.31506849315068491</v>
      </c>
      <c r="R92" s="152"/>
      <c r="S92" s="152"/>
      <c r="V92"/>
    </row>
    <row r="93" spans="2:22" x14ac:dyDescent="0.2">
      <c r="F93" s="42"/>
      <c r="J93" s="65"/>
      <c r="L93" s="43"/>
      <c r="M93" s="43"/>
      <c r="N93" s="43"/>
      <c r="O93" s="43"/>
      <c r="P93" s="43"/>
      <c r="Q93" s="43"/>
      <c r="R93" s="43"/>
      <c r="S93" s="43"/>
    </row>
    <row r="94" spans="2:22" x14ac:dyDescent="0.2">
      <c r="B94" s="41" t="s">
        <v>84</v>
      </c>
      <c r="F94" s="42"/>
      <c r="J94" s="65"/>
      <c r="L94" s="43"/>
      <c r="M94" s="43"/>
      <c r="N94" s="43"/>
      <c r="O94" s="43"/>
      <c r="P94" s="43"/>
      <c r="Q94" s="43"/>
      <c r="R94" s="43"/>
      <c r="S94" s="43"/>
    </row>
    <row r="95" spans="2:22" ht="15" x14ac:dyDescent="0.25">
      <c r="B95" s="3" t="s">
        <v>85</v>
      </c>
      <c r="F95" s="42" t="s">
        <v>77</v>
      </c>
      <c r="J95" s="65"/>
      <c r="L95" s="152"/>
      <c r="M95" s="152"/>
      <c r="N95" s="152"/>
      <c r="O95" s="152"/>
      <c r="P95" s="152"/>
      <c r="Q95" s="152"/>
      <c r="R95" s="152"/>
      <c r="S95" s="152"/>
      <c r="V95"/>
    </row>
    <row r="96" spans="2:22" ht="15" x14ac:dyDescent="0.25">
      <c r="B96" s="3" t="s">
        <v>86</v>
      </c>
      <c r="F96" s="42" t="s">
        <v>77</v>
      </c>
      <c r="J96" s="65"/>
      <c r="L96" s="152"/>
      <c r="M96" s="152"/>
      <c r="N96" s="152"/>
      <c r="O96" s="152">
        <v>1</v>
      </c>
      <c r="P96" s="152"/>
      <c r="Q96" s="152"/>
      <c r="R96" s="152"/>
      <c r="S96" s="152"/>
      <c r="V96"/>
    </row>
    <row r="97" spans="2:22" ht="15" x14ac:dyDescent="0.25">
      <c r="B97" s="3" t="s">
        <v>87</v>
      </c>
      <c r="F97" s="42" t="s">
        <v>77</v>
      </c>
      <c r="J97" s="65"/>
      <c r="L97" s="152"/>
      <c r="M97" s="152"/>
      <c r="N97" s="152"/>
      <c r="O97" s="152"/>
      <c r="P97" s="152"/>
      <c r="Q97" s="152"/>
      <c r="R97" s="152"/>
      <c r="S97" s="152"/>
      <c r="V97"/>
    </row>
    <row r="98" spans="2:22" ht="15" x14ac:dyDescent="0.25">
      <c r="B98" s="3" t="s">
        <v>88</v>
      </c>
      <c r="F98" s="42" t="s">
        <v>77</v>
      </c>
      <c r="J98" s="65"/>
      <c r="L98" s="152"/>
      <c r="M98" s="152"/>
      <c r="N98" s="152"/>
      <c r="O98" s="152"/>
      <c r="P98" s="152"/>
      <c r="Q98" s="152"/>
      <c r="R98" s="152"/>
      <c r="S98" s="152"/>
      <c r="V98"/>
    </row>
    <row r="99" spans="2:22" ht="15" x14ac:dyDescent="0.25">
      <c r="B99" s="3" t="s">
        <v>89</v>
      </c>
      <c r="F99" s="42" t="s">
        <v>77</v>
      </c>
      <c r="J99" s="65"/>
      <c r="L99" s="152"/>
      <c r="M99" s="152"/>
      <c r="N99" s="152"/>
      <c r="O99" s="152"/>
      <c r="P99" s="152"/>
      <c r="Q99" s="152"/>
      <c r="R99" s="152"/>
      <c r="S99" s="152"/>
      <c r="V99"/>
    </row>
    <row r="100" spans="2:22" x14ac:dyDescent="0.2">
      <c r="F100" s="42"/>
      <c r="J100" s="65"/>
      <c r="L100" s="43"/>
      <c r="M100" s="43"/>
      <c r="N100" s="43"/>
      <c r="O100" s="43"/>
      <c r="P100" s="43"/>
      <c r="Q100" s="43"/>
      <c r="R100" s="43"/>
      <c r="S100" s="43"/>
    </row>
    <row r="101" spans="2:22" x14ac:dyDescent="0.2">
      <c r="B101" s="41" t="s">
        <v>90</v>
      </c>
      <c r="F101" s="42"/>
      <c r="J101" s="65"/>
      <c r="L101" s="43"/>
      <c r="M101" s="43"/>
      <c r="N101" s="43"/>
      <c r="O101" s="43"/>
      <c r="P101" s="43"/>
      <c r="Q101" s="43"/>
      <c r="R101" s="43"/>
      <c r="S101" s="43"/>
    </row>
    <row r="102" spans="2:22" x14ac:dyDescent="0.2">
      <c r="F102" s="42"/>
      <c r="J102" s="65"/>
      <c r="L102" s="43"/>
      <c r="M102" s="43"/>
      <c r="N102" s="43"/>
      <c r="O102" s="43"/>
      <c r="P102" s="43"/>
      <c r="Q102" s="43"/>
      <c r="R102" s="43"/>
      <c r="S102" s="43"/>
    </row>
    <row r="103" spans="2:22" ht="15" x14ac:dyDescent="0.25">
      <c r="B103" s="41" t="s">
        <v>91</v>
      </c>
      <c r="F103" s="42"/>
      <c r="J103" s="66"/>
      <c r="L103"/>
      <c r="M103"/>
      <c r="N103"/>
      <c r="O103"/>
      <c r="P103"/>
      <c r="Q103"/>
      <c r="R103"/>
      <c r="S103"/>
    </row>
    <row r="104" spans="2:22" ht="15" x14ac:dyDescent="0.25">
      <c r="B104" s="3" t="s">
        <v>92</v>
      </c>
      <c r="F104" s="42" t="s">
        <v>77</v>
      </c>
      <c r="J104" s="65"/>
      <c r="L104" s="152">
        <v>1</v>
      </c>
      <c r="M104" s="152"/>
      <c r="N104" s="152"/>
      <c r="O104" s="152"/>
      <c r="P104" s="152">
        <v>1</v>
      </c>
      <c r="Q104" s="152"/>
      <c r="R104" s="152"/>
      <c r="S104" s="152"/>
      <c r="V104"/>
    </row>
    <row r="105" spans="2:22" ht="15" x14ac:dyDescent="0.25">
      <c r="B105" s="3" t="s">
        <v>93</v>
      </c>
      <c r="F105" s="42" t="s">
        <v>77</v>
      </c>
      <c r="J105" s="65"/>
      <c r="L105" s="152"/>
      <c r="M105" s="152"/>
      <c r="N105" s="152"/>
      <c r="O105" s="152"/>
      <c r="P105" s="152"/>
      <c r="Q105" s="152"/>
      <c r="R105" s="152"/>
      <c r="S105" s="152"/>
      <c r="V105"/>
    </row>
    <row r="106" spans="2:22" ht="15" x14ac:dyDescent="0.25">
      <c r="F106" s="42"/>
      <c r="J106" s="65"/>
      <c r="L106" s="43"/>
      <c r="M106" s="43"/>
      <c r="N106" s="43"/>
      <c r="O106" s="43"/>
      <c r="P106" s="43"/>
      <c r="Q106" s="43"/>
      <c r="R106" s="43"/>
      <c r="S106" s="43"/>
      <c r="V106"/>
    </row>
    <row r="107" spans="2:22" ht="15" x14ac:dyDescent="0.25">
      <c r="B107" s="3" t="s">
        <v>94</v>
      </c>
      <c r="F107" s="42" t="s">
        <v>77</v>
      </c>
      <c r="J107" s="65"/>
      <c r="L107" s="152"/>
      <c r="M107" s="152"/>
      <c r="N107" s="118">
        <f>11+1.99993334690031</f>
        <v>12.99993334690031</v>
      </c>
      <c r="O107" s="152">
        <v>6.75</v>
      </c>
      <c r="P107" s="152"/>
      <c r="Q107" s="152">
        <v>3</v>
      </c>
      <c r="R107" s="152"/>
      <c r="S107" s="152"/>
      <c r="V107"/>
    </row>
    <row r="108" spans="2:22" x14ac:dyDescent="0.2">
      <c r="F108" s="42"/>
      <c r="J108" s="65"/>
      <c r="L108" s="43"/>
      <c r="M108" s="43"/>
      <c r="N108" s="43"/>
      <c r="O108" s="43"/>
      <c r="P108" s="43"/>
      <c r="Q108" s="43"/>
      <c r="R108" s="43"/>
      <c r="S108" s="43"/>
    </row>
    <row r="109" spans="2:22" x14ac:dyDescent="0.2">
      <c r="B109" s="41" t="s">
        <v>95</v>
      </c>
      <c r="F109" s="42"/>
      <c r="J109" s="65"/>
      <c r="L109" s="43"/>
      <c r="M109" s="43"/>
      <c r="N109" s="43"/>
      <c r="O109" s="43"/>
      <c r="P109" s="43"/>
      <c r="Q109" s="43"/>
      <c r="R109" s="43"/>
      <c r="S109" s="43"/>
    </row>
    <row r="110" spans="2:22" x14ac:dyDescent="0.2">
      <c r="F110" s="42"/>
      <c r="J110" s="65"/>
      <c r="L110" s="43"/>
      <c r="M110" s="43"/>
      <c r="N110" s="43"/>
      <c r="O110" s="43"/>
      <c r="P110" s="43"/>
      <c r="Q110" s="43"/>
      <c r="R110" s="43"/>
      <c r="S110" s="43"/>
    </row>
    <row r="111" spans="2:22" x14ac:dyDescent="0.2">
      <c r="B111" s="41" t="s">
        <v>91</v>
      </c>
      <c r="F111" s="42"/>
      <c r="J111" s="65"/>
      <c r="L111" s="43"/>
      <c r="M111" s="43"/>
      <c r="N111" s="43"/>
      <c r="O111" s="43"/>
      <c r="P111" s="43"/>
      <c r="Q111" s="43"/>
      <c r="R111" s="43"/>
      <c r="S111" s="43"/>
    </row>
    <row r="112" spans="2:22" ht="15" x14ac:dyDescent="0.25">
      <c r="B112" s="3" t="s">
        <v>92</v>
      </c>
      <c r="F112" s="42" t="s">
        <v>77</v>
      </c>
      <c r="J112" s="65"/>
      <c r="L112" s="152">
        <v>0</v>
      </c>
      <c r="M112" s="152"/>
      <c r="N112" s="152"/>
      <c r="O112" s="152"/>
      <c r="P112" s="152">
        <v>1135</v>
      </c>
      <c r="Q112" s="152"/>
      <c r="R112" s="152"/>
      <c r="S112" s="152"/>
      <c r="V112"/>
    </row>
    <row r="113" spans="1:22" ht="15" x14ac:dyDescent="0.25">
      <c r="B113" s="3" t="s">
        <v>93</v>
      </c>
      <c r="F113" s="42" t="s">
        <v>77</v>
      </c>
      <c r="J113" s="65"/>
      <c r="L113" s="152"/>
      <c r="M113" s="152"/>
      <c r="N113" s="152"/>
      <c r="O113" s="152"/>
      <c r="P113" s="152"/>
      <c r="Q113" s="152"/>
      <c r="R113" s="152"/>
      <c r="S113" s="152"/>
      <c r="V113"/>
    </row>
    <row r="114" spans="1:22" ht="15" x14ac:dyDescent="0.25">
      <c r="F114" s="42"/>
      <c r="J114" s="65"/>
      <c r="L114" s="43"/>
      <c r="M114" s="43"/>
      <c r="N114" s="43"/>
      <c r="O114" s="43"/>
      <c r="P114" s="43"/>
      <c r="Q114" s="43"/>
      <c r="R114" s="43"/>
      <c r="S114" s="43"/>
      <c r="V114"/>
    </row>
    <row r="115" spans="1:22" ht="15" x14ac:dyDescent="0.25">
      <c r="B115" s="3" t="s">
        <v>96</v>
      </c>
      <c r="F115" s="42" t="s">
        <v>77</v>
      </c>
      <c r="J115" s="65"/>
      <c r="L115" s="152"/>
      <c r="M115" s="152"/>
      <c r="N115" s="118">
        <f>9368+1049.96500712266</f>
        <v>10417.965007122661</v>
      </c>
      <c r="O115" s="152">
        <v>3125</v>
      </c>
      <c r="P115" s="152"/>
      <c r="Q115" s="152">
        <v>524</v>
      </c>
      <c r="R115" s="152"/>
      <c r="S115" s="152"/>
      <c r="V115"/>
    </row>
    <row r="117" spans="1:22" s="9" customFormat="1" x14ac:dyDescent="0.25">
      <c r="B117" s="49" t="s">
        <v>97</v>
      </c>
      <c r="L117" s="48"/>
      <c r="M117" s="48"/>
      <c r="N117" s="48"/>
      <c r="O117" s="48"/>
      <c r="P117" s="48"/>
      <c r="Q117" s="48"/>
      <c r="R117" s="48"/>
      <c r="S117" s="48"/>
    </row>
    <row r="118" spans="1:22" customFormat="1" ht="15" x14ac:dyDescent="0.25">
      <c r="A118" s="42"/>
      <c r="B118" s="42"/>
      <c r="C118" s="42"/>
      <c r="D118" s="42"/>
      <c r="E118" s="42"/>
      <c r="F118" s="44"/>
      <c r="G118" s="42"/>
      <c r="H118" s="43"/>
      <c r="I118" s="43"/>
      <c r="J118" s="43"/>
      <c r="K118" s="43"/>
      <c r="L118" s="43"/>
      <c r="M118" s="43"/>
      <c r="N118" s="43"/>
    </row>
    <row r="119" spans="1:22" customFormat="1" ht="15" x14ac:dyDescent="0.25">
      <c r="B119" s="41" t="s">
        <v>74</v>
      </c>
      <c r="C119" s="42"/>
      <c r="D119" s="42"/>
      <c r="E119" s="42"/>
      <c r="F119" s="44"/>
      <c r="G119" s="42"/>
      <c r="H119" s="43"/>
      <c r="I119" s="43"/>
      <c r="J119" s="43"/>
      <c r="K119" s="43"/>
      <c r="L119" s="43"/>
      <c r="M119" s="43"/>
      <c r="N119" s="43"/>
    </row>
    <row r="120" spans="1:22" customFormat="1" ht="15" x14ac:dyDescent="0.25">
      <c r="B120" s="42"/>
      <c r="C120" s="42"/>
      <c r="D120" s="42"/>
      <c r="E120" s="42"/>
      <c r="F120" s="44"/>
      <c r="G120" s="42"/>
      <c r="H120" s="43"/>
      <c r="I120" s="43"/>
      <c r="J120" s="43"/>
      <c r="K120" s="43"/>
      <c r="L120" s="43"/>
      <c r="M120" s="43"/>
      <c r="N120" s="43"/>
    </row>
    <row r="121" spans="1:22" customFormat="1" ht="15" x14ac:dyDescent="0.25">
      <c r="B121" s="41" t="s">
        <v>75</v>
      </c>
      <c r="C121" s="42"/>
      <c r="D121" s="42"/>
      <c r="E121" s="42"/>
      <c r="F121" s="44"/>
      <c r="G121" s="42"/>
      <c r="H121" s="43"/>
      <c r="I121" s="43"/>
      <c r="J121" s="43"/>
      <c r="K121" s="43"/>
      <c r="L121" s="43"/>
      <c r="M121" s="43"/>
      <c r="N121" s="43"/>
    </row>
    <row r="122" spans="1:22" customFormat="1" ht="15" x14ac:dyDescent="0.25">
      <c r="B122" s="42" t="s">
        <v>76</v>
      </c>
      <c r="C122" s="3"/>
      <c r="D122" s="3"/>
      <c r="E122" s="42"/>
      <c r="F122" s="42" t="s">
        <v>77</v>
      </c>
      <c r="G122" s="3"/>
      <c r="H122" s="3"/>
      <c r="I122" s="3"/>
      <c r="J122" s="65"/>
      <c r="K122" s="42"/>
      <c r="L122" s="56">
        <f t="shared" ref="L122:S122" si="0">SUM(L17,L52,L87)/3</f>
        <v>0</v>
      </c>
      <c r="M122" s="56">
        <f t="shared" si="0"/>
        <v>0</v>
      </c>
      <c r="N122" s="56">
        <f t="shared" si="0"/>
        <v>0</v>
      </c>
      <c r="O122" s="56">
        <f t="shared" si="0"/>
        <v>0</v>
      </c>
      <c r="P122" s="56">
        <f t="shared" si="0"/>
        <v>0</v>
      </c>
      <c r="Q122" s="56">
        <f t="shared" si="0"/>
        <v>0</v>
      </c>
      <c r="R122" s="56">
        <f t="shared" si="0"/>
        <v>0</v>
      </c>
      <c r="S122" s="56">
        <f t="shared" si="0"/>
        <v>0</v>
      </c>
    </row>
    <row r="123" spans="1:22" customFormat="1" ht="15" x14ac:dyDescent="0.25">
      <c r="B123" s="42" t="s">
        <v>79</v>
      </c>
      <c r="C123" s="3"/>
      <c r="D123" s="3"/>
      <c r="E123" s="42"/>
      <c r="F123" s="42" t="s">
        <v>77</v>
      </c>
      <c r="G123" s="3"/>
      <c r="H123" s="3"/>
      <c r="I123" s="3"/>
      <c r="J123" s="65"/>
      <c r="K123" s="42"/>
      <c r="L123" s="56">
        <f t="shared" ref="L123:S123" si="1">SUM(L18,L53,L88)/3</f>
        <v>0</v>
      </c>
      <c r="M123" s="56">
        <f t="shared" si="1"/>
        <v>0</v>
      </c>
      <c r="N123" s="56">
        <f t="shared" si="1"/>
        <v>0</v>
      </c>
      <c r="O123" s="56">
        <f t="shared" si="1"/>
        <v>0</v>
      </c>
      <c r="P123" s="56">
        <f t="shared" si="1"/>
        <v>0</v>
      </c>
      <c r="Q123" s="56">
        <f t="shared" si="1"/>
        <v>0</v>
      </c>
      <c r="R123" s="56">
        <f t="shared" si="1"/>
        <v>0</v>
      </c>
      <c r="S123" s="56">
        <f t="shared" si="1"/>
        <v>0</v>
      </c>
    </row>
    <row r="124" spans="1:22" customFormat="1" ht="15" x14ac:dyDescent="0.25">
      <c r="B124" s="42" t="s">
        <v>80</v>
      </c>
      <c r="C124" s="3"/>
      <c r="D124" s="3"/>
      <c r="E124" s="42"/>
      <c r="F124" s="42" t="s">
        <v>77</v>
      </c>
      <c r="G124" s="3"/>
      <c r="H124" s="3"/>
      <c r="I124" s="3"/>
      <c r="J124" s="65"/>
      <c r="K124" s="42"/>
      <c r="L124" s="56">
        <f t="shared" ref="L124:S124" si="2">SUM(L19,L54,L89)/3</f>
        <v>0</v>
      </c>
      <c r="M124" s="56">
        <f t="shared" si="2"/>
        <v>0</v>
      </c>
      <c r="N124" s="56">
        <f t="shared" si="2"/>
        <v>0</v>
      </c>
      <c r="O124" s="56">
        <f t="shared" si="2"/>
        <v>0</v>
      </c>
      <c r="P124" s="56">
        <f t="shared" si="2"/>
        <v>0</v>
      </c>
      <c r="Q124" s="56">
        <f t="shared" si="2"/>
        <v>0</v>
      </c>
      <c r="R124" s="56">
        <f t="shared" si="2"/>
        <v>0</v>
      </c>
      <c r="S124" s="56">
        <f t="shared" si="2"/>
        <v>0</v>
      </c>
    </row>
    <row r="125" spans="1:22" customFormat="1" ht="15" x14ac:dyDescent="0.25">
      <c r="B125" s="42" t="s">
        <v>81</v>
      </c>
      <c r="C125" s="3"/>
      <c r="D125" s="3"/>
      <c r="E125" s="42"/>
      <c r="F125" s="42" t="s">
        <v>77</v>
      </c>
      <c r="G125" s="3"/>
      <c r="H125" s="3"/>
      <c r="I125" s="3"/>
      <c r="J125" s="65"/>
      <c r="K125" s="42"/>
      <c r="L125" s="56">
        <f t="shared" ref="L125:S125" si="3">SUM(L20,L55,L90)/3</f>
        <v>0</v>
      </c>
      <c r="M125" s="56">
        <f t="shared" si="3"/>
        <v>0</v>
      </c>
      <c r="N125" s="56">
        <f t="shared" si="3"/>
        <v>0</v>
      </c>
      <c r="O125" s="56">
        <f t="shared" si="3"/>
        <v>0</v>
      </c>
      <c r="P125" s="56">
        <f t="shared" si="3"/>
        <v>0</v>
      </c>
      <c r="Q125" s="56">
        <f t="shared" si="3"/>
        <v>0</v>
      </c>
      <c r="R125" s="56">
        <f t="shared" si="3"/>
        <v>0</v>
      </c>
      <c r="S125" s="56">
        <f t="shared" si="3"/>
        <v>0</v>
      </c>
    </row>
    <row r="126" spans="1:22" customFormat="1" ht="15" x14ac:dyDescent="0.25">
      <c r="B126" s="42" t="s">
        <v>82</v>
      </c>
      <c r="C126" s="3"/>
      <c r="D126" s="3"/>
      <c r="E126" s="42"/>
      <c r="F126" s="42" t="s">
        <v>77</v>
      </c>
      <c r="G126" s="3"/>
      <c r="H126" s="3"/>
      <c r="I126" s="3"/>
      <c r="J126" s="65"/>
      <c r="K126" s="42"/>
      <c r="L126" s="56">
        <f t="shared" ref="L126:S126" si="4">SUM(L21,L56,L91)/3</f>
        <v>0</v>
      </c>
      <c r="M126" s="56">
        <f t="shared" si="4"/>
        <v>0</v>
      </c>
      <c r="N126" s="56">
        <f t="shared" si="4"/>
        <v>0</v>
      </c>
      <c r="O126" s="56">
        <f t="shared" si="4"/>
        <v>0</v>
      </c>
      <c r="P126" s="56">
        <f t="shared" si="4"/>
        <v>0</v>
      </c>
      <c r="Q126" s="56">
        <f t="shared" si="4"/>
        <v>0</v>
      </c>
      <c r="R126" s="56">
        <f t="shared" si="4"/>
        <v>0</v>
      </c>
      <c r="S126" s="56">
        <f t="shared" si="4"/>
        <v>0</v>
      </c>
    </row>
    <row r="127" spans="1:22" customFormat="1" ht="15" x14ac:dyDescent="0.25">
      <c r="B127" s="42" t="s">
        <v>83</v>
      </c>
      <c r="C127" s="3"/>
      <c r="D127" s="3"/>
      <c r="E127" s="42"/>
      <c r="F127" s="42" t="s">
        <v>77</v>
      </c>
      <c r="G127" s="3"/>
      <c r="H127" s="3"/>
      <c r="I127" s="3"/>
      <c r="J127" s="65"/>
      <c r="K127" s="42"/>
      <c r="L127" s="56">
        <f t="shared" ref="L127:S127" si="5">SUM(L22,L57,L92)/3</f>
        <v>0</v>
      </c>
      <c r="M127" s="56">
        <f t="shared" si="5"/>
        <v>0</v>
      </c>
      <c r="N127" s="56">
        <f t="shared" si="5"/>
        <v>0</v>
      </c>
      <c r="O127" s="56">
        <f t="shared" si="5"/>
        <v>0</v>
      </c>
      <c r="P127" s="56">
        <f t="shared" si="5"/>
        <v>0</v>
      </c>
      <c r="Q127" s="56">
        <f t="shared" si="5"/>
        <v>0.1050228310502283</v>
      </c>
      <c r="R127" s="56">
        <f t="shared" si="5"/>
        <v>0</v>
      </c>
      <c r="S127" s="56">
        <f t="shared" si="5"/>
        <v>0</v>
      </c>
    </row>
    <row r="128" spans="1:22" customFormat="1" ht="15" x14ac:dyDescent="0.25">
      <c r="B128" s="42"/>
      <c r="C128" s="3"/>
      <c r="D128" s="3"/>
      <c r="E128" s="42"/>
      <c r="F128" s="42"/>
      <c r="G128" s="3"/>
      <c r="H128" s="3"/>
      <c r="I128" s="3"/>
      <c r="J128" s="65"/>
      <c r="K128" s="58"/>
      <c r="L128" s="59"/>
      <c r="M128" s="59"/>
      <c r="N128" s="59"/>
      <c r="O128" s="59"/>
      <c r="P128" s="59"/>
      <c r="Q128" s="59"/>
      <c r="R128" s="59"/>
      <c r="S128" s="59"/>
    </row>
    <row r="129" spans="2:23" customFormat="1" ht="15" x14ac:dyDescent="0.25">
      <c r="B129" s="41" t="s">
        <v>84</v>
      </c>
      <c r="C129" s="3"/>
      <c r="D129" s="3"/>
      <c r="E129" s="42"/>
      <c r="F129" s="42"/>
      <c r="G129" s="3"/>
      <c r="H129" s="3"/>
      <c r="I129" s="3"/>
      <c r="J129" s="65"/>
      <c r="K129" s="58"/>
      <c r="L129" s="59"/>
      <c r="M129" s="59"/>
      <c r="N129" s="59"/>
      <c r="O129" s="59"/>
      <c r="P129" s="59"/>
      <c r="Q129" s="59"/>
      <c r="R129" s="59"/>
      <c r="S129" s="59"/>
    </row>
    <row r="130" spans="2:23" customFormat="1" ht="15" x14ac:dyDescent="0.25">
      <c r="B130" s="42" t="s">
        <v>85</v>
      </c>
      <c r="C130" s="3"/>
      <c r="D130" s="3"/>
      <c r="E130" s="42"/>
      <c r="F130" s="42" t="s">
        <v>77</v>
      </c>
      <c r="G130" s="3"/>
      <c r="H130" s="3"/>
      <c r="I130" s="3"/>
      <c r="J130" s="65"/>
      <c r="K130" s="42"/>
      <c r="L130" s="56">
        <f t="shared" ref="L130:S130" si="6">SUM(L25,L60,L95)/3</f>
        <v>0</v>
      </c>
      <c r="M130" s="56">
        <f t="shared" si="6"/>
        <v>0</v>
      </c>
      <c r="N130" s="56">
        <f t="shared" si="6"/>
        <v>0</v>
      </c>
      <c r="O130" s="56">
        <f t="shared" si="6"/>
        <v>0</v>
      </c>
      <c r="P130" s="56">
        <f t="shared" si="6"/>
        <v>0</v>
      </c>
      <c r="Q130" s="56">
        <f t="shared" si="6"/>
        <v>0</v>
      </c>
      <c r="R130" s="56">
        <f t="shared" si="6"/>
        <v>0</v>
      </c>
      <c r="S130" s="56">
        <f t="shared" si="6"/>
        <v>0</v>
      </c>
    </row>
    <row r="131" spans="2:23" customFormat="1" ht="15" x14ac:dyDescent="0.25">
      <c r="B131" s="42" t="s">
        <v>86</v>
      </c>
      <c r="C131" s="3"/>
      <c r="D131" s="3"/>
      <c r="E131" s="42"/>
      <c r="F131" s="42" t="s">
        <v>77</v>
      </c>
      <c r="G131" s="3"/>
      <c r="H131" s="3"/>
      <c r="I131" s="3"/>
      <c r="J131" s="65"/>
      <c r="K131" s="42"/>
      <c r="L131" s="56">
        <f t="shared" ref="L131:S131" si="7">SUM(L26,L61,L96)/3</f>
        <v>0</v>
      </c>
      <c r="M131" s="56">
        <f t="shared" si="7"/>
        <v>0</v>
      </c>
      <c r="N131" s="56">
        <f t="shared" si="7"/>
        <v>0</v>
      </c>
      <c r="O131" s="56">
        <f t="shared" si="7"/>
        <v>0.33333333333333331</v>
      </c>
      <c r="P131" s="56">
        <f t="shared" si="7"/>
        <v>0</v>
      </c>
      <c r="Q131" s="56">
        <f t="shared" si="7"/>
        <v>0</v>
      </c>
      <c r="R131" s="56">
        <f t="shared" si="7"/>
        <v>0</v>
      </c>
      <c r="S131" s="56">
        <f t="shared" si="7"/>
        <v>0</v>
      </c>
    </row>
    <row r="132" spans="2:23" customFormat="1" ht="15" x14ac:dyDescent="0.25">
      <c r="B132" s="42" t="s">
        <v>87</v>
      </c>
      <c r="C132" s="3"/>
      <c r="D132" s="3"/>
      <c r="E132" s="42"/>
      <c r="F132" s="42" t="s">
        <v>77</v>
      </c>
      <c r="G132" s="3"/>
      <c r="H132" s="3"/>
      <c r="I132" s="3"/>
      <c r="J132" s="65"/>
      <c r="K132" s="42"/>
      <c r="L132" s="56">
        <f t="shared" ref="L132:S132" si="8">SUM(L27,L62,L97)/3</f>
        <v>0</v>
      </c>
      <c r="M132" s="56">
        <f t="shared" si="8"/>
        <v>0</v>
      </c>
      <c r="N132" s="56">
        <f t="shared" si="8"/>
        <v>0</v>
      </c>
      <c r="O132" s="56">
        <f t="shared" si="8"/>
        <v>0</v>
      </c>
      <c r="P132" s="56">
        <f t="shared" si="8"/>
        <v>0</v>
      </c>
      <c r="Q132" s="56">
        <f t="shared" si="8"/>
        <v>0</v>
      </c>
      <c r="R132" s="56">
        <f t="shared" si="8"/>
        <v>0</v>
      </c>
      <c r="S132" s="56">
        <f t="shared" si="8"/>
        <v>0</v>
      </c>
    </row>
    <row r="133" spans="2:23" customFormat="1" ht="15" x14ac:dyDescent="0.25">
      <c r="B133" s="42" t="s">
        <v>88</v>
      </c>
      <c r="C133" s="3"/>
      <c r="D133" s="3"/>
      <c r="E133" s="42"/>
      <c r="F133" s="42" t="s">
        <v>77</v>
      </c>
      <c r="G133" s="3"/>
      <c r="H133" s="3"/>
      <c r="I133" s="3"/>
      <c r="J133" s="65"/>
      <c r="K133" s="42"/>
      <c r="L133" s="56">
        <f t="shared" ref="L133:S133" si="9">SUM(L28,L63,L98)/3</f>
        <v>0</v>
      </c>
      <c r="M133" s="56">
        <f t="shared" si="9"/>
        <v>0</v>
      </c>
      <c r="N133" s="56">
        <f t="shared" si="9"/>
        <v>0</v>
      </c>
      <c r="O133" s="56">
        <f t="shared" si="9"/>
        <v>0</v>
      </c>
      <c r="P133" s="56">
        <f t="shared" si="9"/>
        <v>0</v>
      </c>
      <c r="Q133" s="56">
        <f t="shared" si="9"/>
        <v>0</v>
      </c>
      <c r="R133" s="56">
        <f t="shared" si="9"/>
        <v>0</v>
      </c>
      <c r="S133" s="56">
        <f t="shared" si="9"/>
        <v>0</v>
      </c>
    </row>
    <row r="134" spans="2:23" customFormat="1" ht="15" x14ac:dyDescent="0.25">
      <c r="B134" s="42" t="s">
        <v>89</v>
      </c>
      <c r="C134" s="3"/>
      <c r="D134" s="3"/>
      <c r="E134" s="42"/>
      <c r="F134" s="42" t="s">
        <v>77</v>
      </c>
      <c r="G134" s="3"/>
      <c r="H134" s="3"/>
      <c r="I134" s="3"/>
      <c r="J134" s="65"/>
      <c r="K134" s="42"/>
      <c r="L134" s="56">
        <f t="shared" ref="L134:S134" si="10">SUM(L29,L64,L99)/3</f>
        <v>0</v>
      </c>
      <c r="M134" s="56">
        <f t="shared" si="10"/>
        <v>0</v>
      </c>
      <c r="N134" s="56">
        <f t="shared" si="10"/>
        <v>0</v>
      </c>
      <c r="O134" s="56">
        <f t="shared" si="10"/>
        <v>0</v>
      </c>
      <c r="P134" s="56">
        <f t="shared" si="10"/>
        <v>0</v>
      </c>
      <c r="Q134" s="56">
        <f t="shared" si="10"/>
        <v>0</v>
      </c>
      <c r="R134" s="56">
        <f t="shared" si="10"/>
        <v>0</v>
      </c>
      <c r="S134" s="56">
        <f t="shared" si="10"/>
        <v>0</v>
      </c>
    </row>
    <row r="135" spans="2:23" customFormat="1" ht="15" x14ac:dyDescent="0.25">
      <c r="B135" s="42"/>
      <c r="C135" s="3"/>
      <c r="D135" s="3"/>
      <c r="E135" s="42"/>
      <c r="F135" s="42"/>
      <c r="G135" s="3"/>
      <c r="H135" s="3"/>
      <c r="I135" s="3"/>
      <c r="J135" s="65"/>
      <c r="K135" s="58"/>
      <c r="L135" s="59"/>
      <c r="M135" s="59"/>
      <c r="N135" s="59"/>
      <c r="O135" s="59"/>
      <c r="P135" s="59"/>
      <c r="Q135" s="59"/>
      <c r="R135" s="59"/>
      <c r="S135" s="59"/>
      <c r="T135" s="60"/>
      <c r="U135" s="60"/>
      <c r="V135" s="60"/>
      <c r="W135" s="60"/>
    </row>
    <row r="136" spans="2:23" customFormat="1" ht="15" x14ac:dyDescent="0.25">
      <c r="B136" s="41" t="s">
        <v>90</v>
      </c>
      <c r="C136" s="3"/>
      <c r="D136" s="3"/>
      <c r="E136" s="42"/>
      <c r="F136" s="42"/>
      <c r="G136" s="3"/>
      <c r="H136" s="3"/>
      <c r="I136" s="3"/>
      <c r="J136" s="65"/>
      <c r="K136" s="58"/>
      <c r="L136" s="59"/>
      <c r="M136" s="59"/>
      <c r="N136" s="59"/>
      <c r="O136" s="59"/>
      <c r="P136" s="59"/>
      <c r="Q136" s="59"/>
      <c r="R136" s="59"/>
      <c r="S136" s="59"/>
      <c r="T136" s="60"/>
      <c r="U136" s="60"/>
      <c r="V136" s="60"/>
      <c r="W136" s="60"/>
    </row>
    <row r="137" spans="2:23" customFormat="1" ht="15" x14ac:dyDescent="0.25">
      <c r="B137" s="42"/>
      <c r="C137" s="3"/>
      <c r="D137" s="3"/>
      <c r="E137" s="42"/>
      <c r="F137" s="42"/>
      <c r="G137" s="3"/>
      <c r="H137" s="3"/>
      <c r="I137" s="3"/>
      <c r="J137" s="65"/>
      <c r="K137" s="58"/>
      <c r="L137" s="59"/>
      <c r="M137" s="59"/>
      <c r="N137" s="59"/>
      <c r="O137" s="59"/>
      <c r="P137" s="59"/>
      <c r="Q137" s="59"/>
      <c r="R137" s="59"/>
      <c r="S137" s="59"/>
      <c r="T137" s="60"/>
      <c r="U137" s="60"/>
      <c r="V137" s="60"/>
      <c r="W137" s="60"/>
    </row>
    <row r="138" spans="2:23" customFormat="1" ht="15" x14ac:dyDescent="0.25">
      <c r="B138" s="41" t="s">
        <v>91</v>
      </c>
      <c r="C138" s="3"/>
      <c r="D138" s="3"/>
      <c r="E138" s="42"/>
      <c r="F138" s="42"/>
      <c r="G138" s="3"/>
      <c r="H138" s="3"/>
      <c r="I138" s="3"/>
      <c r="J138" s="66"/>
      <c r="K138" s="58"/>
      <c r="L138" s="59"/>
      <c r="M138" s="59"/>
      <c r="N138" s="59"/>
      <c r="O138" s="59"/>
      <c r="P138" s="59"/>
      <c r="Q138" s="59"/>
      <c r="R138" s="59"/>
      <c r="S138" s="59"/>
      <c r="T138" s="60"/>
      <c r="U138" s="60"/>
      <c r="V138" s="60"/>
      <c r="W138" s="60"/>
    </row>
    <row r="139" spans="2:23" customFormat="1" ht="15" x14ac:dyDescent="0.25">
      <c r="B139" s="42" t="s">
        <v>92</v>
      </c>
      <c r="C139" s="3"/>
      <c r="D139" s="3"/>
      <c r="E139" s="42"/>
      <c r="F139" s="42" t="s">
        <v>77</v>
      </c>
      <c r="G139" s="3"/>
      <c r="H139" s="3"/>
      <c r="I139" s="3"/>
      <c r="J139" s="65"/>
      <c r="K139" s="42"/>
      <c r="L139" s="56">
        <f t="shared" ref="L139:S139" si="11">SUM(L34,L69,L104)/3</f>
        <v>1</v>
      </c>
      <c r="M139" s="56">
        <f t="shared" si="11"/>
        <v>0</v>
      </c>
      <c r="N139" s="56">
        <f t="shared" si="11"/>
        <v>0</v>
      </c>
      <c r="O139" s="56">
        <f t="shared" si="11"/>
        <v>0</v>
      </c>
      <c r="P139" s="56">
        <f t="shared" si="11"/>
        <v>0.47333333333333333</v>
      </c>
      <c r="Q139" s="56">
        <f t="shared" si="11"/>
        <v>0</v>
      </c>
      <c r="R139" s="56">
        <f t="shared" si="11"/>
        <v>0</v>
      </c>
      <c r="S139" s="56">
        <f t="shared" si="11"/>
        <v>0</v>
      </c>
    </row>
    <row r="140" spans="2:23" customFormat="1" ht="15" x14ac:dyDescent="0.25">
      <c r="B140" s="42" t="s">
        <v>93</v>
      </c>
      <c r="C140" s="3"/>
      <c r="D140" s="3"/>
      <c r="E140" s="42"/>
      <c r="F140" s="42" t="s">
        <v>77</v>
      </c>
      <c r="G140" s="3"/>
      <c r="H140" s="3"/>
      <c r="I140" s="3"/>
      <c r="J140" s="65"/>
      <c r="K140" s="42"/>
      <c r="L140" s="56">
        <f t="shared" ref="L140:S140" si="12">SUM(L35,L70,L105)/3</f>
        <v>0</v>
      </c>
      <c r="M140" s="56">
        <f t="shared" si="12"/>
        <v>0</v>
      </c>
      <c r="N140" s="56">
        <f t="shared" si="12"/>
        <v>0</v>
      </c>
      <c r="O140" s="56">
        <f t="shared" si="12"/>
        <v>0</v>
      </c>
      <c r="P140" s="56">
        <f t="shared" si="12"/>
        <v>0</v>
      </c>
      <c r="Q140" s="56">
        <f t="shared" si="12"/>
        <v>0</v>
      </c>
      <c r="R140" s="56">
        <f t="shared" si="12"/>
        <v>0</v>
      </c>
      <c r="S140" s="56">
        <f t="shared" si="12"/>
        <v>0</v>
      </c>
    </row>
    <row r="141" spans="2:23" customFormat="1" ht="15" x14ac:dyDescent="0.25">
      <c r="C141" s="3"/>
      <c r="D141" s="3"/>
      <c r="E141" s="42"/>
      <c r="F141" s="42"/>
      <c r="G141" s="3"/>
      <c r="H141" s="3"/>
      <c r="I141" s="3"/>
      <c r="J141" s="65"/>
      <c r="K141" s="58"/>
      <c r="L141" s="59"/>
      <c r="M141" s="59"/>
      <c r="N141" s="59"/>
      <c r="O141" s="59"/>
      <c r="P141" s="59"/>
      <c r="Q141" s="59"/>
      <c r="R141" s="59"/>
      <c r="S141" s="59"/>
      <c r="T141" s="60"/>
      <c r="U141" s="60"/>
    </row>
    <row r="142" spans="2:23" customFormat="1" ht="15" x14ac:dyDescent="0.25">
      <c r="B142" s="42" t="s">
        <v>94</v>
      </c>
      <c r="C142" s="3"/>
      <c r="D142" s="3"/>
      <c r="E142" s="42"/>
      <c r="F142" s="42" t="s">
        <v>77</v>
      </c>
      <c r="G142" s="3"/>
      <c r="H142" s="3"/>
      <c r="I142" s="3"/>
      <c r="J142" s="65"/>
      <c r="K142" s="42"/>
      <c r="L142" s="56">
        <f t="shared" ref="L142:S142" si="13">SUM(L37,L72,L107)/3</f>
        <v>0</v>
      </c>
      <c r="M142" s="56">
        <f t="shared" si="13"/>
        <v>0</v>
      </c>
      <c r="N142" s="56">
        <f t="shared" si="13"/>
        <v>11.967943271851601</v>
      </c>
      <c r="O142" s="56">
        <f t="shared" si="13"/>
        <v>6.583333333333333</v>
      </c>
      <c r="P142" s="56">
        <f t="shared" si="13"/>
        <v>0</v>
      </c>
      <c r="Q142" s="56">
        <f t="shared" si="13"/>
        <v>3</v>
      </c>
      <c r="R142" s="56">
        <f t="shared" si="13"/>
        <v>0</v>
      </c>
      <c r="S142" s="56">
        <f t="shared" si="13"/>
        <v>0</v>
      </c>
    </row>
    <row r="143" spans="2:23" customFormat="1" ht="15" x14ac:dyDescent="0.25">
      <c r="B143" s="42"/>
      <c r="C143" s="3"/>
      <c r="D143" s="3"/>
      <c r="E143" s="42"/>
      <c r="F143" s="42"/>
      <c r="G143" s="3"/>
      <c r="H143" s="3"/>
      <c r="I143" s="3"/>
      <c r="J143" s="65"/>
      <c r="K143" s="58"/>
      <c r="L143" s="59"/>
      <c r="M143" s="59"/>
      <c r="N143" s="59"/>
      <c r="O143" s="59"/>
      <c r="P143" s="59"/>
      <c r="Q143" s="59"/>
      <c r="R143" s="59"/>
      <c r="S143" s="59"/>
      <c r="T143" s="60"/>
      <c r="U143" s="60"/>
    </row>
    <row r="144" spans="2:23" customFormat="1" ht="15" x14ac:dyDescent="0.25">
      <c r="B144" s="41" t="s">
        <v>95</v>
      </c>
      <c r="C144" s="3"/>
      <c r="D144" s="3"/>
      <c r="E144" s="42"/>
      <c r="F144" s="42"/>
      <c r="G144" s="3"/>
      <c r="H144" s="3"/>
      <c r="I144" s="3"/>
      <c r="J144" s="65"/>
      <c r="K144" s="58"/>
      <c r="L144" s="59"/>
      <c r="M144" s="59"/>
      <c r="N144" s="59"/>
      <c r="O144" s="59"/>
      <c r="P144" s="59"/>
      <c r="Q144" s="59"/>
      <c r="R144" s="59"/>
      <c r="S144" s="59"/>
      <c r="T144" s="60"/>
      <c r="U144" s="60"/>
    </row>
    <row r="145" spans="1:22" customFormat="1" ht="15" x14ac:dyDescent="0.25">
      <c r="B145" s="42"/>
      <c r="C145" s="3"/>
      <c r="D145" s="3"/>
      <c r="E145" s="42"/>
      <c r="F145" s="42"/>
      <c r="G145" s="3"/>
      <c r="H145" s="3"/>
      <c r="I145" s="3"/>
      <c r="J145" s="65"/>
      <c r="K145" s="58"/>
      <c r="L145" s="59"/>
      <c r="M145" s="59"/>
      <c r="N145" s="59"/>
      <c r="O145" s="59"/>
      <c r="P145" s="59"/>
      <c r="Q145" s="59"/>
      <c r="R145" s="59"/>
      <c r="S145" s="59"/>
      <c r="T145" s="60"/>
      <c r="U145" s="60"/>
    </row>
    <row r="146" spans="1:22" customFormat="1" ht="15" x14ac:dyDescent="0.25">
      <c r="B146" s="41" t="s">
        <v>91</v>
      </c>
      <c r="C146" s="3"/>
      <c r="D146" s="3"/>
      <c r="E146" s="42"/>
      <c r="F146" s="42"/>
      <c r="G146" s="3"/>
      <c r="H146" s="3"/>
      <c r="I146" s="3"/>
      <c r="J146" s="65"/>
      <c r="K146" s="58"/>
      <c r="L146" s="59"/>
      <c r="M146" s="59"/>
      <c r="N146" s="59"/>
      <c r="O146" s="59"/>
      <c r="P146" s="59"/>
      <c r="Q146" s="59"/>
      <c r="R146" s="59"/>
      <c r="S146" s="59"/>
      <c r="T146" s="60"/>
      <c r="U146" s="60"/>
    </row>
    <row r="147" spans="1:22" customFormat="1" ht="15" x14ac:dyDescent="0.25">
      <c r="B147" s="42" t="s">
        <v>92</v>
      </c>
      <c r="C147" s="3"/>
      <c r="D147" s="3"/>
      <c r="E147" s="42"/>
      <c r="F147" s="42" t="s">
        <v>77</v>
      </c>
      <c r="G147" s="3"/>
      <c r="H147" s="3"/>
      <c r="I147" s="3"/>
      <c r="J147" s="65"/>
      <c r="K147" s="42"/>
      <c r="L147" s="56">
        <f t="shared" ref="L147:S147" si="14">SUM(L42,L77,L112)/3</f>
        <v>0</v>
      </c>
      <c r="M147" s="56">
        <f t="shared" si="14"/>
        <v>0</v>
      </c>
      <c r="N147" s="56">
        <f t="shared" si="14"/>
        <v>0</v>
      </c>
      <c r="O147" s="56">
        <f t="shared" si="14"/>
        <v>0</v>
      </c>
      <c r="P147" s="56">
        <f t="shared" si="14"/>
        <v>714.33333333333337</v>
      </c>
      <c r="Q147" s="56">
        <f t="shared" si="14"/>
        <v>0</v>
      </c>
      <c r="R147" s="56">
        <f t="shared" si="14"/>
        <v>0</v>
      </c>
      <c r="S147" s="56">
        <f t="shared" si="14"/>
        <v>0</v>
      </c>
    </row>
    <row r="148" spans="1:22" customFormat="1" ht="15" x14ac:dyDescent="0.25">
      <c r="B148" s="42" t="s">
        <v>93</v>
      </c>
      <c r="C148" s="3"/>
      <c r="D148" s="3"/>
      <c r="E148" s="42"/>
      <c r="F148" s="42" t="s">
        <v>77</v>
      </c>
      <c r="G148" s="3"/>
      <c r="H148" s="3"/>
      <c r="I148" s="3"/>
      <c r="J148" s="65"/>
      <c r="K148" s="42"/>
      <c r="L148" s="56">
        <f t="shared" ref="L148:S148" si="15">SUM(L43,L78,L113)/3</f>
        <v>0</v>
      </c>
      <c r="M148" s="56">
        <f t="shared" si="15"/>
        <v>0</v>
      </c>
      <c r="N148" s="56">
        <f t="shared" si="15"/>
        <v>0</v>
      </c>
      <c r="O148" s="56">
        <f t="shared" si="15"/>
        <v>0</v>
      </c>
      <c r="P148" s="56">
        <f t="shared" si="15"/>
        <v>0</v>
      </c>
      <c r="Q148" s="56">
        <f t="shared" si="15"/>
        <v>0</v>
      </c>
      <c r="R148" s="56">
        <f t="shared" si="15"/>
        <v>0</v>
      </c>
      <c r="S148" s="56">
        <f t="shared" si="15"/>
        <v>0</v>
      </c>
    </row>
    <row r="149" spans="1:22" customFormat="1" ht="15" x14ac:dyDescent="0.25">
      <c r="B149" s="42"/>
      <c r="C149" s="3"/>
      <c r="D149" s="3"/>
      <c r="E149" s="42"/>
      <c r="F149" s="42"/>
      <c r="G149" s="3"/>
      <c r="H149" s="3"/>
      <c r="I149" s="3"/>
      <c r="J149" s="65"/>
      <c r="K149" s="58"/>
      <c r="L149" s="59"/>
      <c r="M149" s="59"/>
      <c r="N149" s="59"/>
      <c r="O149" s="59"/>
      <c r="P149" s="59"/>
      <c r="Q149" s="59"/>
      <c r="R149" s="59"/>
      <c r="S149" s="59"/>
      <c r="T149" s="60"/>
      <c r="U149" s="60"/>
    </row>
    <row r="150" spans="1:22" customFormat="1" ht="15" x14ac:dyDescent="0.25">
      <c r="B150" s="42" t="s">
        <v>96</v>
      </c>
      <c r="C150" s="3"/>
      <c r="D150" s="3"/>
      <c r="E150" s="42"/>
      <c r="F150" s="42" t="s">
        <v>77</v>
      </c>
      <c r="G150" s="3"/>
      <c r="H150" s="3"/>
      <c r="I150" s="3"/>
      <c r="J150" s="65"/>
      <c r="K150" s="42"/>
      <c r="L150" s="56">
        <f t="shared" ref="L150:S150" si="16">SUM(L45,L80,L115)/3</f>
        <v>0</v>
      </c>
      <c r="M150" s="56">
        <f t="shared" si="16"/>
        <v>0</v>
      </c>
      <c r="N150" s="56">
        <f t="shared" si="16"/>
        <v>10672.483623519271</v>
      </c>
      <c r="O150" s="56">
        <f t="shared" si="16"/>
        <v>2648.3333333333335</v>
      </c>
      <c r="P150" s="56">
        <f t="shared" si="16"/>
        <v>0</v>
      </c>
      <c r="Q150" s="56">
        <f t="shared" si="16"/>
        <v>523.99964898424821</v>
      </c>
      <c r="R150" s="56">
        <f t="shared" si="16"/>
        <v>0</v>
      </c>
      <c r="S150" s="56">
        <f t="shared" si="16"/>
        <v>0</v>
      </c>
    </row>
    <row r="151" spans="1:22" customFormat="1" ht="15" x14ac:dyDescent="0.25">
      <c r="C151" s="3"/>
      <c r="D151" s="3"/>
      <c r="J151" s="66"/>
    </row>
    <row r="152" spans="1:22" s="9" customFormat="1" x14ac:dyDescent="0.25">
      <c r="B152" s="9" t="s">
        <v>278</v>
      </c>
    </row>
    <row r="153" spans="1:22" customFormat="1" ht="15" x14ac:dyDescent="0.25">
      <c r="A153" s="42"/>
      <c r="B153" s="42"/>
      <c r="C153" s="42"/>
      <c r="D153" s="42"/>
      <c r="E153" s="42"/>
      <c r="F153" s="44"/>
      <c r="G153" s="42"/>
      <c r="H153" s="43"/>
      <c r="I153" s="43"/>
      <c r="J153" s="43"/>
      <c r="K153" s="43"/>
      <c r="L153" s="43"/>
      <c r="M153" s="43"/>
      <c r="N153" s="43"/>
    </row>
    <row r="154" spans="1:22" customFormat="1" ht="15" x14ac:dyDescent="0.25">
      <c r="B154" s="41" t="s">
        <v>98</v>
      </c>
      <c r="C154" s="42"/>
      <c r="D154" s="42"/>
      <c r="E154" s="42"/>
      <c r="F154" s="44"/>
      <c r="G154" s="42"/>
      <c r="H154" s="43"/>
      <c r="I154" s="43"/>
      <c r="J154" s="43"/>
      <c r="K154" s="43"/>
      <c r="L154" s="43"/>
      <c r="M154" s="43"/>
      <c r="N154" s="43"/>
    </row>
    <row r="155" spans="1:22" customFormat="1" ht="15" x14ac:dyDescent="0.25">
      <c r="B155" s="42"/>
      <c r="C155" s="42"/>
      <c r="D155" s="42"/>
      <c r="E155" s="42"/>
      <c r="F155" s="44"/>
      <c r="G155" s="42"/>
      <c r="H155" s="43"/>
      <c r="I155" s="43"/>
      <c r="J155" s="43"/>
      <c r="K155" s="43"/>
      <c r="L155" s="43"/>
      <c r="M155" s="43"/>
      <c r="N155" s="43"/>
      <c r="V155" s="3"/>
    </row>
    <row r="156" spans="1:22" customFormat="1" ht="15" x14ac:dyDescent="0.25">
      <c r="B156" s="41" t="s">
        <v>99</v>
      </c>
      <c r="C156" s="42"/>
      <c r="D156" s="42"/>
      <c r="E156" s="42"/>
      <c r="F156" s="44"/>
      <c r="G156" s="42"/>
      <c r="H156" s="43"/>
      <c r="I156" s="43"/>
      <c r="J156" s="43"/>
      <c r="K156" s="43"/>
      <c r="L156" s="43"/>
      <c r="M156" s="43"/>
      <c r="N156" s="43"/>
      <c r="V156" s="3"/>
    </row>
    <row r="157" spans="1:22" customFormat="1" ht="15" x14ac:dyDescent="0.25">
      <c r="B157" s="42" t="s">
        <v>100</v>
      </c>
      <c r="C157" s="42"/>
      <c r="D157" s="3"/>
      <c r="E157" s="42"/>
      <c r="F157" s="42" t="s">
        <v>185</v>
      </c>
      <c r="G157" s="42"/>
      <c r="H157" s="3"/>
      <c r="I157" s="3"/>
      <c r="J157" s="3"/>
      <c r="K157" s="3"/>
      <c r="L157" s="51"/>
      <c r="M157" s="51"/>
      <c r="N157" s="51"/>
      <c r="O157" s="51"/>
      <c r="P157" s="51"/>
      <c r="Q157" s="147">
        <v>18</v>
      </c>
      <c r="R157" s="51"/>
      <c r="S157" s="51"/>
      <c r="V157" s="3" t="s">
        <v>279</v>
      </c>
    </row>
    <row r="158" spans="1:22" customFormat="1" ht="15" x14ac:dyDescent="0.25">
      <c r="B158" s="42" t="s">
        <v>101</v>
      </c>
      <c r="C158" s="42"/>
      <c r="D158" s="3"/>
      <c r="E158" s="42"/>
      <c r="F158" s="42" t="s">
        <v>185</v>
      </c>
      <c r="G158" s="42"/>
      <c r="H158" s="3"/>
      <c r="I158" s="3"/>
      <c r="J158" s="3"/>
      <c r="K158" s="3"/>
      <c r="L158" s="51"/>
      <c r="M158" s="51"/>
      <c r="N158" s="51"/>
      <c r="O158" s="51"/>
      <c r="P158" s="51"/>
      <c r="Q158" s="147">
        <v>27.8</v>
      </c>
      <c r="R158" s="51"/>
      <c r="S158" s="51"/>
      <c r="V158" s="3" t="s">
        <v>279</v>
      </c>
    </row>
    <row r="159" spans="1:22" customFormat="1" ht="15" x14ac:dyDescent="0.25">
      <c r="B159" s="42"/>
      <c r="C159" s="42"/>
      <c r="D159" s="3"/>
      <c r="E159" s="42"/>
      <c r="F159" s="42"/>
      <c r="G159" s="42"/>
      <c r="H159" s="3"/>
      <c r="I159" s="3"/>
      <c r="J159" s="3"/>
      <c r="K159" s="3"/>
      <c r="L159" s="45"/>
      <c r="M159" s="45"/>
      <c r="N159" s="45"/>
      <c r="O159" s="45"/>
      <c r="P159" s="45"/>
      <c r="Q159" s="45"/>
      <c r="R159" s="45"/>
      <c r="S159" s="45"/>
      <c r="V159" s="3"/>
    </row>
    <row r="160" spans="1:22" customFormat="1" ht="15" x14ac:dyDescent="0.25">
      <c r="B160" s="41" t="s">
        <v>102</v>
      </c>
      <c r="C160" s="42"/>
      <c r="D160" s="3"/>
      <c r="E160" s="42"/>
      <c r="F160" s="42"/>
      <c r="G160" s="42"/>
      <c r="H160" s="3"/>
      <c r="I160" s="3"/>
      <c r="J160" s="3"/>
      <c r="K160" s="3"/>
      <c r="L160" s="45"/>
      <c r="M160" s="45"/>
      <c r="N160" s="45"/>
      <c r="O160" s="45"/>
      <c r="P160" s="45"/>
      <c r="Q160" s="45"/>
      <c r="R160" s="45"/>
      <c r="S160" s="45"/>
      <c r="V160" s="3"/>
    </row>
    <row r="161" spans="2:27" customFormat="1" ht="15" x14ac:dyDescent="0.25">
      <c r="B161" s="42" t="s">
        <v>100</v>
      </c>
      <c r="C161" s="42"/>
      <c r="D161" s="3"/>
      <c r="E161" s="42"/>
      <c r="F161" s="42" t="s">
        <v>185</v>
      </c>
      <c r="G161" s="42"/>
      <c r="H161" s="3"/>
      <c r="I161" s="3"/>
      <c r="J161" s="3"/>
      <c r="K161" s="3"/>
      <c r="L161" s="51"/>
      <c r="M161" s="51"/>
      <c r="N161" s="51"/>
      <c r="O161" s="147">
        <v>18</v>
      </c>
      <c r="P161" s="51"/>
      <c r="Q161" s="51"/>
      <c r="R161" s="51"/>
      <c r="S161" s="51"/>
      <c r="V161" s="3" t="s">
        <v>279</v>
      </c>
    </row>
    <row r="162" spans="2:27" customFormat="1" ht="15" x14ac:dyDescent="0.25">
      <c r="B162" s="42" t="s">
        <v>101</v>
      </c>
      <c r="C162" s="42"/>
      <c r="D162" s="3"/>
      <c r="E162" s="42"/>
      <c r="F162" s="42" t="s">
        <v>185</v>
      </c>
      <c r="G162" s="42"/>
      <c r="H162" s="3"/>
      <c r="I162" s="3"/>
      <c r="J162" s="3"/>
      <c r="K162" s="3"/>
      <c r="L162" s="51"/>
      <c r="M162" s="51"/>
      <c r="N162" s="51"/>
      <c r="O162" s="147">
        <v>29.46</v>
      </c>
      <c r="P162" s="51"/>
      <c r="Q162" s="51"/>
      <c r="R162" s="51"/>
      <c r="S162" s="51"/>
      <c r="V162" s="3" t="s">
        <v>279</v>
      </c>
    </row>
    <row r="163" spans="2:27" customFormat="1" ht="15" x14ac:dyDescent="0.25">
      <c r="B163" s="42"/>
      <c r="C163" s="42"/>
      <c r="D163" s="3"/>
      <c r="E163" s="42"/>
      <c r="F163" s="42"/>
      <c r="G163" s="42"/>
      <c r="H163" s="3"/>
      <c r="I163" s="3"/>
      <c r="J163" s="3"/>
      <c r="K163" s="3"/>
      <c r="L163" s="45"/>
      <c r="M163" s="45"/>
      <c r="N163" s="45"/>
      <c r="O163" s="45"/>
      <c r="P163" s="45"/>
      <c r="Q163" s="45"/>
      <c r="R163" s="45"/>
      <c r="S163" s="45"/>
      <c r="V163" s="3"/>
    </row>
    <row r="164" spans="2:27" customFormat="1" ht="15" x14ac:dyDescent="0.25">
      <c r="B164" s="41" t="s">
        <v>103</v>
      </c>
      <c r="C164" s="42"/>
      <c r="D164" s="3"/>
      <c r="E164" s="42"/>
      <c r="F164" s="42"/>
      <c r="G164" s="44"/>
      <c r="H164" s="3"/>
      <c r="I164" s="3"/>
      <c r="J164" s="3"/>
      <c r="K164" s="3"/>
      <c r="L164" s="52"/>
      <c r="M164" s="52"/>
      <c r="N164" s="52"/>
      <c r="O164" s="52"/>
      <c r="P164" s="52"/>
      <c r="Q164" s="52"/>
      <c r="R164" s="45"/>
      <c r="S164" s="45"/>
      <c r="V164" s="3"/>
    </row>
    <row r="165" spans="2:27" customFormat="1" ht="15" x14ac:dyDescent="0.25">
      <c r="B165" s="42" t="s">
        <v>100</v>
      </c>
      <c r="C165" s="42"/>
      <c r="D165" s="3"/>
      <c r="E165" s="42"/>
      <c r="F165" s="42" t="s">
        <v>185</v>
      </c>
      <c r="G165" s="42"/>
      <c r="H165" s="3"/>
      <c r="I165" s="3"/>
      <c r="J165" s="3"/>
      <c r="K165" s="3"/>
      <c r="L165" s="147">
        <v>500</v>
      </c>
      <c r="M165" s="51"/>
      <c r="N165" s="147">
        <v>972.26</v>
      </c>
      <c r="O165" s="147">
        <v>846</v>
      </c>
      <c r="P165" s="147">
        <v>581</v>
      </c>
      <c r="Q165" s="147">
        <v>777.02</v>
      </c>
      <c r="R165" s="51"/>
      <c r="S165" s="51"/>
      <c r="V165" s="3" t="s">
        <v>279</v>
      </c>
    </row>
    <row r="166" spans="2:27" customFormat="1" ht="15" x14ac:dyDescent="0.25">
      <c r="B166" s="42" t="s">
        <v>92</v>
      </c>
      <c r="C166" s="42"/>
      <c r="D166" s="3"/>
      <c r="E166" s="42"/>
      <c r="F166" s="42" t="s">
        <v>185</v>
      </c>
      <c r="G166" s="42"/>
      <c r="H166" s="3"/>
      <c r="I166" s="3"/>
      <c r="J166" s="3"/>
      <c r="K166" s="3"/>
      <c r="L166" s="51"/>
      <c r="M166" s="51"/>
      <c r="N166" s="51"/>
      <c r="O166" s="51"/>
      <c r="P166" s="147">
        <v>21.35</v>
      </c>
      <c r="Q166" s="51"/>
      <c r="R166" s="51"/>
      <c r="S166" s="51"/>
      <c r="V166" s="3" t="s">
        <v>279</v>
      </c>
    </row>
    <row r="167" spans="2:27" customFormat="1" ht="15" x14ac:dyDescent="0.25">
      <c r="B167" s="42" t="s">
        <v>93</v>
      </c>
      <c r="C167" s="42"/>
      <c r="D167" s="3"/>
      <c r="E167" s="42"/>
      <c r="F167" s="42" t="s">
        <v>185</v>
      </c>
      <c r="G167" s="42"/>
      <c r="H167" s="3"/>
      <c r="I167" s="3"/>
      <c r="J167" s="3"/>
      <c r="K167" s="3"/>
      <c r="L167" s="51"/>
      <c r="M167" s="51"/>
      <c r="N167" s="51"/>
      <c r="O167" s="51"/>
      <c r="P167" s="51"/>
      <c r="Q167" s="51"/>
      <c r="R167" s="51"/>
      <c r="S167" s="51"/>
      <c r="V167" s="3" t="s">
        <v>279</v>
      </c>
    </row>
    <row r="168" spans="2:27" customFormat="1" ht="15" x14ac:dyDescent="0.25">
      <c r="B168" s="42" t="s">
        <v>104</v>
      </c>
      <c r="C168" s="42"/>
      <c r="D168" s="3"/>
      <c r="E168" s="42"/>
      <c r="F168" s="42" t="s">
        <v>185</v>
      </c>
      <c r="G168" s="42"/>
      <c r="H168" s="3"/>
      <c r="I168" s="3"/>
      <c r="J168" s="3"/>
      <c r="K168" s="3"/>
      <c r="L168" s="51"/>
      <c r="M168" s="51"/>
      <c r="N168" s="147">
        <v>22.355599999999999</v>
      </c>
      <c r="O168" s="147">
        <v>20.28</v>
      </c>
      <c r="P168" s="51"/>
      <c r="Q168" s="147">
        <v>24.35</v>
      </c>
      <c r="R168" s="51"/>
      <c r="S168" s="51"/>
      <c r="V168" s="3" t="s">
        <v>279</v>
      </c>
    </row>
    <row r="169" spans="2:27" customFormat="1" ht="15" x14ac:dyDescent="0.25">
      <c r="D169" s="3"/>
      <c r="H169" s="3"/>
      <c r="I169" s="3"/>
      <c r="J169" s="3"/>
      <c r="K169" s="3"/>
      <c r="L169" s="53"/>
      <c r="M169" s="53"/>
      <c r="N169" s="53"/>
      <c r="O169" s="53"/>
      <c r="P169" s="53"/>
      <c r="Q169" s="53"/>
      <c r="R169" s="53"/>
      <c r="S169" s="53"/>
      <c r="V169" s="3"/>
    </row>
    <row r="170" spans="2:27" customFormat="1" ht="15" x14ac:dyDescent="0.25">
      <c r="B170" s="41" t="s">
        <v>105</v>
      </c>
      <c r="D170" s="3"/>
      <c r="H170" s="3"/>
      <c r="I170" s="3"/>
      <c r="J170" s="3"/>
      <c r="K170" s="3"/>
      <c r="L170" s="53"/>
      <c r="M170" s="53"/>
      <c r="N170" s="53"/>
      <c r="O170" s="53"/>
      <c r="P170" s="53"/>
      <c r="Q170" s="53"/>
      <c r="R170" s="53"/>
      <c r="S170" s="53"/>
    </row>
    <row r="171" spans="2:27" customFormat="1" ht="15" x14ac:dyDescent="0.25">
      <c r="B171" s="3"/>
      <c r="D171" s="3"/>
      <c r="H171" s="3"/>
      <c r="I171" s="3"/>
      <c r="J171" s="3"/>
      <c r="K171" s="3"/>
      <c r="L171" s="53"/>
      <c r="M171" s="53"/>
      <c r="N171" s="53"/>
      <c r="O171" s="53"/>
      <c r="P171" s="53"/>
      <c r="Q171" s="53"/>
      <c r="R171" s="53"/>
      <c r="S171" s="53"/>
    </row>
    <row r="172" spans="2:27" customFormat="1" ht="15" x14ac:dyDescent="0.25">
      <c r="B172" s="3" t="s">
        <v>83</v>
      </c>
      <c r="D172" s="3"/>
      <c r="F172" s="42" t="s">
        <v>215</v>
      </c>
      <c r="H172" s="3"/>
      <c r="I172" s="3"/>
      <c r="J172" s="3"/>
      <c r="K172" s="3"/>
      <c r="L172" s="55"/>
      <c r="M172" s="55"/>
      <c r="N172" s="55"/>
      <c r="O172" s="55"/>
      <c r="P172" s="55"/>
      <c r="Q172" s="147">
        <v>25</v>
      </c>
      <c r="R172" s="55"/>
      <c r="S172" s="55"/>
      <c r="V172" s="3" t="s">
        <v>213</v>
      </c>
      <c r="AA172" s="40"/>
    </row>
    <row r="173" spans="2:27" customFormat="1" ht="15" x14ac:dyDescent="0.25">
      <c r="B173" s="3" t="s">
        <v>86</v>
      </c>
      <c r="D173" s="3"/>
      <c r="F173" s="42" t="s">
        <v>215</v>
      </c>
      <c r="H173" s="3"/>
      <c r="I173" s="3"/>
      <c r="J173" s="3"/>
      <c r="K173" s="3"/>
      <c r="L173" s="55"/>
      <c r="M173" s="55"/>
      <c r="N173" s="55"/>
      <c r="O173" s="147">
        <v>65</v>
      </c>
      <c r="P173" s="55"/>
      <c r="Q173" s="55"/>
      <c r="R173" s="55"/>
      <c r="S173" s="55"/>
      <c r="V173" s="3" t="s">
        <v>214</v>
      </c>
      <c r="AA173" s="40"/>
    </row>
    <row r="174" spans="2:27" customFormat="1" ht="15" x14ac:dyDescent="0.25"/>
    <row r="175" spans="2:27" customFormat="1" 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42BCD4D3B3464A9D2A7788490F1CE1" ma:contentTypeVersion="0" ma:contentTypeDescription="Een nieuw document maken." ma:contentTypeScope="" ma:versionID="167cf73272f810ef01c088e1633461d1">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B3A86E-602F-4E80-A341-BED6C4CC9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DAB9D1-B815-4B0E-93E7-4496A7FE99F6}">
  <ds:schemaRefs>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21</vt:i4>
      </vt:variant>
    </vt:vector>
  </HeadingPairs>
  <TitlesOfParts>
    <vt:vector size="21" baseType="lpstr">
      <vt:lpstr>Titelblad</vt:lpstr>
      <vt:lpstr>Toelichting</vt:lpstr>
      <vt:lpstr>Bronnen en toepassingen</vt:lpstr>
      <vt:lpstr>TI-berekening 2020</vt:lpstr>
      <vt:lpstr>Input --&gt;</vt:lpstr>
      <vt:lpstr>Input x-factor, begininkomsten</vt:lpstr>
      <vt:lpstr>Input parameters</vt:lpstr>
      <vt:lpstr>Input lokale heffingen 2018</vt:lpstr>
      <vt:lpstr>Input invoeding groen gas 2019</vt:lpstr>
      <vt:lpstr>Input faillissement Flexenergie</vt:lpstr>
      <vt:lpstr>Input nieuwe taken</vt:lpstr>
      <vt:lpstr>Input gewijzigde x-factoren</vt:lpstr>
      <vt:lpstr>Input richtbedragen</vt:lpstr>
      <vt:lpstr>Berekeningen --&gt;</vt:lpstr>
      <vt:lpstr>Parameters</vt:lpstr>
      <vt:lpstr>Lokale heffingen 2018</vt:lpstr>
      <vt:lpstr>Invoeding groen gas 2019</vt:lpstr>
      <vt:lpstr>Faillissement Flexenergie 2018</vt:lpstr>
      <vt:lpstr>Overdracht Weert</vt:lpstr>
      <vt:lpstr>Gewijzigde x-factoren</vt:lpstr>
      <vt:lpstr>Richtbedragen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2019-11-25T13:04:56Z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0x010100DC42BCD4D3B3464A9D2A7788490F1CE1</vt:lpwstr>
  </property>
</Properties>
</file>