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355" yWindow="-60" windowWidth="14265" windowHeight="14520" tabRatio="874"/>
  </bookViews>
  <sheets>
    <sheet name="Titelblad" sheetId="9" r:id="rId1"/>
    <sheet name="Toelichting" sheetId="10" r:id="rId2"/>
    <sheet name="Bronnen en toepassingen" sheetId="11" r:id="rId3"/>
    <sheet name="TI-berekening 2020" sheetId="21" r:id="rId4"/>
    <sheet name="Input --&gt;" sheetId="13" r:id="rId5"/>
    <sheet name="Input x-factor, begininkomsten" sheetId="25" r:id="rId6"/>
    <sheet name="Input parameters" sheetId="28" r:id="rId7"/>
    <sheet name="Input lokale heffingen 2018" sheetId="47" r:id="rId8"/>
    <sheet name="Input SO transportdienst 2018" sheetId="24" r:id="rId9"/>
    <sheet name="Input inkoopkn Transport 2018" sheetId="26" r:id="rId10"/>
    <sheet name="Input faillissement Flexenergie" sheetId="54" r:id="rId11"/>
    <sheet name="Berekeningen --&gt;" sheetId="15" r:id="rId12"/>
    <sheet name="Parameters" sheetId="46" r:id="rId13"/>
    <sheet name="Lokale heffingen 2018" sheetId="22" r:id="rId14"/>
    <sheet name="Inkoopkosten Transport 2018" sheetId="31" r:id="rId15"/>
    <sheet name="Overdracht Weert" sheetId="53" r:id="rId16"/>
    <sheet name="Faillissement Flexenergie" sheetId="55"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7">#REF!</definedName>
    <definedName name="__CPI2001">#REF!</definedName>
    <definedName name="__CPI2002" localSheetId="7">#REF!</definedName>
    <definedName name="__CPI2002">#REF!</definedName>
    <definedName name="__CPI2003" localSheetId="7">#REF!</definedName>
    <definedName name="__CPI2003">#REF!</definedName>
    <definedName name="__CPI2004" localSheetId="7">#REF!</definedName>
    <definedName name="__CPI2004">#REF!</definedName>
    <definedName name="__CPI2005" localSheetId="7">#REF!</definedName>
    <definedName name="__CPI2005">#REF!</definedName>
    <definedName name="__CPI2006" localSheetId="7">#REF!</definedName>
    <definedName name="__CPI2006">#REF!</definedName>
    <definedName name="__CPI2007" localSheetId="7">#REF!</definedName>
    <definedName name="__CPI2007">#REF!</definedName>
    <definedName name="__CPI2008" localSheetId="7">#REF!</definedName>
    <definedName name="__CPI2008">#REF!</definedName>
    <definedName name="__CPI2009" localSheetId="7">#REF!</definedName>
    <definedName name="__CPI2009">#REF!</definedName>
    <definedName name="__CPI2010" localSheetId="7">#REF!</definedName>
    <definedName name="__CPI2010">#REF!</definedName>
    <definedName name="__CPI2011" localSheetId="7">#REF!</definedName>
    <definedName name="__CPI2011">#REF!</definedName>
    <definedName name="__CPI2012" localSheetId="7">#REF!</definedName>
    <definedName name="__CPI2012">#REF!</definedName>
    <definedName name="__CPI2013" localSheetId="7">#REF!</definedName>
    <definedName name="__CPI2013">#REF!</definedName>
    <definedName name="__CPI2014" localSheetId="7">#REF!</definedName>
    <definedName name="__CPI2014">#REF!</definedName>
    <definedName name="_3B.A.141">'[2]Tabel 3B - Specificaties inkoop'!$R$33</definedName>
    <definedName name="_3B.A.162">'[2]Tabel 3B - Specificaties inkoop'!$R$57</definedName>
    <definedName name="_CPI2001" localSheetId="7">#REF!</definedName>
    <definedName name="_CPI2001">#REF!</definedName>
    <definedName name="_CPI2002" localSheetId="7">#REF!</definedName>
    <definedName name="_CPI2002">#REF!</definedName>
    <definedName name="_CPI2003" localSheetId="7">#REF!</definedName>
    <definedName name="_CPI2003">#REF!</definedName>
    <definedName name="_CPI2004" localSheetId="7">#REF!</definedName>
    <definedName name="_CPI2004">#REF!</definedName>
    <definedName name="_CPI2005" localSheetId="7">#REF!</definedName>
    <definedName name="_CPI2005">#REF!</definedName>
    <definedName name="_CPI2006" localSheetId="7">#REF!</definedName>
    <definedName name="_CPI2006">#REF!</definedName>
    <definedName name="_CPI2007" localSheetId="7">#REF!</definedName>
    <definedName name="_CPI2007">#REF!</definedName>
    <definedName name="_CPI2008" localSheetId="7">#REF!</definedName>
    <definedName name="_CPI2008">#REF!</definedName>
    <definedName name="_CPI2009" localSheetId="7">#REF!</definedName>
    <definedName name="_CPI2009">#REF!</definedName>
    <definedName name="_CPI2010" localSheetId="7">#REF!</definedName>
    <definedName name="_CPI2010">#REF!</definedName>
    <definedName name="_CPI2011" localSheetId="7">#REF!</definedName>
    <definedName name="_CPI2011">#REF!</definedName>
    <definedName name="_CPI2012" localSheetId="7">#REF!</definedName>
    <definedName name="_CPI2012">#REF!</definedName>
    <definedName name="_CPI2013" localSheetId="7">#REF!</definedName>
    <definedName name="_CPI2013">#REF!</definedName>
    <definedName name="_CPI2014" localSheetId="7">#REF!</definedName>
    <definedName name="_CPI2014">#REF!</definedName>
    <definedName name="AS2DocOpenMode" hidden="1">"AS2DocumentEdit"</definedName>
    <definedName name="BijzWrdVerm">'[3]Tabel 2A - Bijz mutaties activa'!$F$46,'[3]Tabel 2A - Bijz mutaties activa'!$J$46,'[3]Tabel 2A - Bijz mutaties activa'!$N$46,'[3]Tabel 2A - Bijz mutaties activa'!$R$46,'[3]Tabel 2A - Bijz mutaties activa'!$V$46,'[3]Tabel 2A - Bijz mutaties activa'!$Z$46,'[3]Tabel 2A - Bijz mutaties activa'!$AD$46,'[3]Tabel 2A - Bijz mutaties activa'!$AH$46,'[3]Tabel 2A - Bijz mutaties activa'!$AL$46</definedName>
    <definedName name="BijzWrdVermTAHdLd">'[4]Tabel 2A - Bijz mutaties activa'!$H$39,'[4]Tabel 2A - Bijz mutaties activa'!$L$39,'[4]Tabel 2A - Bijz mutaties activa'!$P$39,'[4]Tabel 2A - Bijz mutaties activa'!$T$39,'[4]Tabel 2A - Bijz mutaties activa'!$X$39,'[4]Tabel 2A - Bijz mutaties activa'!$AB$39</definedName>
    <definedName name="CPIv2000n2001" localSheetId="7">#REF!</definedName>
    <definedName name="CPIv2000n2001">#REF!</definedName>
    <definedName name="CPIv2000n2002" localSheetId="7">#REF!</definedName>
    <definedName name="CPIv2000n2002">#REF!</definedName>
    <definedName name="CPIv2000n2003" localSheetId="7">#REF!</definedName>
    <definedName name="CPIv2000n2003">#REF!</definedName>
    <definedName name="CPIv2000n2004" localSheetId="7">#REF!</definedName>
    <definedName name="CPIv2000n2004">#REF!</definedName>
    <definedName name="CPIv2000n2005" localSheetId="7">#REF!</definedName>
    <definedName name="CPIv2000n2005">#REF!</definedName>
    <definedName name="CPIv2000n2006" localSheetId="7">#REF!</definedName>
    <definedName name="CPIv2000n2006">#REF!</definedName>
    <definedName name="CPIv2000n2007" localSheetId="7">#REF!</definedName>
    <definedName name="CPIv2000n2007">#REF!</definedName>
    <definedName name="CPIv2000n2008" localSheetId="7">#REF!</definedName>
    <definedName name="CPIv2000n2008">#REF!</definedName>
    <definedName name="CPIv2000n2009" localSheetId="7">#REF!</definedName>
    <definedName name="CPIv2000n2009">#REF!</definedName>
    <definedName name="CPIv2000n2010" localSheetId="7">#REF!</definedName>
    <definedName name="CPIv2000n2010">#REF!</definedName>
    <definedName name="CPIv2000n2011" localSheetId="7">#REF!</definedName>
    <definedName name="CPIv2000n2011">#REF!</definedName>
    <definedName name="CPIv2000n2012" localSheetId="7">#REF!</definedName>
    <definedName name="CPIv2000n2012">#REF!</definedName>
    <definedName name="CPIv2000n2013" localSheetId="7">#REF!</definedName>
    <definedName name="CPIv2000n2013">#REF!</definedName>
    <definedName name="CPIv2000n2014" localSheetId="7">#REF!</definedName>
    <definedName name="CPIv2000n2014">#REF!</definedName>
    <definedName name="CPIv2001n2002" localSheetId="7">#REF!</definedName>
    <definedName name="CPIv2001n2002">#REF!</definedName>
    <definedName name="CPIv2001n2003" localSheetId="7">#REF!</definedName>
    <definedName name="CPIv2001n2003">#REF!</definedName>
    <definedName name="CPIv2001n2004" localSheetId="7">#REF!</definedName>
    <definedName name="CPIv2001n2004">#REF!</definedName>
    <definedName name="CPIv2001n2005" localSheetId="7">#REF!</definedName>
    <definedName name="CPIv2001n2005">#REF!</definedName>
    <definedName name="CPIv2001n2006" localSheetId="7">#REF!</definedName>
    <definedName name="CPIv2001n2006">#REF!</definedName>
    <definedName name="CPIv2001n2007" localSheetId="7">#REF!</definedName>
    <definedName name="CPIv2001n2007">#REF!</definedName>
    <definedName name="CPIv2001n2008" localSheetId="7">#REF!</definedName>
    <definedName name="CPIv2001n2008">#REF!</definedName>
    <definedName name="CPIv2001n2009" localSheetId="7">#REF!</definedName>
    <definedName name="CPIv2001n2009">#REF!</definedName>
    <definedName name="CPIv2001n2010" localSheetId="7">#REF!</definedName>
    <definedName name="CPIv2001n2010">#REF!</definedName>
    <definedName name="CPIv2001n2011" localSheetId="7">#REF!</definedName>
    <definedName name="CPIv2001n2011">#REF!</definedName>
    <definedName name="CPIv2001n2012" localSheetId="7">#REF!</definedName>
    <definedName name="CPIv2001n2012">#REF!</definedName>
    <definedName name="CPIv2001n2013" localSheetId="7">#REF!</definedName>
    <definedName name="CPIv2001n2013">#REF!</definedName>
    <definedName name="CPIv2001n2014" localSheetId="7">#REF!</definedName>
    <definedName name="CPIv2001n2014">#REF!</definedName>
    <definedName name="CPIv2002n2003" localSheetId="7">#REF!</definedName>
    <definedName name="CPIv2002n2003">#REF!</definedName>
    <definedName name="CPIv2002n2004" localSheetId="7">#REF!</definedName>
    <definedName name="CPIv2002n2004">#REF!</definedName>
    <definedName name="CPIv2002n2005" localSheetId="7">#REF!</definedName>
    <definedName name="CPIv2002n2005">#REF!</definedName>
    <definedName name="CPIv2002n2006" localSheetId="7">#REF!</definedName>
    <definedName name="CPIv2002n2006">#REF!</definedName>
    <definedName name="CPIv2002n2007" localSheetId="7">#REF!</definedName>
    <definedName name="CPIv2002n2007">#REF!</definedName>
    <definedName name="CPIv2002n2008" localSheetId="7">#REF!</definedName>
    <definedName name="CPIv2002n2008">#REF!</definedName>
    <definedName name="CPIv2002n2009" localSheetId="7">#REF!</definedName>
    <definedName name="CPIv2002n2009">#REF!</definedName>
    <definedName name="CPIv2002n2010" localSheetId="7">#REF!</definedName>
    <definedName name="CPIv2002n2010">#REF!</definedName>
    <definedName name="CPIv2002n2011" localSheetId="7">#REF!</definedName>
    <definedName name="CPIv2002n2011">#REF!</definedName>
    <definedName name="CPIv2002n2012" localSheetId="7">#REF!</definedName>
    <definedName name="CPIv2002n2012">#REF!</definedName>
    <definedName name="CPIv2002n2013" localSheetId="7">#REF!</definedName>
    <definedName name="CPIv2002n2013">#REF!</definedName>
    <definedName name="CPIv2002n2014" localSheetId="7">#REF!</definedName>
    <definedName name="CPIv2002n2014">#REF!</definedName>
    <definedName name="CPIv2003n2004" localSheetId="7">#REF!</definedName>
    <definedName name="CPIv2003n2004">#REF!</definedName>
    <definedName name="CPIv2003n2005" localSheetId="7">#REF!</definedName>
    <definedName name="CPIv2003n2005">#REF!</definedName>
    <definedName name="CPIv2003n2006" localSheetId="7">#REF!</definedName>
    <definedName name="CPIv2003n2006">#REF!</definedName>
    <definedName name="CPIv2003n2007" localSheetId="7">#REF!</definedName>
    <definedName name="CPIv2003n2007">#REF!</definedName>
    <definedName name="CPIv2003n2008" localSheetId="7">#REF!</definedName>
    <definedName name="CPIv2003n2008">#REF!</definedName>
    <definedName name="CPIv2003n2009" localSheetId="7">#REF!</definedName>
    <definedName name="CPIv2003n2009">#REF!</definedName>
    <definedName name="CPIv2003n2010" localSheetId="7">#REF!</definedName>
    <definedName name="CPIv2003n2010">#REF!</definedName>
    <definedName name="CPIv2003n2011" localSheetId="7">#REF!</definedName>
    <definedName name="CPIv2003n2011">#REF!</definedName>
    <definedName name="CPIv2003n2012" localSheetId="7">#REF!</definedName>
    <definedName name="CPIv2003n2012">#REF!</definedName>
    <definedName name="CPIv2003n2013" localSheetId="7">#REF!</definedName>
    <definedName name="CPIv2003n2013">#REF!</definedName>
    <definedName name="CPIv2003n2014" localSheetId="7">#REF!</definedName>
    <definedName name="CPIv2003n2014">#REF!</definedName>
    <definedName name="CPIv2004n2005" localSheetId="7">#REF!</definedName>
    <definedName name="CPIv2004n2005">#REF!</definedName>
    <definedName name="CPIv2004n2006" localSheetId="7">#REF!</definedName>
    <definedName name="CPIv2004n2006">#REF!</definedName>
    <definedName name="CPIv2004n2007" localSheetId="7">#REF!</definedName>
    <definedName name="CPIv2004n2007">#REF!</definedName>
    <definedName name="CPIv2004n2008" localSheetId="7">#REF!</definedName>
    <definedName name="CPIv2004n2008">#REF!</definedName>
    <definedName name="CPIv2004n2009" localSheetId="7">#REF!</definedName>
    <definedName name="CPIv2004n2009">#REF!</definedName>
    <definedName name="CPIv2004n2010" localSheetId="7">#REF!</definedName>
    <definedName name="CPIv2004n2010">#REF!</definedName>
    <definedName name="CPIv2004n2011" localSheetId="7">#REF!</definedName>
    <definedName name="CPIv2004n2011">#REF!</definedName>
    <definedName name="CPIv2004n2012" localSheetId="7">#REF!</definedName>
    <definedName name="CPIv2004n2012">#REF!</definedName>
    <definedName name="CPIv2004n2013" localSheetId="7">#REF!</definedName>
    <definedName name="CPIv2004n2013">#REF!</definedName>
    <definedName name="CPIv2004n2014" localSheetId="7">#REF!</definedName>
    <definedName name="CPIv2004n2014">#REF!</definedName>
    <definedName name="CPIv2005n2006" localSheetId="7">#REF!</definedName>
    <definedName name="CPIv2005n2006">#REF!</definedName>
    <definedName name="CPIv2005n2007" localSheetId="7">#REF!</definedName>
    <definedName name="CPIv2005n2007">#REF!</definedName>
    <definedName name="CPIv2005n2008" localSheetId="7">#REF!</definedName>
    <definedName name="CPIv2005n2008">#REF!</definedName>
    <definedName name="CPIv2005n2009" localSheetId="7">#REF!</definedName>
    <definedName name="CPIv2005n2009">#REF!</definedName>
    <definedName name="CPIv2005n2010" localSheetId="7">#REF!</definedName>
    <definedName name="CPIv2005n2010">#REF!</definedName>
    <definedName name="CPIv2005n2011" localSheetId="7">#REF!</definedName>
    <definedName name="CPIv2005n2011">#REF!</definedName>
    <definedName name="CPIv2005n2012" localSheetId="7">#REF!</definedName>
    <definedName name="CPIv2005n2012">#REF!</definedName>
    <definedName name="CPIv2005n2013" localSheetId="7">#REF!</definedName>
    <definedName name="CPIv2005n2013">#REF!</definedName>
    <definedName name="CPIv2005n2014" localSheetId="7">#REF!</definedName>
    <definedName name="CPIv2005n2014">#REF!</definedName>
    <definedName name="CPIv2006n2007" localSheetId="7">#REF!</definedName>
    <definedName name="CPIv2006n2007">#REF!</definedName>
    <definedName name="CPIv2006n2008" localSheetId="7">#REF!</definedName>
    <definedName name="CPIv2006n2008">#REF!</definedName>
    <definedName name="CPIv2006n2009" localSheetId="7">#REF!</definedName>
    <definedName name="CPIv2006n2009">#REF!</definedName>
    <definedName name="CPIv2006n2010" localSheetId="7">#REF!</definedName>
    <definedName name="CPIv2006n2010">#REF!</definedName>
    <definedName name="CPIv2006n2011" localSheetId="7">#REF!</definedName>
    <definedName name="CPIv2006n2011">#REF!</definedName>
    <definedName name="CPIv2006n2012" localSheetId="7">#REF!</definedName>
    <definedName name="CPIv2006n2012">#REF!</definedName>
    <definedName name="CPIv2006n2013" localSheetId="7">#REF!</definedName>
    <definedName name="CPIv2006n2013">#REF!</definedName>
    <definedName name="CPIv2006n2014" localSheetId="7">#REF!</definedName>
    <definedName name="CPIv2006n2014">#REF!</definedName>
    <definedName name="CPIv2007n2008" localSheetId="7">#REF!</definedName>
    <definedName name="CPIv2007n2008">#REF!</definedName>
    <definedName name="CPIv2007n2009" localSheetId="7">#REF!</definedName>
    <definedName name="CPIv2007n2009">#REF!</definedName>
    <definedName name="CPIv2007n2010" localSheetId="7">#REF!</definedName>
    <definedName name="CPIv2007n2010">#REF!</definedName>
    <definedName name="CPIv2007n2011" localSheetId="7">#REF!</definedName>
    <definedName name="CPIv2007n2011">#REF!</definedName>
    <definedName name="CPIv2007n2012" localSheetId="7">#REF!</definedName>
    <definedName name="CPIv2007n2012">#REF!</definedName>
    <definedName name="CPIv2007n2013" localSheetId="7">#REF!</definedName>
    <definedName name="CPIv2007n2013">#REF!</definedName>
    <definedName name="CPIv2007n2014" localSheetId="7">#REF!</definedName>
    <definedName name="CPIv2007n2014">#REF!</definedName>
    <definedName name="CPIv2008n2009" localSheetId="7">#REF!</definedName>
    <definedName name="CPIv2008n2009">#REF!</definedName>
    <definedName name="CPIv2008n2010" localSheetId="7">#REF!</definedName>
    <definedName name="CPIv2008n2010">#REF!</definedName>
    <definedName name="CPIv2008n2011" localSheetId="7">#REF!</definedName>
    <definedName name="CPIv2008n2011">#REF!</definedName>
    <definedName name="CPIv2008n2012" localSheetId="7">#REF!</definedName>
    <definedName name="CPIv2008n2012">#REF!</definedName>
    <definedName name="CPIv2008n2013" localSheetId="7">#REF!</definedName>
    <definedName name="CPIv2008n2013">#REF!</definedName>
    <definedName name="CPIv2008n2014" localSheetId="7">#REF!</definedName>
    <definedName name="CPIv2008n2014">#REF!</definedName>
    <definedName name="CPIv2009n2010" localSheetId="7">#REF!</definedName>
    <definedName name="CPIv2009n2010">#REF!</definedName>
    <definedName name="CPIv2009n2011" localSheetId="7">#REF!</definedName>
    <definedName name="CPIv2009n2011">#REF!</definedName>
    <definedName name="CPIv2009n2012" localSheetId="7">#REF!</definedName>
    <definedName name="CPIv2009n2012">#REF!</definedName>
    <definedName name="CPIv2009n2013" localSheetId="7">#REF!</definedName>
    <definedName name="CPIv2009n2013">#REF!</definedName>
    <definedName name="CPIv2009n2014" localSheetId="7">#REF!</definedName>
    <definedName name="CPIv2009n2014">#REF!</definedName>
    <definedName name="CPIv2010n2011" localSheetId="7">#REF!</definedName>
    <definedName name="CPIv2010n2011">#REF!</definedName>
    <definedName name="CPIv2010n2012" localSheetId="7">#REF!</definedName>
    <definedName name="CPIv2010n2012">#REF!</definedName>
    <definedName name="CPIv2010n2013" localSheetId="7">#REF!</definedName>
    <definedName name="CPIv2010n2013">#REF!</definedName>
    <definedName name="CPIv2010n2014" localSheetId="7">#REF!</definedName>
    <definedName name="CPIv2010n2014">#REF!</definedName>
    <definedName name="CPIv2011n2012" localSheetId="7">#REF!</definedName>
    <definedName name="CPIv2011n2012">#REF!</definedName>
    <definedName name="CPIv2011n2013" localSheetId="7">#REF!</definedName>
    <definedName name="CPIv2011n2013">#REF!</definedName>
    <definedName name="CPIv2011n2014" localSheetId="7">#REF!</definedName>
    <definedName name="CPIv2011n2014">#REF!</definedName>
    <definedName name="CPIv2012n2013" localSheetId="7">#REF!</definedName>
    <definedName name="CPIv2012n2013">#REF!</definedName>
    <definedName name="CPIv2012n2014" localSheetId="7">#REF!</definedName>
    <definedName name="CPIv2012n2014">#REF!</definedName>
    <definedName name="CPIv2013n2014" localSheetId="7">#REF!</definedName>
    <definedName name="CPIv2013n2014">#REF!</definedName>
    <definedName name="DTE_old" localSheetId="7">#REF!</definedName>
    <definedName name="DTE_old">#REF!</definedName>
    <definedName name="EofG" localSheetId="7">'[5]Lokale heffingen (LH)'!#REF!</definedName>
    <definedName name="EofG">'[5]Lokale heffingen (LH)'!#REF!</definedName>
    <definedName name="extraveld_kolom" localSheetId="7">#REF!</definedName>
    <definedName name="extraveld_kolom">#REF!</definedName>
    <definedName name="extraveld_rij" localSheetId="7">#REF!</definedName>
    <definedName name="extraveld_rij">#REF!</definedName>
    <definedName name="Naam" localSheetId="7">#REF!</definedName>
    <definedName name="Naam">#REF!</definedName>
    <definedName name="Naam_GA">'[1]Kapitaalkosten Gasaansluiting'!$C$1</definedName>
    <definedName name="Netbeheerders">[1]Netbeheerders!$B$2:$B$25</definedName>
    <definedName name="Overzicht_EofG" localSheetId="7">#REF!</definedName>
    <definedName name="Overzicht_EofG">#REF!</definedName>
    <definedName name="Overzicht_Gasaansluiting" localSheetId="7">#REF!</definedName>
    <definedName name="Overzicht_Gasaansluiting">#REF!</definedName>
    <definedName name="Overzicht_Netbeheerder" localSheetId="7">#REF!</definedName>
    <definedName name="Overzicht_Netbeheerder">#REF!</definedName>
    <definedName name="Overzicht_totJaar" localSheetId="7">#REF!</definedName>
    <definedName name="Overzicht_totJaar">#REF!</definedName>
    <definedName name="Overzicht_vanafJaar" localSheetId="7">#REF!</definedName>
    <definedName name="Overzicht_vanafJaar">#REF!</definedName>
    <definedName name="wacc" localSheetId="7">[6]Data!#REF!</definedName>
    <definedName name="wacc">[6]Data!#REF!</definedName>
    <definedName name="wacc_exc_tax">[7]constants!$E$3</definedName>
    <definedName name="wacc_inc_tax">[6]constants!$E$4</definedName>
    <definedName name="WACC2001" localSheetId="7">#REF!</definedName>
    <definedName name="WACC2001">#REF!</definedName>
    <definedName name="WACC2002" localSheetId="7">#REF!</definedName>
    <definedName name="WACC2002">#REF!</definedName>
    <definedName name="WACC2003" localSheetId="7">#REF!</definedName>
    <definedName name="WACC2003">#REF!</definedName>
    <definedName name="WACC2004" localSheetId="7">#REF!</definedName>
    <definedName name="WACC2004">#REF!</definedName>
    <definedName name="WACC2005" localSheetId="7">#REF!</definedName>
    <definedName name="WACC2005">#REF!</definedName>
    <definedName name="WACC2006" localSheetId="7">#REF!</definedName>
    <definedName name="WACC2006">#REF!</definedName>
    <definedName name="WACC2007" localSheetId="7">#REF!</definedName>
    <definedName name="WACC2007">#REF!</definedName>
    <definedName name="WACC2008" localSheetId="7">#REF!</definedName>
    <definedName name="WACC2008">#REF!</definedName>
    <definedName name="WACC2009" localSheetId="7">#REF!</definedName>
    <definedName name="WACC2009">#REF!</definedName>
    <definedName name="WACC2010" localSheetId="7">#REF!</definedName>
    <definedName name="WACC2010">#REF!</definedName>
    <definedName name="WACC2011_2013">'[8]CPI&amp;WACC'!$D$14</definedName>
    <definedName name="WACCtabel">'[9]CPI en WACC'!$B$6:$D$26</definedName>
    <definedName name="winstcorrectie" localSheetId="7">#REF!</definedName>
    <definedName name="winstcorrectie">#REF!</definedName>
  </definedNames>
  <calcPr calcId="145621"/>
</workbook>
</file>

<file path=xl/calcChain.xml><?xml version="1.0" encoding="utf-8"?>
<calcChain xmlns="http://schemas.openxmlformats.org/spreadsheetml/2006/main">
  <c r="M23" i="55" l="1"/>
  <c r="N23" i="55"/>
  <c r="O23" i="55"/>
  <c r="P23" i="55"/>
  <c r="Q23" i="55"/>
  <c r="R23" i="55"/>
  <c r="S23" i="55"/>
  <c r="L23" i="55"/>
  <c r="H17" i="55"/>
  <c r="H18" i="55" l="1"/>
  <c r="M15" i="55"/>
  <c r="N15" i="55"/>
  <c r="O15" i="55"/>
  <c r="P15" i="55"/>
  <c r="Q15" i="55"/>
  <c r="R15" i="55"/>
  <c r="R43" i="21" s="1"/>
  <c r="S15" i="55"/>
  <c r="L15" i="55"/>
  <c r="Q43" i="21" l="1"/>
  <c r="L43" i="21"/>
  <c r="M43" i="21"/>
  <c r="P43" i="21"/>
  <c r="N43" i="21"/>
  <c r="O43" i="21"/>
  <c r="L25" i="22" l="1"/>
  <c r="L26" i="22" s="1"/>
  <c r="J43" i="21" l="1"/>
  <c r="H21" i="31" l="1"/>
  <c r="H31" i="22" l="1"/>
  <c r="U14" i="46" l="1"/>
  <c r="U15" i="46"/>
  <c r="T16" i="46"/>
  <c r="T17" i="46"/>
  <c r="T14" i="46"/>
  <c r="T15" i="46"/>
  <c r="H21" i="21"/>
  <c r="U24" i="46" l="1"/>
  <c r="U35" i="46" s="1"/>
  <c r="H172" i="24"/>
  <c r="L184" i="24" s="1"/>
  <c r="R184" i="24" l="1"/>
  <c r="Q184" i="24"/>
  <c r="P184" i="24"/>
  <c r="O184" i="24"/>
  <c r="N184" i="24"/>
  <c r="M184" i="24"/>
  <c r="H18" i="53" l="1"/>
  <c r="H27" i="31"/>
  <c r="L26" i="31" l="1"/>
  <c r="L28" i="31" l="1"/>
  <c r="L32" i="31" s="1"/>
  <c r="L12" i="21"/>
  <c r="M12" i="21"/>
  <c r="N12" i="21"/>
  <c r="N14" i="21" s="1"/>
  <c r="O12" i="21"/>
  <c r="P12" i="21"/>
  <c r="Q12" i="21"/>
  <c r="R12" i="21"/>
  <c r="R14" i="21" s="1"/>
  <c r="R23" i="21" s="1"/>
  <c r="L13" i="21"/>
  <c r="M13" i="21"/>
  <c r="N13" i="21"/>
  <c r="O13" i="21"/>
  <c r="O28" i="21" s="1"/>
  <c r="P13" i="21"/>
  <c r="P14" i="21" s="1"/>
  <c r="Q13" i="21"/>
  <c r="R13" i="21"/>
  <c r="Q14" i="21"/>
  <c r="L15" i="21"/>
  <c r="M15" i="21"/>
  <c r="N15" i="21"/>
  <c r="O15" i="21"/>
  <c r="P15" i="21"/>
  <c r="Q15" i="21"/>
  <c r="R15" i="21"/>
  <c r="L16" i="21"/>
  <c r="M16" i="21"/>
  <c r="N16" i="21"/>
  <c r="O16" i="21"/>
  <c r="P16" i="21"/>
  <c r="Q16" i="21"/>
  <c r="R16" i="21"/>
  <c r="H18" i="21"/>
  <c r="N28" i="21" s="1"/>
  <c r="H19" i="21"/>
  <c r="H20" i="21"/>
  <c r="L28" i="21" l="1"/>
  <c r="L29" i="21" s="1"/>
  <c r="L30" i="21"/>
  <c r="L31" i="21" s="1"/>
  <c r="L14" i="21"/>
  <c r="L23" i="21" s="1"/>
  <c r="L24" i="21" s="1"/>
  <c r="L25" i="21" s="1"/>
  <c r="J13" i="21"/>
  <c r="O29" i="21"/>
  <c r="O30" i="21" s="1"/>
  <c r="O31" i="21" s="1"/>
  <c r="J12" i="21"/>
  <c r="R24" i="21"/>
  <c r="R25" i="21" s="1"/>
  <c r="R26" i="21" s="1"/>
  <c r="O14" i="21"/>
  <c r="O23" i="21" s="1"/>
  <c r="N29" i="21"/>
  <c r="N30" i="21" s="1"/>
  <c r="N31" i="21" s="1"/>
  <c r="Q23" i="21"/>
  <c r="Q28" i="21"/>
  <c r="Q29" i="21" s="1"/>
  <c r="Q30" i="21" s="1"/>
  <c r="Q31" i="21" s="1"/>
  <c r="M28" i="21"/>
  <c r="M29" i="21" s="1"/>
  <c r="M30" i="21" s="1"/>
  <c r="M31" i="21" s="1"/>
  <c r="P28" i="21"/>
  <c r="P29" i="21" s="1"/>
  <c r="P30" i="21" s="1"/>
  <c r="P31" i="21" s="1"/>
  <c r="P23" i="21"/>
  <c r="P24" i="21" s="1"/>
  <c r="M14" i="21"/>
  <c r="M23" i="21" s="1"/>
  <c r="M24" i="21" s="1"/>
  <c r="N23" i="21"/>
  <c r="N24" i="21" s="1"/>
  <c r="R28" i="21"/>
  <c r="R33" i="21" s="1"/>
  <c r="N33" i="21" l="1"/>
  <c r="L26" i="21"/>
  <c r="L35" i="21"/>
  <c r="L33" i="21"/>
  <c r="J23" i="21"/>
  <c r="J28" i="21"/>
  <c r="J14" i="21"/>
  <c r="P33" i="21"/>
  <c r="Q33" i="21"/>
  <c r="Q24" i="21"/>
  <c r="Q34" i="21" s="1"/>
  <c r="O24" i="21"/>
  <c r="O34" i="21" s="1"/>
  <c r="O33" i="21"/>
  <c r="R29" i="21"/>
  <c r="M33" i="21"/>
  <c r="P25" i="21"/>
  <c r="P34" i="21"/>
  <c r="N34" i="21"/>
  <c r="N25" i="21"/>
  <c r="M34" i="21"/>
  <c r="M25" i="21"/>
  <c r="L34" i="21"/>
  <c r="P35" i="21" l="1"/>
  <c r="P26" i="21"/>
  <c r="P36" i="21" s="1"/>
  <c r="N35" i="21"/>
  <c r="N26" i="21"/>
  <c r="N36" i="21" s="1"/>
  <c r="M35" i="21"/>
  <c r="M26" i="21"/>
  <c r="M36" i="21" s="1"/>
  <c r="L36" i="21"/>
  <c r="J33" i="21"/>
  <c r="Q25" i="21"/>
  <c r="J29" i="21"/>
  <c r="J24" i="21"/>
  <c r="O25" i="21"/>
  <c r="R30" i="21"/>
  <c r="R31" i="21" s="1"/>
  <c r="R34" i="21"/>
  <c r="J34" i="21" s="1"/>
  <c r="J31" i="21" l="1"/>
  <c r="R36" i="21"/>
  <c r="Q35" i="21"/>
  <c r="Q26" i="21"/>
  <c r="Q36" i="21" s="1"/>
  <c r="O35" i="21"/>
  <c r="O26" i="21"/>
  <c r="R35" i="21"/>
  <c r="J35" i="21" s="1"/>
  <c r="J30" i="21"/>
  <c r="J25" i="21"/>
  <c r="H20" i="31"/>
  <c r="H30" i="22"/>
  <c r="H20" i="53" l="1"/>
  <c r="O36" i="21"/>
  <c r="J26" i="21"/>
  <c r="M26" i="31"/>
  <c r="M28" i="31" s="1"/>
  <c r="M32" i="31" s="1"/>
  <c r="N26" i="31"/>
  <c r="N28" i="31" s="1"/>
  <c r="N32" i="31" s="1"/>
  <c r="O26" i="31"/>
  <c r="O28" i="31" s="1"/>
  <c r="O32" i="31" s="1"/>
  <c r="P26" i="31"/>
  <c r="P28" i="31" s="1"/>
  <c r="P32" i="31" s="1"/>
  <c r="Q26" i="31"/>
  <c r="Q28" i="31" s="1"/>
  <c r="Q32" i="31" s="1"/>
  <c r="R26" i="31"/>
  <c r="R28" i="31" s="1"/>
  <c r="R32" i="31" s="1"/>
  <c r="J36" i="21" l="1"/>
  <c r="M27" i="22"/>
  <c r="N27" i="22"/>
  <c r="O27" i="22"/>
  <c r="P27" i="22"/>
  <c r="Q27" i="22"/>
  <c r="R27" i="22"/>
  <c r="M28" i="22"/>
  <c r="N28" i="22"/>
  <c r="O28" i="22"/>
  <c r="P28" i="22"/>
  <c r="Q28" i="22"/>
  <c r="R28" i="22"/>
  <c r="L28" i="22"/>
  <c r="L27" i="22"/>
  <c r="L15" i="46"/>
  <c r="M15" i="46"/>
  <c r="N15" i="46"/>
  <c r="O15" i="46"/>
  <c r="P15" i="46"/>
  <c r="Q15" i="46"/>
  <c r="R15" i="46"/>
  <c r="S15" i="46"/>
  <c r="L16" i="46"/>
  <c r="M16" i="46"/>
  <c r="N16" i="46"/>
  <c r="O16" i="46"/>
  <c r="P16" i="46"/>
  <c r="Q16" i="46"/>
  <c r="R16" i="46"/>
  <c r="S16" i="46"/>
  <c r="L17" i="46"/>
  <c r="M17" i="46"/>
  <c r="N17" i="46"/>
  <c r="O17" i="46"/>
  <c r="P17" i="46"/>
  <c r="Q17" i="46"/>
  <c r="R17" i="46"/>
  <c r="S17" i="46"/>
  <c r="M14" i="46"/>
  <c r="N14" i="46"/>
  <c r="O14" i="46"/>
  <c r="P14" i="46"/>
  <c r="Q14" i="46"/>
  <c r="R14" i="46"/>
  <c r="S14" i="46"/>
  <c r="L14" i="46"/>
  <c r="T24" i="46" l="1"/>
  <c r="B31" i="10"/>
  <c r="B32" i="10"/>
  <c r="L43" i="31" l="1"/>
  <c r="M43" i="31"/>
  <c r="N43" i="31"/>
  <c r="O43" i="31"/>
  <c r="P43" i="31"/>
  <c r="Q43" i="31"/>
  <c r="R43" i="31"/>
  <c r="M42" i="31"/>
  <c r="N42" i="31"/>
  <c r="O42" i="31"/>
  <c r="P42" i="31"/>
  <c r="Q42" i="31"/>
  <c r="R42" i="31"/>
  <c r="L42" i="31"/>
  <c r="L44" i="31" s="1"/>
  <c r="M31" i="31"/>
  <c r="N31" i="31"/>
  <c r="O31" i="31"/>
  <c r="P31" i="31"/>
  <c r="Q31" i="31"/>
  <c r="R31" i="31"/>
  <c r="L31" i="31"/>
  <c r="L33" i="31" s="1"/>
  <c r="M19" i="31"/>
  <c r="M23" i="31" s="1"/>
  <c r="N19" i="31"/>
  <c r="N23" i="31" s="1"/>
  <c r="O19" i="31"/>
  <c r="O23" i="31" s="1"/>
  <c r="P19" i="31"/>
  <c r="P23" i="31" s="1"/>
  <c r="Q19" i="31"/>
  <c r="Q23" i="31" s="1"/>
  <c r="R19" i="31"/>
  <c r="R23" i="31" s="1"/>
  <c r="L19" i="31"/>
  <c r="L23" i="31" s="1"/>
  <c r="L36" i="31" s="1"/>
  <c r="L49" i="31" s="1"/>
  <c r="M25" i="22"/>
  <c r="N25" i="22"/>
  <c r="O25" i="22"/>
  <c r="P25" i="22"/>
  <c r="Q25" i="22"/>
  <c r="R25" i="22"/>
  <c r="M24" i="22"/>
  <c r="N24" i="22"/>
  <c r="O24" i="22"/>
  <c r="P24" i="22"/>
  <c r="Q24" i="22"/>
  <c r="R24" i="22"/>
  <c r="L24" i="22"/>
  <c r="M17" i="22"/>
  <c r="N17" i="22"/>
  <c r="O17" i="22"/>
  <c r="P17" i="22"/>
  <c r="Q17" i="22"/>
  <c r="R17" i="22"/>
  <c r="L17" i="22"/>
  <c r="O44" i="31" l="1"/>
  <c r="R44" i="31"/>
  <c r="N44" i="31"/>
  <c r="Q44" i="31"/>
  <c r="P44" i="31"/>
  <c r="M44" i="31"/>
  <c r="T23" i="46"/>
  <c r="S23" i="46"/>
  <c r="R23" i="46"/>
  <c r="Q23" i="46"/>
  <c r="P23" i="46"/>
  <c r="O23" i="46"/>
  <c r="N23" i="46"/>
  <c r="M23" i="46"/>
  <c r="P24" i="46"/>
  <c r="P30" i="46" s="1"/>
  <c r="N24" i="46" l="1"/>
  <c r="N28" i="46" s="1"/>
  <c r="T34" i="46"/>
  <c r="U34" i="46" s="1"/>
  <c r="R24" i="46"/>
  <c r="R32" i="46" s="1"/>
  <c r="M24" i="46"/>
  <c r="M27" i="46" s="1"/>
  <c r="Q24" i="46"/>
  <c r="Q31" i="46" s="1"/>
  <c r="O24" i="46"/>
  <c r="O29" i="46" s="1"/>
  <c r="P29" i="46" s="1"/>
  <c r="S24" i="46"/>
  <c r="S33" i="46" s="1"/>
  <c r="H24" i="53"/>
  <c r="H51" i="31" l="1"/>
  <c r="L53" i="31" s="1"/>
  <c r="H39" i="22"/>
  <c r="N27" i="46"/>
  <c r="O27" i="46" s="1"/>
  <c r="P27" i="46" s="1"/>
  <c r="Q27" i="46" s="1"/>
  <c r="R27" i="46" s="1"/>
  <c r="S27" i="46" s="1"/>
  <c r="T27" i="46" s="1"/>
  <c r="U27" i="46" s="1"/>
  <c r="T33" i="46"/>
  <c r="U33" i="46" s="1"/>
  <c r="Q29" i="46"/>
  <c r="R29" i="46" s="1"/>
  <c r="S29" i="46" s="1"/>
  <c r="T29" i="46" s="1"/>
  <c r="U29" i="46" s="1"/>
  <c r="R26" i="53"/>
  <c r="Q42" i="21" s="1"/>
  <c r="O26" i="53"/>
  <c r="N42" i="21" s="1"/>
  <c r="R31" i="46"/>
  <c r="S31" i="46" s="1"/>
  <c r="T31" i="46" s="1"/>
  <c r="U31" i="46" s="1"/>
  <c r="O28" i="46"/>
  <c r="P28" i="46" s="1"/>
  <c r="Q28" i="46" s="1"/>
  <c r="R28" i="46" s="1"/>
  <c r="S28" i="46" s="1"/>
  <c r="T28" i="46" s="1"/>
  <c r="U28" i="46" s="1"/>
  <c r="S32" i="46"/>
  <c r="T32" i="46" s="1"/>
  <c r="U32" i="46" s="1"/>
  <c r="Q30" i="46"/>
  <c r="R30" i="46" s="1"/>
  <c r="S30" i="46" s="1"/>
  <c r="T30" i="46" s="1"/>
  <c r="U30" i="46" s="1"/>
  <c r="N33" i="31"/>
  <c r="O33" i="31"/>
  <c r="P33" i="31"/>
  <c r="Q33" i="31"/>
  <c r="J42" i="21" l="1"/>
  <c r="Q36" i="31"/>
  <c r="Q49" i="31" s="1"/>
  <c r="O36" i="31"/>
  <c r="O49" i="31" s="1"/>
  <c r="P36" i="31"/>
  <c r="P49" i="31" s="1"/>
  <c r="N36" i="31"/>
  <c r="N49" i="31" s="1"/>
  <c r="R33" i="31"/>
  <c r="M33" i="31"/>
  <c r="N26" i="22"/>
  <c r="O26" i="22"/>
  <c r="P26" i="22"/>
  <c r="Q26" i="22"/>
  <c r="R26" i="22"/>
  <c r="M26" i="22"/>
  <c r="L33" i="22"/>
  <c r="L37" i="22" s="1"/>
  <c r="Q33" i="22" l="1"/>
  <c r="Q37" i="22" s="1"/>
  <c r="Q41" i="22" s="1"/>
  <c r="Q40" i="21" s="1"/>
  <c r="P33" i="22"/>
  <c r="P37" i="22" s="1"/>
  <c r="P41" i="22" s="1"/>
  <c r="P40" i="21" s="1"/>
  <c r="M33" i="22"/>
  <c r="M37" i="22" s="1"/>
  <c r="M41" i="22" s="1"/>
  <c r="M40" i="21" s="1"/>
  <c r="O33" i="22"/>
  <c r="O37" i="22" s="1"/>
  <c r="O41" i="22" s="1"/>
  <c r="O40" i="21" s="1"/>
  <c r="R33" i="22"/>
  <c r="R37" i="22" s="1"/>
  <c r="R41" i="22" s="1"/>
  <c r="R40" i="21" s="1"/>
  <c r="N33" i="22"/>
  <c r="N37" i="22" s="1"/>
  <c r="N41" i="22" s="1"/>
  <c r="N40" i="21" s="1"/>
  <c r="Q53" i="31"/>
  <c r="Q41" i="21" s="1"/>
  <c r="O53" i="31"/>
  <c r="L41" i="22"/>
  <c r="L40" i="21" s="1"/>
  <c r="L45" i="21" s="1"/>
  <c r="L50" i="21" s="1"/>
  <c r="N53" i="31"/>
  <c r="P53" i="31"/>
  <c r="R36" i="31"/>
  <c r="R49" i="31" s="1"/>
  <c r="M36" i="31"/>
  <c r="M49" i="31" s="1"/>
  <c r="M53" i="31" s="1"/>
  <c r="Q45" i="21" l="1"/>
  <c r="J40" i="21"/>
  <c r="O41" i="21"/>
  <c r="O45" i="21" s="1"/>
  <c r="P41" i="21"/>
  <c r="P45" i="21" s="1"/>
  <c r="M41" i="21"/>
  <c r="M45" i="21" s="1"/>
  <c r="N41" i="21"/>
  <c r="N45" i="21" s="1"/>
  <c r="L41" i="21"/>
  <c r="R53" i="31"/>
  <c r="Q50" i="21"/>
  <c r="N50" i="21" l="1"/>
  <c r="O50" i="21"/>
  <c r="P50" i="21"/>
  <c r="M50" i="21"/>
  <c r="R41" i="21"/>
  <c r="R45" i="21" s="1"/>
  <c r="B38" i="10"/>
  <c r="J45" i="21" l="1"/>
  <c r="J41" i="21"/>
  <c r="B33" i="10"/>
  <c r="B37" i="10" l="1"/>
  <c r="B43" i="10"/>
  <c r="R50" i="21"/>
  <c r="J50" i="21" s="1"/>
</calcChain>
</file>

<file path=xl/comments1.xml><?xml version="1.0" encoding="utf-8"?>
<comments xmlns="http://schemas.openxmlformats.org/spreadsheetml/2006/main">
  <authors>
    <author>Author</author>
  </authors>
  <commentList>
    <comment ref="U33" authorId="0">
      <text>
        <r>
          <rPr>
            <sz val="8"/>
            <color indexed="81"/>
            <rFont val="Tahoma"/>
            <family val="2"/>
          </rPr>
          <t>Waarde voor het vierde kwartaal 2018 kan naar verwachting nog worden ingevuld op basis van vaststelling van dit percentage door de Belastingdienst. Het eerste en tweede kwartaal 2019 zijn geschat op basis van de laatst bekende waarde.</t>
        </r>
      </text>
    </comment>
    <comment ref="U34" authorId="0">
      <text>
        <r>
          <rPr>
            <sz val="8"/>
            <color indexed="81"/>
            <rFont val="Tahoma"/>
            <family val="2"/>
          </rPr>
          <t>Waarde voor het vierde kwartaal 2018 kan naar verwachting nog worden ingevuld op basis van vaststelling van dit percentage door de Belastingdienst. Het eerste en tweede kwartaal 2019 zijn geschat op basis van de laatst bekende waarde.</t>
        </r>
      </text>
    </comment>
    <comment ref="T36" authorId="0">
      <text>
        <r>
          <rPr>
            <sz val="8"/>
            <color indexed="81"/>
            <rFont val="Tahoma"/>
            <family val="2"/>
          </rPr>
          <t>Waarde voor het vierde kwartaal 2018 kan naar verwachting nog worden ingevuld op basis van vaststelling van dit percentage door de Belastingdienst. Het eerste en tweede kwartaal 2019 zijn geschat op basis van de laatst bekende waarde.</t>
        </r>
      </text>
    </comment>
  </commentList>
</comments>
</file>

<file path=xl/comments2.xml><?xml version="1.0" encoding="utf-8"?>
<comments xmlns="http://schemas.openxmlformats.org/spreadsheetml/2006/main">
  <authors>
    <author>Author</author>
  </authors>
  <commentList>
    <comment ref="U24" authorId="0">
      <text>
        <r>
          <rPr>
            <sz val="8"/>
            <color indexed="81"/>
            <rFont val="Tahoma"/>
            <family val="2"/>
          </rPr>
          <t>Waarde voor 2020 wordt vastgesteld door de meest recente waarde (naar verwachting kwartaal vier) ook te gebruiken als schatting voor ontbrekende kwartalen (eerste en tweede kwartaal van 2020)</t>
        </r>
      </text>
    </comment>
  </commentList>
</comments>
</file>

<file path=xl/sharedStrings.xml><?xml version="1.0" encoding="utf-8"?>
<sst xmlns="http://schemas.openxmlformats.org/spreadsheetml/2006/main" count="831" uniqueCount="361">
  <si>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</si>
  <si>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</si>
  <si>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</si>
  <si>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</si>
  <si>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</si>
  <si>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</si>
  <si>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</si>
  <si>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</si>
  <si>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</si>
  <si>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</si>
  <si>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</si>
  <si>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</si>
  <si>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</si>
  <si>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</si>
  <si>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</si>
  <si>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</si>
  <si>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</si>
  <si>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</si>
  <si>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</si>
  <si>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</si>
  <si>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</si>
  <si>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</si>
  <si>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</si>
  <si>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</si>
  <si>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</si>
  <si>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</si>
  <si>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</si>
  <si>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</si>
  <si>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</si>
  <si>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</si>
  <si>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</si>
  <si>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</si>
  <si>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</si>
  <si>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</si>
  <si>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</si>
  <si>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</si>
  <si>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</si>
  <si>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</si>
  <si>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</si>
  <si>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</si>
  <si>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</si>
  <si>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</si>
  <si>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</si>
  <si>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</si>
  <si>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</si>
  <si>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</si>
  <si>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</si>
  <si>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</si>
  <si>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</si>
  <si>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</si>
  <si>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</si>
  <si>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</si>
  <si>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</si>
  <si>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</si>
  <si>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</si>
  <si>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</si>
  <si>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</si>
  <si>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</si>
  <si>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</si>
  <si>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Beschrijving berekening</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</si>
  <si>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</si>
  <si>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</si>
  <si>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</si>
  <si>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</si>
  <si>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</si>
  <si>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</si>
  <si>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</si>
  <si>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</si>
  <si>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</si>
  <si>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</si>
  <si>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</si>
  <si>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</si>
  <si>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</si>
  <si>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</si>
  <si>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</si>
  <si>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</si>
  <si>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</si>
  <si>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</si>
  <si>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</si>
  <si>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</si>
  <si>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</si>
  <si>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</si>
  <si>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</si>
  <si>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</si>
  <si>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</si>
  <si>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</si>
  <si>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</si>
  <si>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</si>
  <si>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</si>
  <si>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</si>
  <si>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</si>
  <si>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</si>
  <si>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</si>
  <si>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</si>
  <si>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</si>
  <si>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</si>
  <si>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op het geschakeld net</t>
  </si>
  <si>
    <t>D. BLINDVERMOGEN</t>
  </si>
  <si>
    <t>kVArh blindvermogen MS en hoger</t>
  </si>
  <si>
    <t>kVArh blindvermogen lager dan MS</t>
  </si>
  <si>
    <t>ENDURIS</t>
  </si>
  <si>
    <t>ENEXIS</t>
  </si>
  <si>
    <t>LIANDER</t>
  </si>
  <si>
    <t>RENDO</t>
  </si>
  <si>
    <t>STEDIN</t>
  </si>
  <si>
    <t>WESTLAND</t>
  </si>
  <si>
    <t>#</t>
  </si>
  <si>
    <t>t/m 3*25A + alle 1-fase aansluitingen (1)</t>
  </si>
  <si>
    <t>Inschatting SO</t>
  </si>
  <si>
    <t>Productsom wegingsfactoren met individuele volumes</t>
  </si>
  <si>
    <t>Correctie voor weging Invoeding binnen Transportdienst</t>
  </si>
  <si>
    <t>COTEQ</t>
  </si>
  <si>
    <t>ENDINET</t>
  </si>
  <si>
    <t>X-factor 2017-2021</t>
  </si>
  <si>
    <t xml:space="preserve">Input Parameters </t>
  </si>
  <si>
    <t>2011</t>
  </si>
  <si>
    <t>2012</t>
  </si>
  <si>
    <t>2013</t>
  </si>
  <si>
    <t>2014</t>
  </si>
  <si>
    <t>2015</t>
  </si>
  <si>
    <t>2016</t>
  </si>
  <si>
    <t>2017</t>
  </si>
  <si>
    <t>2018</t>
  </si>
  <si>
    <t>2019</t>
  </si>
  <si>
    <t>2020</t>
  </si>
  <si>
    <t>2021</t>
  </si>
  <si>
    <t>De relatieve wijziging van de consumentenprijsindex wordt berekend uit het quotiënt van van deze index, gepubliceerd in de vierde maand voorafgaande aan het jaar t, en van deze index, gepubliceerd</t>
  </si>
  <si>
    <t>in de zestiende maand voorafgaande aan het jaar t, zoals deze maandelijks wordt vastgesteld door het CBS.</t>
  </si>
  <si>
    <t>%</t>
  </si>
  <si>
    <t>Data rentepercentage tariefcorrecties</t>
  </si>
  <si>
    <t>Toelichting gegevens rentepercentage tariefcorrecties</t>
  </si>
  <si>
    <t>Rentepercentage tariefcorrecties</t>
  </si>
  <si>
    <t>Eerste kwartaal</t>
  </si>
  <si>
    <t>Tweede kwartaal</t>
  </si>
  <si>
    <t>Derde kwartaal</t>
  </si>
  <si>
    <t>Vierde kwartaal</t>
  </si>
  <si>
    <t>Uitkomsten TI-berekening na aanpassing van gegevens (zie toelichting hierboven)</t>
  </si>
  <si>
    <t>Q-factor 2017-2021</t>
  </si>
  <si>
    <t>EUR, pp 2016</t>
  </si>
  <si>
    <t>Nacalculatiebedrag</t>
  </si>
  <si>
    <t>Groei in volume</t>
  </si>
  <si>
    <t>Daadwerkelijke Inkoopkosten Transport</t>
  </si>
  <si>
    <t>Nacalculatiebedrag Inkoopkosten Transport</t>
  </si>
  <si>
    <t>Totale Inkomsten exclusief correcties</t>
  </si>
  <si>
    <t>Begininkomsten 2016 (o.b.v. efficiënte kosten 2016)</t>
  </si>
  <si>
    <t>Gemiddelde inkoopkosten transport in efficiëntieniveau 2016</t>
  </si>
  <si>
    <t>cpi 2017</t>
  </si>
  <si>
    <t>cpi 2018</t>
  </si>
  <si>
    <t>TI 2017 (exclusief correcties en inkoopkosten transport ) o.b.v. wettelijke formule</t>
  </si>
  <si>
    <t>TI 2018 (exclusief correcties en inkoopkosten transport ) o.b.v. wettelijke formule</t>
  </si>
  <si>
    <t>Ingeschatte inkoopkosten transport 2017 bij rekenvolumina 2017-2021</t>
  </si>
  <si>
    <t>Ingeschatte inkoopkosten transport 2018 bij rekenvolumina 2017-2021</t>
  </si>
  <si>
    <t>TI 2017 (zonder correcties, incl. schatting voor inkoopkosten transport)</t>
  </si>
  <si>
    <t>TI 2018 (zonder correcties, incl. schatting voor inkoopkosten transport)</t>
  </si>
  <si>
    <t>TI 2019 (exclusief correcties en inkoopkosten transport ) o.b.v. wettelijke formule</t>
  </si>
  <si>
    <t>Ingeschatte inkoopkosten transport 2019 bij rekenvolumina 2017-2022</t>
  </si>
  <si>
    <t>TI 2019 (zonder correcties, incl. schatting voor inkoopkosten transport)</t>
  </si>
  <si>
    <t>cpi 2019</t>
  </si>
  <si>
    <t>CPI 2017</t>
  </si>
  <si>
    <t>Berekening op basis van parameters</t>
  </si>
  <si>
    <t>Mutatie van bedrag in oorspronkelijk prijspeil naar boekjaar</t>
  </si>
  <si>
    <t>Voor bedragen oorspronkelijk in prijspeil 2011</t>
  </si>
  <si>
    <t>Voor bedragen oorspronkelijk in prijspeil 2012</t>
  </si>
  <si>
    <t>Voor bedragen oorspronkelijk in prijspeil 2013</t>
  </si>
  <si>
    <t>Voor bedragen oorspronkelijk in prijspeil 2014</t>
  </si>
  <si>
    <t>Voor bedragen oorspronkelijk in prijspeil 2015</t>
  </si>
  <si>
    <t>Voor bedragen oorspronkelijk in prijspeil 2016</t>
  </si>
  <si>
    <t>Voor bedragen oorspronkelijk in prijspeil 2017</t>
  </si>
  <si>
    <t>Berekening mutatie rentepercentage tariefcorrecties over meerdere jaren</t>
  </si>
  <si>
    <t>Berekening rentepercentage tariefcorrecties op jaarbasis</t>
  </si>
  <si>
    <t>Boekjaar waarvoor mutatie rentepercentage berekend wordt:</t>
  </si>
  <si>
    <t>Samengesteld percentage op basis van juli - juli mutatie:</t>
  </si>
  <si>
    <t>Start Totale Inkomsten exclusief correcties</t>
  </si>
  <si>
    <t>Voor bedragen oorspronkelijk in prijspeil 2018</t>
  </si>
  <si>
    <t>Met ingang van 1 juli 2017 droeg Stedin het beheer van een deel van haar netgebied over aan Enexis. Het betreft hier het netgebied van Weert, voor zowel gas als elektriciteit.</t>
  </si>
  <si>
    <t>Het te verschuiven TI-bedrag is vastgesteld op basis van door Stedin en Enexis aangeleverde informatie met betrekking tot de aantallen afnemers in het overgedragen netgebied.</t>
  </si>
  <si>
    <t>Het TI-bedrag wat van Stedin wordt verschoven naar Enexis is gebaseerd op het aandeel van de toegestane inkomsten in 2017 van Stedin dat ziet op het netgebied Weert.</t>
  </si>
  <si>
    <t>ZEBRA</t>
  </si>
  <si>
    <t>Ophalen gegevens</t>
  </si>
  <si>
    <t>Verschuiving TI-aandeel Weert van Stedin</t>
  </si>
  <si>
    <t>Correctie overdracht Weert</t>
  </si>
  <si>
    <t>Dit procentuele aandeel is berekend in de TI-berekening regionale netbeheerders elektriciteit 2018.</t>
  </si>
  <si>
    <t>Voor de kapitaalkosten van lokale heffingen is ook een uitbreiding van de GAW-sheet noodzakelijk. Om tot de juiste kapitaalkosten te komen worden de volgende stappen doorlopen:</t>
  </si>
  <si>
    <t>3. Op het blad 'Dashboard Netbeheerder' wordt RENDO geselecteerd.</t>
  </si>
  <si>
    <t>Nacalculatie van de inkoopkosten transport vindt plaats op basis van het amendement Zijlstra. Het betreft een nacalculatie per netbeheerder.</t>
  </si>
  <si>
    <t>In dit bestand worden de berekeningen gepresenteerd voor de vaststelling van de tarieven voor 2019, inclusief de berekening van de nacalculatiebedragen.</t>
  </si>
  <si>
    <t>Dit Excel-bestand bevat de berekening van de Totale Inkomsten (TI) voor het jaar 2019 voor de regionale netbeheerders elektriciteit.</t>
  </si>
  <si>
    <t>Deze berekeningen maken onderdeel uit van de tarievenbesluiten elektriciteit 2019.</t>
  </si>
  <si>
    <t>X-factor voor de periode 2017-2021 (afgerond)</t>
  </si>
  <si>
    <t>q-factor voor de periode 2017-2021 (afgerond)</t>
  </si>
  <si>
    <t>Gehanteerde kostendata</t>
  </si>
  <si>
    <t>Precario</t>
  </si>
  <si>
    <t>Gedoogbelastingen</t>
  </si>
  <si>
    <t>Bron: Samengestelde Output RNB E; Tab wegingsfactoren</t>
  </si>
  <si>
    <t>SO transportdienst (TD) o.b.v. Rekenvolumes 2017-2021</t>
  </si>
  <si>
    <t>Inschatting inkoopkosten transport 2016</t>
  </si>
  <si>
    <t>Begininkomsten (na aanpassing naar efficiënte kosten 2016)</t>
  </si>
  <si>
    <t>(virtuele) X-factor 2017-2021</t>
  </si>
  <si>
    <t>De nacalculatie komt vervolgens tot stand door het doorlopen van deze twee stappen:</t>
  </si>
  <si>
    <t>Op dit blad worden input gegevens verzameld uit het x-factormodel.</t>
  </si>
  <si>
    <t>1. Voor de bewerking wordt gebruik gemaakt van de GAW-sheet voor REG2017.</t>
  </si>
  <si>
    <t>5. Deze gegevens worden vervolgens, na correctie voor het juiste CPI niveau, ingevoerd in de x-factorberekening in de GAW-tabellen op het blad 'Import GAW' voor de jaren 2013-2015.</t>
  </si>
  <si>
    <t>Wegingsfactoren o.b.v. tarieven 2016 (uit x-factorbesluit 2017-2021)</t>
  </si>
  <si>
    <t>Data cpi</t>
  </si>
  <si>
    <t>Toelichting vaststelling jaarlijks cpi-percentage</t>
  </si>
  <si>
    <t>De gegevens zijn afkomstig uit StatLine, zie de reeks: Jaarmutatie consumentenprijsindex; vanaf 1963 (www.cbs.nl)</t>
  </si>
  <si>
    <t>cpi percentage</t>
  </si>
  <si>
    <t>De heffingsrente is na 2012 vervangen door de belastingrente.</t>
  </si>
  <si>
    <t>De belastingrente wordt ieder kwartaal gepubliceerd door het Ministerie van Financiën.</t>
  </si>
  <si>
    <t>Deze percentages zijn te vinden op de websites van de rijksoverheid en de belastingdienst (zie onder voor bron).</t>
  </si>
  <si>
    <t>Bron: https://www.belastingdienst.nl</t>
  </si>
  <si>
    <t>De paarse cellen betreffen een schatting, op basis van het laatst bekende kwartaal.</t>
  </si>
  <si>
    <t>Op dit tabblad worden de rentepercentages voor de tariefcorrecties over meerdere jaren berekend.</t>
  </si>
  <si>
    <t>Begininkomsten 2016  (exclusief correcties en inkoopkosten transport)</t>
  </si>
  <si>
    <t>Met ingang van het jaar 2014 kan voor deze nacalculatie gebruik worden gemaakt van de vooraf bepaalde gegevens op het blad 'Bijlage 1' van de x-factorberekening.</t>
  </si>
  <si>
    <t>Stap 1: berekenen met welke inkoopkosten transport rekening is gehouden in de tarieven (volgen uit x-factorberekening) en die de netbeheerders dus al vergoed hebben gekregen (rekening houdend met volumeveranderingen).</t>
  </si>
  <si>
    <t>Een verdere toelichting bij deze nalcalculatie is te vinden in het methodebesluit voor de reguleringsperiode 2017-2021 in randnummer 382 en verder.</t>
  </si>
  <si>
    <t>Vergoeding inkoop transport vanuit x-factorberekening 2017-2021</t>
  </si>
  <si>
    <t>X-factor model REG2017-2021</t>
  </si>
  <si>
    <t xml:space="preserve">StatLine </t>
  </si>
  <si>
    <t>Belastingdienst</t>
  </si>
  <si>
    <t>doorrekening in GAW-sheet</t>
  </si>
  <si>
    <t>16351_regionale-elektriciteit-2017-2021-x-factorberekening</t>
  </si>
  <si>
    <t>https://opendata.cbs.nl/#/CBS/nl/dataset/83131NED/table?ts=1528811296678</t>
  </si>
  <si>
    <t>n.v.t.</t>
  </si>
  <si>
    <t>Input x-factor, q-factor en begininkomsten</t>
  </si>
  <si>
    <t>Op dit blad worden inputgegevens verzameled voor relevante parameters in de berekening van de Totale Inkomsten</t>
  </si>
  <si>
    <t>X-factor model REG2017, tabblad 'bijlage 1', regel 10, na aanpassing van gegevens zoals boven beschreven</t>
  </si>
  <si>
    <t>X-factor model REG2017, tabblad 'bijlage 1', regel 14, na aanpassing van gegevens zoals boven beschreven</t>
  </si>
  <si>
    <t>X-factor model REG2017, tabblad 'bijlage 1', regel 19, na aanpassing van gegevens zoals boven beschreven</t>
  </si>
  <si>
    <t>Op dit blad wordt de samengestelde output per netbeheerder berekend voor de transportdienst. Deze waarden zijn nodig als onderdeel van de nacalculatie Inkoopkosten Transport.</t>
  </si>
  <si>
    <t>(1) Met uitzondering van de 1*6A aansluitingen op het geschakeld net.</t>
  </si>
  <si>
    <t>1-fase aansluitingen t/m 1*10A</t>
  </si>
  <si>
    <t>Correctie inschatting SO</t>
  </si>
  <si>
    <t>Verschuiving TI-aandeel als gevolg van overdracht Weert</t>
  </si>
  <si>
    <t>TI-berekening RNB elektriciteit 2018, tabblad "Overdracht Weert TI 2018", cel F298</t>
  </si>
  <si>
    <t>X-factorberekening REG2017 (september 2016); Tabblad X-factor + TI-bedragen, rij 25</t>
  </si>
  <si>
    <t>X-factorberekening REG2017 (september 2016); Tabblad X-factor + TI-bedragen, rij 19</t>
  </si>
  <si>
    <t>X-factorberekening REG2017 (september 2016); Tabblad X-factor + TI-bedragen, rij 42</t>
  </si>
  <si>
    <t>X-factorberekening REG2017 (september 2016); Tabblad X-factor + TI-bedragen, rij 52</t>
  </si>
  <si>
    <t>t/m 1*6A geschakeld</t>
  </si>
  <si>
    <t>Rekencapaciteit kleinverbruikers (t/m 3*80A op LS)</t>
  </si>
  <si>
    <t>Tarievencode elektriciteit 3.7.13a</t>
  </si>
  <si>
    <t>x-factorberekening 2017-2021; Tab 'Bijlage 1 ', rij 39</t>
  </si>
  <si>
    <t>x-factorberekening 2017-2021; Tab 'Bijlage 1 ', rij 42</t>
  </si>
  <si>
    <t>Samengestelde Output RNB E; Tab SO voor maatstaf cel J280</t>
  </si>
  <si>
    <t xml:space="preserve">De data dient als input voor de berekening van de reeds vergoede inkoopkosten transport en de daadwerkelijke inkoopkosten. </t>
  </si>
  <si>
    <t>De berekening is uitgevoerd in het x-factorbesluit voor de zevende periode elektriciteit (2017-2021), zoals gepubliceerd in september 2016.</t>
  </si>
  <si>
    <t>De volumes die gebruikt worden voor de bepaling van de groei van de SO zijn de volumes na de volumekorting voor de energie-intensieve industrie.</t>
  </si>
  <si>
    <t>Berekening totale inkomsten regionale netbeheerders elektriciteit 2020</t>
  </si>
  <si>
    <t>Tarievenbesluiten regionale netbeheerders elektriciteit 2020</t>
  </si>
  <si>
    <t>Individuele tarievenmodules RNB elektriciteit 2020</t>
  </si>
  <si>
    <t>TI-berekening 2020</t>
  </si>
  <si>
    <t>Op dit tabblad worden de totale inkomsten (inclusief correcties) berekend. Dit gebeurt door de wettelijke formule toe te passen op de begininkomsten (exclusief inkoopkosten transport), dit resulteert in de TI 2020 (exclusief correcties). Hierop worden vervolgens correcties toegepast.</t>
  </si>
  <si>
    <t>cpi 2020</t>
  </si>
  <si>
    <t>TI 2020 (exclusief correcties en inkoopkosten transport ) o.b.v. wettelijke formule</t>
  </si>
  <si>
    <t>Ingeschatte inkoopkosten transport 2020 bij rekenvolumina 2017-2023</t>
  </si>
  <si>
    <t>TI 2020 (zonder correcties, incl. schatting voor inkoopkosten transport)</t>
  </si>
  <si>
    <t>Correcties in tarieven 2020</t>
  </si>
  <si>
    <t>Totale Inkomsten 2020 inclusief correcties</t>
  </si>
  <si>
    <t>Totale Inkomsten 2020 (incl. correcties)</t>
  </si>
  <si>
    <t>Lokale Heffingen 2018</t>
  </si>
  <si>
    <t>Inkoopkosten Transport 2018</t>
  </si>
  <si>
    <t>Overdracht Weert TI 2020</t>
  </si>
  <si>
    <t>Totaalbedrag Correcties in TI 2020</t>
  </si>
  <si>
    <t>Voor bedragen oorspronkelijk in prijspeil 2019</t>
  </si>
  <si>
    <t>Overdracht netgebied Weert TI 2020</t>
  </si>
  <si>
    <t>In de tarieven van 2020 zal de ACM rekening houden met de verschuiving van tariefruimte tussen Stedin en Enexis.</t>
  </si>
  <si>
    <t>De ACM past dit procentuele aandeel  toe op de toegestane inkomsten (excl. correcties) van Stedin in het jaar 2020 om de tussen Stedin en Enexis te verschuiven tariefruimte te bepalen.</t>
  </si>
  <si>
    <t>TI (excl. correcties) Stedin 2020</t>
  </si>
  <si>
    <t>EUR, pp 2020</t>
  </si>
  <si>
    <t>Te verschuiven tariefruimte Weert 2020</t>
  </si>
  <si>
    <t>Op dit blad worden input gegevens verzameld uit de reguleringsdata 2018, de TI-berekening 2018 en de x-factorberekening 2017-2021.</t>
  </si>
  <si>
    <t>Toegestane inkomsten voor 2018 o.b.v.  geschatte kosten voor lokale heffingen</t>
  </si>
  <si>
    <t>TI-bedrag 2018 o.b.v. oorspronkelijke x-factorberekening</t>
  </si>
  <si>
    <t>TI 2018 (exclusief correcties en inkoopkosten transport )</t>
  </si>
  <si>
    <t>EUR, pp 2018</t>
  </si>
  <si>
    <t>Samengestelde output transportdienst 2018</t>
  </si>
  <si>
    <t>Deze berekening van de SO heeft uitsluitend betekenis binnen de context van de tarievenbesluiten 2020.</t>
  </si>
  <si>
    <t>Bron: Reguleringsdata 2018</t>
  </si>
  <si>
    <t>Volumes transportdienst 2018</t>
  </si>
  <si>
    <t>SO 2018</t>
  </si>
  <si>
    <t>Op dit blad worden input gegevens verzameld uit de  gewijzigde x-factorberekening 2017-2021 en de reguleringsdata 2018.</t>
  </si>
  <si>
    <t>Reguleringsdata 2018, tabel 3A</t>
  </si>
  <si>
    <t>Inkoopkosten bij TenneT 2018</t>
  </si>
  <si>
    <t>Inkoopkosten bij boven/naastliggende RNB 2018</t>
  </si>
  <si>
    <t>Vergoeding in Tarieven 2018 per RNB</t>
  </si>
  <si>
    <t>Toegestane inkomsten voor 2018 o.b.v. daadwerkelijke kosten voor lokale heffingen</t>
  </si>
  <si>
    <t>Reguleringsdata 2018 tabel 3A</t>
  </si>
  <si>
    <t>Afschrijving afgekochte precario 2018</t>
  </si>
  <si>
    <t>GAW (ult.) afgekochte precario 2018</t>
  </si>
  <si>
    <t>GAW en afschrijvingen afgekochte precario 2018 o.b.v. GAW-sheet</t>
  </si>
  <si>
    <t>TI berekening 2018, tabblad TI-berekening 2018, rij 16</t>
  </si>
  <si>
    <t>X-factor model REG2017, tabblad 'bijlage 1', regel 39, na aanpassing van gegevens zoals boven beschreven</t>
  </si>
  <si>
    <t>2. Op blad InpC wordt de CPI ingevuld voor 2018 (1,4%).</t>
  </si>
  <si>
    <t xml:space="preserve">Voor de operationele kosten van lokale heffingen wordt gebruik gemaakt van de reguleringsdata over 2018. </t>
  </si>
  <si>
    <t>4. De gegevens over afgekochte precario voor 2018 kunnen nu worden uitgelezen in cel AB24 en AB25.</t>
  </si>
  <si>
    <t>In deze nacalculatie wordt bepaald welk inkomstenbedrag de netbeheerders gekregen zouden hebben wanneer de gegevens over lokale heffingen over 2018 bekend zouden zijn geweest bij het vaststellen van de x-factoren voor de reguleringsperiode 2017-2021 (REG2017).</t>
  </si>
  <si>
    <t>Het verschil tussen dit inkomstenbedrag en het inkomstenbedrag dat netbeheerders werkelijk voor 2018 ontvangen hebben (exclusief correcties), geeft het nacalculatiebedrag.</t>
  </si>
  <si>
    <t>De gegevens in dit tabblad zijn o.b.v. de x-factorberekening na aanpassing van de gegevens voor de realisaties voor lokale heffingen in 2018.</t>
  </si>
  <si>
    <t>Nacalculatiebedrag Lokale Heffingen 2018</t>
  </si>
  <si>
    <t>Mutatie rentepercentage van 2018 naar 2020</t>
  </si>
  <si>
    <t xml:space="preserve">Correctie Lokale Heffingen 2018 </t>
  </si>
  <si>
    <t>CPI 2018</t>
  </si>
  <si>
    <t>Vergoeding Inkoopkosten Transport in TI 2018, o.b.v. rekenvolumes</t>
  </si>
  <si>
    <t>SO voor 2018 o.b.v. reguleringsdata 2018</t>
  </si>
  <si>
    <t>Stap 2: bepalen van de daadwerkelijk inkoopkosten transport voor het jaar 2018, op basis van de reguleringsdata.</t>
  </si>
  <si>
    <t>SO TD o.b.v. volumes 2018, na correctie voor SO invoeding</t>
  </si>
  <si>
    <t>Groeipercentage volume 2018 t.o.v. rekenvolumes</t>
  </si>
  <si>
    <t>Behaalde vergoeding in 2018, o.b.v. gerealiseerd volume</t>
  </si>
  <si>
    <t>Behaalde vergoeding in 2018 voor TI 2018</t>
  </si>
  <si>
    <t>Inkoopkosten 2018 op basis van Reguleringsdata</t>
  </si>
  <si>
    <t>Daadwerkelijke totale inkoopkosten 2018</t>
  </si>
  <si>
    <t>Nacalculatiebedrag Inkoopkosten Transport 2018</t>
  </si>
  <si>
    <t xml:space="preserve">Correctie inkoop transport 2018 </t>
  </si>
  <si>
    <t xml:space="preserve">Stap 3: Berekening van nacalculatiebedragen voor 2018, als het verschil van beiden. </t>
  </si>
  <si>
    <t>Gebaseerd op de x-factorberekening van september 2016 en met toepassing van de CPI voor de jaren 2017 en 2018</t>
  </si>
  <si>
    <t>Operationele kosten Lokale Heffingen 2018 op basis van RD</t>
  </si>
  <si>
    <t>Gebaseerd op de x-factorberekening van sep 2016 en met toepassing van de CPI voor de jaren 2017 en 2018</t>
  </si>
  <si>
    <t>De wegingsfactor voor 1-fase aansluitingen t/m 1*10A is berekend op basis van gemiddeld tarief per rekencapaciteit van de overige categorieën binnen kleinverbruikers (t/m 3*80A op LS)</t>
  </si>
  <si>
    <t>Input reeds vergoede Inkoopkosten Transport in Tarieven 2018</t>
  </si>
  <si>
    <t xml:space="preserve">TI 2018 (excl. inkoopkosten transport), na aanpassing gegevens </t>
  </si>
  <si>
    <t>Berekening reeds vergoede Inkoopkosten Transport in tarieven 2018</t>
  </si>
  <si>
    <t>Correctie voor weging Invoeding binnen Transportdienst (TD)</t>
  </si>
  <si>
    <t>SO TD o.b.v. Rekenvolumes 2017-2021</t>
  </si>
  <si>
    <t>Input Faillissement Flexenergie B.V. 2018</t>
  </si>
  <si>
    <t>Deze verrekening heeft ten hoogste betrekking op de gederfde tariefinkomsten gedurende twee maanden voorafgaand aan het moment waarop de vergunninghouder in staat van faillissement is verklaard.</t>
  </si>
  <si>
    <t xml:space="preserve">Voor Flexenergie B.V. is dit 24 oktober 2018, wat betekent dat alleen gederfde tariefinkomsten vanaf 24 augustus 2018 tot en met 23 oktober 2018 kunnen worden verrekend. </t>
  </si>
  <si>
    <t>De netbeheerder dient een verzoek tot correctie te voorzien van een goedkeurende accountantsverklaring van de gederfde inkomsten.</t>
  </si>
  <si>
    <t>Inkomsten die de netbeheerder in een later stadium alsnog heeft kunnen verhalen op de failliete boedel worden in mindering gebracht op de tarieven twee jaar na het jaar van het einde van het faillissement van de vergunninghouder.</t>
  </si>
  <si>
    <t>Gederfde inkomsten in twee maanden voorafgaand aan faillissement</t>
  </si>
  <si>
    <t>Gederfde inkomsten</t>
  </si>
  <si>
    <t>Informatieverzoek faillissement leveranciers</t>
  </si>
  <si>
    <t>Faillissement EnergieFlex 2018</t>
  </si>
  <si>
    <t>Op 22 oktober 2018 heeft de Rechtbank Midden Nederland het faillissement van Flexenergie B.V. uitgesproken. Op basis van de Tarievencode Elektriciteit mogen gederfde inkomsten als gevolg van toepassing van het leveranciersmodel worden verrekend in de tarieven van de netbeheerder.</t>
  </si>
  <si>
    <t>EUR, pp 2017</t>
  </si>
  <si>
    <t>EUR, pp 2019</t>
  </si>
  <si>
    <t>Dit moment wordt in de Tarievencode Elektriciteit gespecificeerd als de datum waarop melding wordt gemaakt van het betreffende faillissement in de Staatscourant.</t>
  </si>
  <si>
    <t xml:space="preserve">https://www.belastingdienst.nl/wps/wcm/connect/bldcontentnl/standaard_functies/prive/contact/rechten_en_plichten_bij_de_belastingdienst/belastingrente/overzicht_percentages_belastingrente </t>
  </si>
  <si>
    <t>Reguleringsdata 2018</t>
  </si>
  <si>
    <t>TI-berekening RNB E 2018</t>
  </si>
  <si>
    <t>https://www.acm.nl/nl/publicaties/berekening-totale-inkomsten-2018-regionaal-netbeheer-elektriciteit</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</si>
  <si>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</si>
  <si>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</si>
  <si>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https://www.acm.nl/nl/publicaties/publicatie/16351/X-factorberekening--bij-x-factorbesluiten-RNBs-elektriciteit-2017-2021</t>
  </si>
  <si>
    <t>berekening-totale-inkomsten-2018-regionaal-netbeheer-elektriciteit</t>
  </si>
  <si>
    <t>https://www.acm.nl/nl/publicaties/publicatie/16343/GAW-sheet-bij-x-factorbesluiten-RNBs-elektriciteit-2017-2021</t>
  </si>
  <si>
    <t>Concept-RNB Elektriciteit 2017-2021 GAW-sheet_Aanpassing nacalculatie LH 2018</t>
  </si>
  <si>
    <t>Vergoeding uit x-factorberekening per RNB</t>
  </si>
  <si>
    <t>SO o.b.v. Rekenvolumes</t>
  </si>
  <si>
    <t>Begininkomsten 2016  (exclusief correcties en inkoop transport )</t>
  </si>
  <si>
    <t>Berekening nacalculatie Faillissement Flexenergie B.V. 2018</t>
  </si>
  <si>
    <t xml:space="preserve">Als gevolg van het faillissement ontvangen de netbeheerders een vergoeding voor de gederfde inkomsten in de twee maanden voor de uitspraak van het faillissement. </t>
  </si>
  <si>
    <t>De te ontvangen vergoeding is inclusief heffingsrente. Op dit tabblad berekent de ACM het correctiebedrag gederfde inkomsten inclusief heffingsrente.</t>
  </si>
  <si>
    <t>Correctie faillissement Energieflex 2018</t>
  </si>
  <si>
    <t>Belastingen</t>
  </si>
  <si>
    <t>De opgegeven gederfde inkomsten zijn exclusief btw. Op dit tabblad verhoogt de ACM de gederfde inkomsten met de btw.</t>
  </si>
  <si>
    <t>Belasting toegevoegde waarde</t>
  </si>
  <si>
    <t>Btw</t>
  </si>
  <si>
    <t>Deze parameters betreffen achtereenvolgens de CPI, het rentepercentage tariefcorrecties en btw</t>
  </si>
  <si>
    <t>ja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</si>
</sst>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0.00_-;_-* #,##0.00\-;_-* &quot;-&quot;??_-;_-@_-"/>
    <numFmt numFmtId="166" formatCode="_ * #,##0_ ;_ * \-#,##0_ ;_ * &quot;-&quot;??_ ;_ @_ "/>
    <numFmt numFmtId="167" formatCode="0.0%"/>
    <numFmt numFmtId="168" formatCode="_(* #,##0_);_(* \(#,##0\);_(* &quot;-&quot;_);_(@_)"/>
    <numFmt numFmtId="169" formatCode="&quot;£ &quot;#,##0;\-&quot;£ &quot;#,##0"/>
    <numFmt numFmtId="170" formatCode="_ * #,##0.0_ ;_ * \-#,##0.0_ ;_ * &quot;-&quot;??_ ;_ @_ "/>
  </numFmts>
  <fonts count="53"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b/>
      <sz val="14"/>
      <color rgb="FFFF00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MS Sans Serif"/>
      <family val="2"/>
    </font>
    <font>
      <b/>
      <sz val="11"/>
      <color indexed="52"/>
      <name val="Calibri"/>
      <family val="2"/>
    </font>
    <font>
      <sz val="11"/>
      <color indexed="17"/>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10"/>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patternFill>
    </fill>
    <fill>
      <patternFill patternType="solid">
        <fgColor indexed="22"/>
      </patternFill>
    </fill>
    <fill>
      <patternFill patternType="solid">
        <fgColor indexed="43"/>
      </patternFill>
    </fill>
    <fill>
      <patternFill patternType="solid">
        <fgColor theme="0" tint="-0.14996795556505021"/>
        <bgColor indexed="64"/>
      </patternFill>
    </fill>
    <fill>
      <patternFill patternType="solid">
        <fgColor theme="0"/>
        <bgColor indexed="64"/>
      </patternFill>
    </fill>
    <fill>
      <patternFill patternType="solid">
        <fgColor rgb="FFE1FFE1"/>
        <bgColor indexed="64"/>
      </patternFill>
    </fill>
    <fill>
      <patternFill patternType="solid">
        <fgColor rgb="FF99FF99"/>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s>
  <cellStyleXfs count="134">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8" fillId="20" borderId="3" applyNumberFormat="0" applyAlignment="0" applyProtection="0"/>
    <xf numFmtId="0" fontId="19" fillId="21" borderId="4" applyNumberFormat="0" applyAlignment="0" applyProtection="0"/>
    <xf numFmtId="0" fontId="20" fillId="21" borderId="3" applyNumberFormat="0" applyAlignment="0" applyProtection="0"/>
    <xf numFmtId="0" fontId="21" fillId="0" borderId="5" applyNumberFormat="0" applyFill="0" applyAlignment="0" applyProtection="0"/>
    <xf numFmtId="0" fontId="15" fillId="22" borderId="6" applyNumberFormat="0" applyAlignment="0" applyProtection="0"/>
    <xf numFmtId="0" fontId="17" fillId="23" borderId="7" applyNumberFormat="0" applyFont="0" applyAlignment="0" applyProtection="0"/>
    <xf numFmtId="0" fontId="23"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7" fillId="0" borderId="9" applyNumberFormat="0" applyFill="0" applyAlignment="0" applyProtection="0"/>
    <xf numFmtId="0" fontId="28" fillId="0" borderId="10" applyNumberFormat="0" applyFill="0" applyAlignment="0" applyProtection="0"/>
    <xf numFmtId="0" fontId="28" fillId="0" borderId="0" applyNumberFormat="0" applyFill="0" applyBorder="0" applyAlignment="0" applyProtection="0"/>
    <xf numFmtId="0" fontId="16" fillId="0" borderId="0" applyNumberFormat="0" applyFill="0" applyBorder="0" applyAlignment="0" applyProtection="0"/>
    <xf numFmtId="0" fontId="29" fillId="0" borderId="0" applyNumberFormat="0" applyFill="0" applyBorder="0" applyAlignment="0" applyProtection="0"/>
    <xf numFmtId="0" fontId="30" fillId="0" borderId="11" applyNumberFormat="0" applyFill="0" applyAlignment="0" applyProtection="0"/>
    <xf numFmtId="0" fontId="3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1" fillId="44" borderId="0" applyNumberFormat="0" applyBorder="0" applyAlignment="0" applyProtection="0"/>
    <xf numFmtId="0" fontId="31"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1" fillId="48" borderId="0" applyNumberFormat="0" applyBorder="0" applyAlignment="0" applyProtection="0"/>
    <xf numFmtId="0" fontId="32" fillId="0" borderId="0" applyNumberFormat="0" applyFill="0" applyBorder="0" applyAlignment="0" applyProtection="0"/>
    <xf numFmtId="0" fontId="33" fillId="0" borderId="0"/>
    <xf numFmtId="0" fontId="34" fillId="50" borderId="12" applyNumberFormat="0" applyAlignment="0" applyProtection="0"/>
    <xf numFmtId="0" fontId="35" fillId="49" borderId="0" applyNumberFormat="0" applyBorder="0" applyAlignment="0" applyProtection="0"/>
    <xf numFmtId="0" fontId="36" fillId="0" borderId="13" applyNumberFormat="0" applyFill="0" applyAlignment="0" applyProtection="0"/>
    <xf numFmtId="0" fontId="37" fillId="51" borderId="0" applyNumberFormat="0" applyBorder="0" applyAlignment="0" applyProtection="0"/>
    <xf numFmtId="0" fontId="38" fillId="0" borderId="0" applyNumberFormat="0" applyFill="0" applyBorder="0" applyAlignment="0" applyProtection="0"/>
    <xf numFmtId="0" fontId="39" fillId="0" borderId="14" applyNumberFormat="0" applyFill="0" applyAlignment="0" applyProtection="0"/>
    <xf numFmtId="0" fontId="40" fillId="0" borderId="0" applyNumberFormat="0" applyFill="0" applyBorder="0" applyAlignment="0" applyProtection="0"/>
    <xf numFmtId="49" fontId="24" fillId="0" borderId="0" applyFill="0" applyBorder="0" applyAlignment="0" applyProtection="0"/>
    <xf numFmtId="43" fontId="17" fillId="0" borderId="0" applyFont="0" applyFill="0" applyBorder="0" applyAlignment="0" applyProtection="0"/>
    <xf numFmtId="10" fontId="7" fillId="0" borderId="0" applyFont="0" applyFill="0" applyBorder="0" applyAlignment="0" applyProtection="0">
      <alignment vertical="top"/>
    </xf>
    <xf numFmtId="49" fontId="10" fillId="5" borderId="1">
      <alignment vertical="top"/>
    </xf>
    <xf numFmtId="49" fontId="8" fillId="24" borderId="1">
      <alignment vertical="top"/>
    </xf>
    <xf numFmtId="165" fontId="7" fillId="0" borderId="0" applyFont="0" applyFill="0" applyBorder="0" applyAlignment="0" applyProtection="0"/>
    <xf numFmtId="0" fontId="7" fillId="0" borderId="0">
      <alignment vertical="top"/>
    </xf>
    <xf numFmtId="43" fontId="17" fillId="0" borderId="0" applyFont="0" applyFill="0" applyBorder="0" applyAlignment="0" applyProtection="0"/>
    <xf numFmtId="9" fontId="17" fillId="0" borderId="0" applyFont="0" applyFill="0" applyBorder="0" applyAlignment="0" applyProtection="0"/>
    <xf numFmtId="0" fontId="41" fillId="0" borderId="0">
      <alignment vertical="top"/>
    </xf>
    <xf numFmtId="0" fontId="41"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41" fillId="0" borderId="0">
      <alignment vertical="top"/>
    </xf>
    <xf numFmtId="168" fontId="7" fillId="0" borderId="0" applyFont="0" applyFill="0" applyBorder="0" applyAlignment="0" applyProtection="0"/>
    <xf numFmtId="169" fontId="7" fillId="0" borderId="0"/>
    <xf numFmtId="0" fontId="2"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43" fontId="7" fillId="18" borderId="0">
      <alignment vertical="top"/>
    </xf>
    <xf numFmtId="43" fontId="7" fillId="9" borderId="0">
      <alignment vertical="top"/>
    </xf>
    <xf numFmtId="43" fontId="7" fillId="52" borderId="0" applyNumberFormat="0">
      <alignment vertical="top"/>
    </xf>
    <xf numFmtId="43" fontId="7" fillId="55" borderId="0">
      <alignment vertical="top"/>
    </xf>
    <xf numFmtId="43" fontId="7" fillId="14" borderId="0">
      <alignment vertical="top"/>
    </xf>
    <xf numFmtId="43" fontId="7" fillId="16" borderId="0">
      <alignment vertical="top"/>
    </xf>
    <xf numFmtId="43" fontId="7" fillId="17" borderId="0">
      <alignment vertical="top"/>
    </xf>
    <xf numFmtId="49" fontId="11" fillId="0" borderId="0">
      <alignment vertical="top"/>
    </xf>
    <xf numFmtId="49" fontId="8" fillId="0" borderId="0">
      <alignment vertical="top"/>
    </xf>
    <xf numFmtId="0" fontId="7" fillId="0" borderId="0"/>
    <xf numFmtId="43" fontId="7" fillId="54" borderId="0">
      <alignment vertical="top"/>
    </xf>
    <xf numFmtId="0" fontId="7" fillId="0" borderId="0"/>
    <xf numFmtId="0" fontId="7" fillId="0" borderId="0"/>
    <xf numFmtId="0" fontId="7" fillId="0" borderId="0"/>
    <xf numFmtId="49" fontId="12" fillId="0" borderId="0">
      <alignment vertical="top"/>
    </xf>
    <xf numFmtId="9" fontId="17" fillId="0" borderId="0" applyFont="0" applyFill="0" applyBorder="0" applyAlignment="0" applyProtection="0"/>
    <xf numFmtId="0" fontId="7" fillId="0" borderId="0"/>
    <xf numFmtId="43" fontId="17" fillId="0" borderId="0" applyFont="0" applyFill="0" applyBorder="0" applyAlignment="0" applyProtection="0"/>
    <xf numFmtId="0" fontId="42" fillId="0" borderId="8"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5" fillId="3" borderId="0" applyNumberFormat="0" applyBorder="0" applyAlignment="0" applyProtection="0"/>
    <xf numFmtId="0" fontId="45" fillId="20" borderId="3" applyNumberFormat="0" applyAlignment="0" applyProtection="0"/>
    <xf numFmtId="0" fontId="46" fillId="21" borderId="4" applyNumberFormat="0" applyAlignment="0" applyProtection="0"/>
    <xf numFmtId="0" fontId="47" fillId="22" borderId="6" applyNumberFormat="0" applyAlignment="0" applyProtection="0"/>
    <xf numFmtId="0" fontId="48" fillId="0" borderId="0" applyNumberFormat="0" applyFill="0" applyBorder="0" applyAlignment="0" applyProtection="0"/>
    <xf numFmtId="0" fontId="49"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17" fillId="34" borderId="0" applyNumberFormat="0" applyBorder="0" applyAlignment="0" applyProtection="0"/>
    <xf numFmtId="0" fontId="17" fillId="35" borderId="0" applyNumberFormat="0" applyBorder="0" applyAlignment="0" applyProtection="0"/>
    <xf numFmtId="0" fontId="49" fillId="36" borderId="0" applyNumberFormat="0" applyBorder="0" applyAlignment="0" applyProtection="0"/>
    <xf numFmtId="0" fontId="49"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49" fillId="40" borderId="0" applyNumberFormat="0" applyBorder="0" applyAlignment="0" applyProtection="0"/>
    <xf numFmtId="0" fontId="49"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49" fillId="44" borderId="0" applyNumberFormat="0" applyBorder="0" applyAlignment="0" applyProtection="0"/>
    <xf numFmtId="0" fontId="49"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49" fillId="48" borderId="0" applyNumberFormat="0" applyBorder="0" applyAlignment="0" applyProtection="0"/>
    <xf numFmtId="0" fontId="23" fillId="0" borderId="0" applyNumberFormat="0" applyFill="0" applyBorder="0" applyAlignment="0" applyProtection="0"/>
    <xf numFmtId="0" fontId="1" fillId="0" borderId="0"/>
    <xf numFmtId="9" fontId="1" fillId="0" borderId="0" applyFont="0" applyFill="0" applyBorder="0" applyAlignment="0" applyProtection="0"/>
    <xf numFmtId="43" fontId="7" fillId="54" borderId="0">
      <alignment vertical="top"/>
    </xf>
    <xf numFmtId="166" fontId="7" fillId="8" borderId="0"/>
    <xf numFmtId="0" fontId="23" fillId="0" borderId="0" applyNumberFormat="0" applyFill="0" applyBorder="0" applyAlignment="0" applyProtection="0"/>
  </cellStyleXfs>
  <cellXfs count="134">
    <xf numFmtId="0" fontId="0" fillId="0" borderId="0" xfId="0">
      <alignment vertical="top"/>
    </xf>
    <xf numFmtId="2" fontId="7" fillId="15" borderId="0" xfId="63" applyNumberFormat="1" applyFill="1">
      <alignment vertical="top"/>
    </xf>
    <xf numFmtId="0" fontId="7" fillId="11" borderId="0" xfId="63" applyFill="1">
      <alignment vertical="top"/>
    </xf>
    <xf numFmtId="0" fontId="7" fillId="13" borderId="0" xfId="63" applyFill="1">
      <alignment vertical="top"/>
    </xf>
    <xf numFmtId="0" fontId="7" fillId="10" borderId="0" xfId="63" applyFill="1">
      <alignment vertical="top"/>
    </xf>
    <xf numFmtId="0" fontId="7" fillId="0" borderId="0" xfId="63">
      <alignment vertical="top"/>
    </xf>
    <xf numFmtId="0" fontId="7" fillId="0" borderId="0" xfId="49" applyFont="1" applyFill="1" applyBorder="1"/>
    <xf numFmtId="164" fontId="7" fillId="16" borderId="0" xfId="58" applyNumberFormat="1" applyFont="1" applyFill="1"/>
    <xf numFmtId="0" fontId="7" fillId="12" borderId="0" xfId="63" applyFill="1">
      <alignment vertical="top"/>
    </xf>
    <xf numFmtId="0" fontId="7" fillId="0" borderId="2" xfId="63" applyFont="1" applyBorder="1" applyAlignment="1">
      <alignment horizontal="left" vertical="top" wrapText="1"/>
    </xf>
    <xf numFmtId="167" fontId="7" fillId="18" borderId="0" xfId="59" applyNumberFormat="1" applyFont="1" applyFill="1" applyAlignment="1">
      <alignment vertical="top"/>
    </xf>
    <xf numFmtId="0" fontId="7" fillId="0" borderId="2" xfId="63" applyFont="1" applyBorder="1">
      <alignment vertical="top"/>
    </xf>
    <xf numFmtId="0" fontId="14" fillId="0" borderId="0" xfId="63" applyFont="1" applyFill="1">
      <alignment vertical="top"/>
    </xf>
    <xf numFmtId="0" fontId="7" fillId="0" borderId="2" xfId="63" applyFont="1" applyBorder="1" applyAlignment="1">
      <alignment vertical="top" wrapText="1"/>
    </xf>
    <xf numFmtId="164" fontId="7" fillId="0" borderId="0" xfId="58" applyNumberFormat="1" applyFont="1" applyFill="1" applyBorder="1"/>
    <xf numFmtId="0" fontId="16" fillId="0" borderId="0" xfId="63" applyFont="1">
      <alignment vertical="top"/>
    </xf>
    <xf numFmtId="0" fontId="10" fillId="5" borderId="1" xfId="60" applyNumberFormat="1">
      <alignment vertical="top"/>
    </xf>
    <xf numFmtId="0" fontId="7" fillId="0" borderId="2" xfId="63" applyBorder="1">
      <alignment vertical="top"/>
    </xf>
    <xf numFmtId="49" fontId="7" fillId="24" borderId="2" xfId="61" applyFont="1" applyBorder="1">
      <alignment vertical="top"/>
    </xf>
    <xf numFmtId="0" fontId="11" fillId="0" borderId="0" xfId="63" applyFont="1">
      <alignment vertical="top"/>
    </xf>
    <xf numFmtId="49" fontId="7" fillId="24" borderId="0" xfId="61" applyFont="1" applyBorder="1">
      <alignment vertical="top"/>
    </xf>
    <xf numFmtId="0" fontId="7" fillId="19" borderId="0" xfId="63" applyFill="1">
      <alignment vertical="top"/>
    </xf>
    <xf numFmtId="0" fontId="7" fillId="10" borderId="0" xfId="63" applyFont="1" applyFill="1">
      <alignment vertical="top"/>
    </xf>
    <xf numFmtId="0" fontId="7" fillId="0" borderId="2" xfId="63" applyBorder="1" applyAlignment="1">
      <alignment horizontal="left" vertical="top" wrapText="1"/>
    </xf>
    <xf numFmtId="0" fontId="12" fillId="0" borderId="0" xfId="63" applyFont="1" applyFill="1">
      <alignment vertical="top"/>
    </xf>
    <xf numFmtId="0" fontId="10" fillId="6" borderId="1" xfId="63" applyFont="1" applyFill="1" applyBorder="1">
      <alignment vertical="top"/>
    </xf>
    <xf numFmtId="0" fontId="9" fillId="5" borderId="1" xfId="63" applyFont="1" applyFill="1" applyBorder="1">
      <alignment vertical="top"/>
    </xf>
    <xf numFmtId="1" fontId="11" fillId="0" borderId="0" xfId="63" applyNumberFormat="1" applyFont="1" applyFill="1">
      <alignment vertical="top"/>
    </xf>
    <xf numFmtId="165" fontId="7" fillId="0" borderId="0" xfId="58" applyNumberFormat="1" applyFont="1" applyFill="1"/>
    <xf numFmtId="49" fontId="24" fillId="0" borderId="2" xfId="57" applyBorder="1" applyAlignment="1">
      <alignment vertical="top" wrapText="1"/>
    </xf>
    <xf numFmtId="0" fontId="7" fillId="0" borderId="2" xfId="63" applyBorder="1" applyAlignment="1">
      <alignment vertical="top" wrapText="1"/>
    </xf>
    <xf numFmtId="0" fontId="15" fillId="6" borderId="1" xfId="63" applyFont="1" applyFill="1" applyBorder="1">
      <alignment vertical="top"/>
    </xf>
    <xf numFmtId="0" fontId="7" fillId="12" borderId="0" xfId="63" applyFont="1" applyFill="1">
      <alignment vertical="top"/>
    </xf>
    <xf numFmtId="0" fontId="7" fillId="13" borderId="0" xfId="63" applyFont="1" applyFill="1">
      <alignment vertical="top"/>
    </xf>
    <xf numFmtId="0" fontId="12" fillId="0" borderId="0" xfId="63" applyFont="1">
      <alignment vertical="top"/>
    </xf>
    <xf numFmtId="0" fontId="8" fillId="0" borderId="0" xfId="63" applyFont="1">
      <alignment vertical="top"/>
    </xf>
    <xf numFmtId="0" fontId="9" fillId="6" borderId="1" xfId="63" applyFont="1" applyFill="1" applyBorder="1">
      <alignment vertical="top"/>
    </xf>
    <xf numFmtId="0" fontId="7" fillId="0" borderId="0" xfId="63" applyFont="1">
      <alignment vertical="top"/>
    </xf>
    <xf numFmtId="0" fontId="7" fillId="0" borderId="0" xfId="63" applyFill="1">
      <alignment vertical="top"/>
    </xf>
    <xf numFmtId="0" fontId="0" fillId="0" borderId="0" xfId="0">
      <alignment vertical="top"/>
    </xf>
    <xf numFmtId="0" fontId="7" fillId="0" borderId="0" xfId="63" applyFont="1" applyFill="1" applyBorder="1" applyAlignment="1">
      <alignment horizontal="left" vertical="top" wrapText="1"/>
    </xf>
    <xf numFmtId="0" fontId="22" fillId="6" borderId="1" xfId="63" applyFont="1" applyFill="1" applyBorder="1">
      <alignment vertical="top"/>
    </xf>
    <xf numFmtId="0" fontId="10" fillId="5" borderId="1" xfId="63" applyFont="1" applyFill="1" applyBorder="1">
      <alignment vertical="top"/>
    </xf>
    <xf numFmtId="49" fontId="8" fillId="24" borderId="1" xfId="61">
      <alignment vertical="top"/>
    </xf>
    <xf numFmtId="0" fontId="11" fillId="0" borderId="0" xfId="63" applyFont="1" applyFill="1">
      <alignment vertical="top"/>
    </xf>
    <xf numFmtId="0" fontId="7" fillId="8" borderId="0" xfId="63" applyFill="1">
      <alignment vertical="top"/>
    </xf>
    <xf numFmtId="1" fontId="7" fillId="0" borderId="0" xfId="63" applyNumberFormat="1" applyFill="1">
      <alignment vertical="top"/>
    </xf>
    <xf numFmtId="43" fontId="14" fillId="0" borderId="0" xfId="94" applyFont="1" applyFill="1" applyAlignment="1">
      <alignment vertical="top"/>
    </xf>
    <xf numFmtId="43" fontId="7" fillId="54" borderId="2" xfId="87" applyFill="1" applyBorder="1" applyAlignment="1">
      <alignment horizontal="left" vertical="top" indent="1"/>
    </xf>
    <xf numFmtId="43" fontId="7" fillId="8" borderId="0" xfId="94" applyNumberFormat="1" applyFont="1" applyFill="1"/>
    <xf numFmtId="166" fontId="7" fillId="16" borderId="0" xfId="82" applyNumberFormat="1">
      <alignment vertical="top"/>
    </xf>
    <xf numFmtId="166" fontId="3" fillId="53" borderId="0" xfId="94" applyNumberFormat="1" applyFont="1" applyFill="1"/>
    <xf numFmtId="10" fontId="7" fillId="0" borderId="0" xfId="59" applyNumberFormat="1" applyFont="1" applyFill="1" applyAlignment="1">
      <alignment vertical="top"/>
    </xf>
    <xf numFmtId="43" fontId="7" fillId="0" borderId="0" xfId="94" applyNumberFormat="1" applyFont="1" applyFill="1"/>
    <xf numFmtId="10" fontId="3" fillId="0" borderId="0" xfId="59" applyNumberFormat="1" applyFont="1" applyFill="1" applyAlignment="1"/>
    <xf numFmtId="10" fontId="7" fillId="53" borderId="0" xfId="59" applyNumberFormat="1" applyFont="1" applyFill="1" applyAlignment="1">
      <alignment vertical="top"/>
    </xf>
    <xf numFmtId="166" fontId="7" fillId="53" borderId="0" xfId="94" applyNumberFormat="1" applyFont="1" applyFill="1" applyAlignment="1">
      <alignment vertical="top"/>
    </xf>
    <xf numFmtId="43" fontId="7" fillId="53" borderId="0" xfId="94" applyNumberFormat="1" applyFont="1" applyFill="1"/>
    <xf numFmtId="49" fontId="8" fillId="24" borderId="1" xfId="61" applyFont="1">
      <alignment vertical="top"/>
    </xf>
    <xf numFmtId="166" fontId="8" fillId="24" borderId="1" xfId="94" applyNumberFormat="1" applyFont="1" applyFill="1" applyBorder="1" applyAlignment="1">
      <alignment vertical="top"/>
    </xf>
    <xf numFmtId="166" fontId="10" fillId="5" borderId="1" xfId="94" applyNumberFormat="1" applyFont="1" applyFill="1" applyBorder="1" applyAlignment="1">
      <alignment vertical="top"/>
    </xf>
    <xf numFmtId="166" fontId="7" fillId="0" borderId="0" xfId="63" applyNumberFormat="1">
      <alignment vertical="top"/>
    </xf>
    <xf numFmtId="10" fontId="7" fillId="16" borderId="0" xfId="59" applyNumberFormat="1" applyFont="1" applyFill="1" applyAlignment="1"/>
    <xf numFmtId="166" fontId="7" fillId="17" borderId="0" xfId="83" applyNumberFormat="1">
      <alignment vertical="top"/>
    </xf>
    <xf numFmtId="0" fontId="3" fillId="0" borderId="0" xfId="88" applyFont="1"/>
    <xf numFmtId="167" fontId="7" fillId="14" borderId="0" xfId="59" applyNumberFormat="1" applyFont="1" applyFill="1" applyAlignment="1">
      <alignment vertical="top"/>
    </xf>
    <xf numFmtId="167" fontId="7" fillId="16" borderId="0" xfId="59" applyNumberFormat="1" applyFont="1" applyFill="1" applyAlignment="1">
      <alignment vertical="top"/>
    </xf>
    <xf numFmtId="0" fontId="7" fillId="0" borderId="0" xfId="63" applyAlignment="1">
      <alignment horizontal="left" vertical="top"/>
    </xf>
    <xf numFmtId="49" fontId="7" fillId="0" borderId="0" xfId="63" applyNumberFormat="1">
      <alignment vertical="top"/>
    </xf>
    <xf numFmtId="0" fontId="8" fillId="24" borderId="1" xfId="61" applyNumberFormat="1">
      <alignment vertical="top"/>
    </xf>
    <xf numFmtId="2" fontId="7" fillId="0" borderId="0" xfId="63" applyNumberFormat="1">
      <alignment vertical="top"/>
    </xf>
    <xf numFmtId="43" fontId="7" fillId="55" borderId="0" xfId="80">
      <alignment vertical="top"/>
    </xf>
    <xf numFmtId="49" fontId="7" fillId="0" borderId="0" xfId="84" applyFont="1">
      <alignment vertical="top"/>
    </xf>
    <xf numFmtId="0" fontId="7" fillId="0" borderId="0" xfId="63" applyFont="1" applyFill="1">
      <alignment vertical="top"/>
    </xf>
    <xf numFmtId="49" fontId="7" fillId="0" borderId="0" xfId="85" applyFont="1">
      <alignment vertical="top"/>
    </xf>
    <xf numFmtId="3" fontId="7" fillId="0" borderId="0" xfId="63" applyNumberFormat="1">
      <alignment vertical="top"/>
    </xf>
    <xf numFmtId="3" fontId="7" fillId="16" borderId="0" xfId="63" applyNumberFormat="1" applyFill="1">
      <alignment vertical="top"/>
    </xf>
    <xf numFmtId="166" fontId="7" fillId="0" borderId="0" xfId="94" applyNumberFormat="1" applyFont="1" applyAlignment="1">
      <alignment vertical="top"/>
    </xf>
    <xf numFmtId="0" fontId="7" fillId="0" borderId="0" xfId="86" applyFont="1"/>
    <xf numFmtId="0" fontId="7" fillId="0" borderId="0" xfId="86" applyFont="1" applyFill="1"/>
    <xf numFmtId="166" fontId="7" fillId="54" borderId="0" xfId="87" applyNumberFormat="1" applyAlignment="1">
      <alignment vertical="top" wrapText="1"/>
    </xf>
    <xf numFmtId="0" fontId="8" fillId="0" borderId="0" xfId="89" applyFont="1" applyFill="1"/>
    <xf numFmtId="166" fontId="7" fillId="54" borderId="0" xfId="87" applyNumberFormat="1">
      <alignment vertical="top"/>
    </xf>
    <xf numFmtId="0" fontId="7" fillId="0" borderId="0" xfId="88" applyFont="1"/>
    <xf numFmtId="0" fontId="11" fillId="0" borderId="0" xfId="89" applyFont="1"/>
    <xf numFmtId="0" fontId="8" fillId="0" borderId="0" xfId="89" applyFont="1"/>
    <xf numFmtId="0" fontId="7" fillId="0" borderId="0" xfId="89" applyFont="1" applyFill="1"/>
    <xf numFmtId="0" fontId="7" fillId="0" borderId="0" xfId="93" applyFont="1" applyFill="1"/>
    <xf numFmtId="10" fontId="7" fillId="9" borderId="0" xfId="59" applyNumberFormat="1" applyFont="1" applyFill="1" applyAlignment="1">
      <alignment vertical="top"/>
    </xf>
    <xf numFmtId="10" fontId="7" fillId="7" borderId="0" xfId="92" applyNumberFormat="1" applyFont="1" applyFill="1" applyAlignment="1">
      <alignment vertical="top"/>
    </xf>
    <xf numFmtId="0" fontId="7" fillId="0" borderId="0" xfId="90" applyFont="1"/>
    <xf numFmtId="49" fontId="12" fillId="0" borderId="0" xfId="91">
      <alignment vertical="top"/>
    </xf>
    <xf numFmtId="167" fontId="7" fillId="7" borderId="0" xfId="92" applyNumberFormat="1" applyFont="1" applyFill="1" applyAlignment="1">
      <alignment vertical="top"/>
    </xf>
    <xf numFmtId="0" fontId="7" fillId="0" borderId="0" xfId="93" applyFont="1"/>
    <xf numFmtId="0" fontId="7" fillId="0" borderId="0" xfId="93"/>
    <xf numFmtId="10" fontId="7" fillId="7" borderId="0" xfId="59" applyNumberFormat="1" applyFont="1" applyFill="1" applyAlignment="1">
      <alignment vertical="top"/>
    </xf>
    <xf numFmtId="166" fontId="7" fillId="0" borderId="0" xfId="58" applyNumberFormat="1" applyFont="1" applyFill="1" applyBorder="1"/>
    <xf numFmtId="1" fontId="7" fillId="14" borderId="0" xfId="63" applyNumberFormat="1" applyFill="1">
      <alignment vertical="top"/>
    </xf>
    <xf numFmtId="0" fontId="0" fillId="19" borderId="0" xfId="0" applyFill="1">
      <alignment vertical="top"/>
    </xf>
    <xf numFmtId="0" fontId="3" fillId="0" borderId="0" xfId="0" applyFont="1">
      <alignment vertical="top"/>
    </xf>
    <xf numFmtId="0" fontId="7" fillId="0" borderId="0" xfId="0" applyNumberFormat="1" applyFont="1" applyFill="1" applyBorder="1" applyAlignment="1">
      <alignment vertical="top"/>
    </xf>
    <xf numFmtId="10" fontId="3" fillId="0" borderId="0" xfId="0" applyNumberFormat="1" applyFont="1" applyFill="1">
      <alignment vertical="top"/>
    </xf>
    <xf numFmtId="0" fontId="3" fillId="53" borderId="0" xfId="0" applyFont="1" applyFill="1">
      <alignment vertical="top"/>
    </xf>
    <xf numFmtId="0" fontId="7" fillId="0" borderId="0" xfId="0" applyNumberFormat="1" applyFont="1">
      <alignment vertical="top"/>
    </xf>
    <xf numFmtId="0" fontId="50" fillId="0" borderId="0" xfId="0" applyFont="1" applyFill="1" applyBorder="1">
      <alignment vertical="top"/>
    </xf>
    <xf numFmtId="0" fontId="51" fillId="0" borderId="0" xfId="0" applyFont="1" applyFill="1" applyBorder="1">
      <alignment vertical="top"/>
    </xf>
    <xf numFmtId="0" fontId="16" fillId="0" borderId="0" xfId="0" applyFont="1" applyFill="1">
      <alignment vertical="top"/>
    </xf>
    <xf numFmtId="0" fontId="3" fillId="0" borderId="0" xfId="0" applyFont="1" applyFill="1">
      <alignment vertical="top"/>
    </xf>
    <xf numFmtId="0" fontId="3" fillId="0" borderId="0" xfId="0" applyFont="1" applyBorder="1">
      <alignment vertical="top"/>
    </xf>
    <xf numFmtId="0" fontId="7" fillId="0" borderId="0" xfId="0" applyFont="1" applyBorder="1">
      <alignment vertical="top"/>
    </xf>
    <xf numFmtId="0" fontId="52" fillId="0" borderId="0" xfId="0" applyFont="1">
      <alignment vertical="top"/>
    </xf>
    <xf numFmtId="0" fontId="0" fillId="0" borderId="0" xfId="0" applyFill="1">
      <alignment vertical="top"/>
    </xf>
    <xf numFmtId="0" fontId="7" fillId="0" borderId="0" xfId="0" applyFont="1" applyFill="1">
      <alignment vertical="top"/>
    </xf>
    <xf numFmtId="0" fontId="7" fillId="0" borderId="0" xfId="0" applyFont="1">
      <alignment vertical="top"/>
    </xf>
    <xf numFmtId="43" fontId="7" fillId="54" borderId="0" xfId="87">
      <alignment vertical="top"/>
    </xf>
    <xf numFmtId="170" fontId="7" fillId="54" borderId="0" xfId="87" applyNumberFormat="1">
      <alignment vertical="top"/>
    </xf>
    <xf numFmtId="43" fontId="7" fillId="54" borderId="0" xfId="87" applyNumberFormat="1">
      <alignment vertical="top"/>
    </xf>
    <xf numFmtId="43" fontId="7" fillId="14" borderId="0" xfId="81">
      <alignment vertical="top"/>
    </xf>
    <xf numFmtId="10" fontId="7" fillId="54" borderId="0" xfId="59" applyFill="1">
      <alignment vertical="top"/>
    </xf>
    <xf numFmtId="43" fontId="7" fillId="18" borderId="0" xfId="77">
      <alignment vertical="top"/>
    </xf>
    <xf numFmtId="166" fontId="7" fillId="18" borderId="0" xfId="77" applyNumberFormat="1">
      <alignment vertical="top"/>
    </xf>
    <xf numFmtId="10" fontId="7" fillId="18" borderId="0" xfId="59" applyFill="1">
      <alignment vertical="top"/>
    </xf>
    <xf numFmtId="167" fontId="7" fillId="18" borderId="0" xfId="59" applyNumberFormat="1" applyFill="1">
      <alignment vertical="top"/>
    </xf>
    <xf numFmtId="0" fontId="7" fillId="0" borderId="2" xfId="63" applyFill="1" applyBorder="1" applyAlignment="1">
      <alignment vertical="top" wrapText="1"/>
    </xf>
    <xf numFmtId="49" fontId="8" fillId="0" borderId="0" xfId="85">
      <alignment vertical="top"/>
    </xf>
    <xf numFmtId="0" fontId="1" fillId="0" borderId="0" xfId="129"/>
    <xf numFmtId="0" fontId="7" fillId="0" borderId="0" xfId="129" applyFont="1" applyFill="1"/>
    <xf numFmtId="0" fontId="3" fillId="0" borderId="0" xfId="129" applyFont="1" applyFill="1"/>
    <xf numFmtId="10" fontId="3" fillId="0" borderId="0" xfId="129" applyNumberFormat="1" applyFont="1" applyFill="1"/>
    <xf numFmtId="167" fontId="7" fillId="18" borderId="0" xfId="130" applyNumberFormat="1" applyFont="1" applyFill="1" applyAlignment="1">
      <alignment vertical="top"/>
    </xf>
    <xf numFmtId="166" fontId="7" fillId="0" borderId="0" xfId="82" applyNumberFormat="1" applyFill="1">
      <alignment vertical="top"/>
    </xf>
    <xf numFmtId="10" fontId="0" fillId="0" borderId="0" xfId="129" applyNumberFormat="1" applyFont="1" applyFill="1"/>
    <xf numFmtId="9" fontId="7" fillId="7" borderId="0" xfId="92" applyNumberFormat="1" applyFont="1" applyFill="1" applyAlignment="1">
      <alignment vertical="top"/>
    </xf>
    <xf numFmtId="9" fontId="7" fillId="18" borderId="0" xfId="130" applyNumberFormat="1" applyFont="1" applyFill="1" applyAlignment="1">
      <alignment vertical="top"/>
    </xf>
  </cellXfs>
  <cellStyles count="134">
    <cellStyle name=" 1" xfId="69"/>
    <cellStyle name=" 2" xfId="68"/>
    <cellStyle name=" 3" xfId="71"/>
    <cellStyle name=" 4" xfId="70"/>
    <cellStyle name=" 5" xfId="67"/>
    <cellStyle name=" 6" xfId="66"/>
    <cellStyle name="_x000d__x000a_JournalTemplate=C:\COMFO\CTALK\JOURSTD.TPL_x000d__x000a_LbStateAddress=3 3 0 251 1 89 2 311_x000d__x000a_LbStateJou 2" xfId="89"/>
    <cellStyle name="_kop1 Bladtitel" xfId="60"/>
    <cellStyle name="_kop2 Bloktitel" xfId="61"/>
    <cellStyle name="_kop3 Subkop" xfId="85"/>
    <cellStyle name="20% - Accent1" xfId="25" builtinId="30" hidden="1"/>
    <cellStyle name="20% - Accent1" xfId="105" builtinId="30" hidden="1" customBuiltin="1"/>
    <cellStyle name="20% - Accent2" xfId="29" builtinId="34" hidden="1"/>
    <cellStyle name="20% - Accent2" xfId="109" builtinId="34" hidden="1" customBuiltin="1"/>
    <cellStyle name="20% - Accent3" xfId="33" builtinId="38" hidden="1"/>
    <cellStyle name="20% - Accent3" xfId="113" builtinId="38" hidden="1" customBuiltin="1"/>
    <cellStyle name="20% - Accent4" xfId="37" builtinId="42" hidden="1"/>
    <cellStyle name="20% - Accent4" xfId="117" builtinId="42" hidden="1" customBuiltin="1"/>
    <cellStyle name="20% - Accent5" xfId="41" builtinId="46" hidden="1"/>
    <cellStyle name="20% - Accent5" xfId="121" builtinId="46" hidden="1" customBuiltin="1"/>
    <cellStyle name="20% - Accent6" xfId="45" builtinId="50" hidden="1"/>
    <cellStyle name="20% - Accent6" xfId="125" builtinId="50" hidden="1" customBuiltin="1"/>
    <cellStyle name="40% - Accent1" xfId="26" builtinId="31" hidden="1"/>
    <cellStyle name="40% - Accent1" xfId="106" builtinId="31" hidden="1" customBuiltin="1"/>
    <cellStyle name="40% - Accent2" xfId="30" builtinId="35" hidden="1"/>
    <cellStyle name="40% - Accent2" xfId="110" builtinId="35" hidden="1" customBuiltin="1"/>
    <cellStyle name="40% - Accent3" xfId="34" builtinId="39" hidden="1"/>
    <cellStyle name="40% - Accent3" xfId="114" builtinId="39" hidden="1" customBuiltin="1"/>
    <cellStyle name="40% - Accent4" xfId="38" builtinId="43" hidden="1"/>
    <cellStyle name="40% - Accent4" xfId="118" builtinId="43" hidden="1" customBuiltin="1"/>
    <cellStyle name="40% - Accent5" xfId="42" builtinId="47" hidden="1"/>
    <cellStyle name="40% - Accent5" xfId="122" builtinId="47" hidden="1" customBuiltin="1"/>
    <cellStyle name="40% - Accent6" xfId="46" builtinId="51" hidden="1"/>
    <cellStyle name="40% - Accent6" xfId="126" builtinId="51" hidden="1" customBuiltin="1"/>
    <cellStyle name="60% - Accent1" xfId="27" builtinId="32" hidden="1"/>
    <cellStyle name="60% - Accent1" xfId="107" builtinId="32" hidden="1" customBuiltin="1"/>
    <cellStyle name="60% - Accent2" xfId="31" builtinId="36" hidden="1"/>
    <cellStyle name="60% - Accent2" xfId="111" builtinId="36" hidden="1" customBuiltin="1"/>
    <cellStyle name="60% - Accent3" xfId="35" builtinId="40" hidden="1"/>
    <cellStyle name="60% - Accent3" xfId="115" builtinId="40" hidden="1" customBuiltin="1"/>
    <cellStyle name="60% - Accent4" xfId="39" builtinId="44" hidden="1"/>
    <cellStyle name="60% - Accent4" xfId="119" builtinId="44" hidden="1" customBuiltin="1"/>
    <cellStyle name="60% - Accent5" xfId="43" builtinId="48" hidden="1"/>
    <cellStyle name="60% - Accent5" xfId="123" builtinId="48" hidden="1" customBuiltin="1"/>
    <cellStyle name="60% - Accent6" xfId="47" builtinId="52" hidden="1"/>
    <cellStyle name="60% - Accent6" xfId="127" builtinId="52" hidden="1" customBuiltin="1"/>
    <cellStyle name="Accent1" xfId="24" builtinId="29" hidden="1"/>
    <cellStyle name="Accent1" xfId="104" builtinId="29" hidden="1" customBuiltin="1"/>
    <cellStyle name="Accent2" xfId="28" builtinId="33" hidden="1"/>
    <cellStyle name="Accent2" xfId="108" builtinId="33" hidden="1" customBuiltin="1"/>
    <cellStyle name="Accent3" xfId="32" builtinId="37" hidden="1"/>
    <cellStyle name="Accent3" xfId="112" builtinId="37" hidden="1" customBuiltin="1"/>
    <cellStyle name="Accent4" xfId="36" builtinId="41" hidden="1"/>
    <cellStyle name="Accent4" xfId="116" builtinId="41" hidden="1" customBuiltin="1"/>
    <cellStyle name="Accent5" xfId="40" builtinId="45" hidden="1"/>
    <cellStyle name="Accent5" xfId="120" builtinId="45" hidden="1" customBuiltin="1"/>
    <cellStyle name="Accent6" xfId="44" builtinId="49" hidden="1"/>
    <cellStyle name="Accent6" xfId="124" builtinId="49" hidden="1" customBuiltin="1"/>
    <cellStyle name="Bad" xfId="2" hidden="1"/>
    <cellStyle name="Berekening" xfId="6" builtinId="22" hidden="1"/>
    <cellStyle name="Berekening" xfId="50" builtinId="22" hidden="1" customBuiltin="1"/>
    <cellStyle name="Cel (tussen)resultaat" xfId="83"/>
    <cellStyle name="Cel Berekening" xfId="82"/>
    <cellStyle name="Cel Bijzonderheid" xfId="81"/>
    <cellStyle name="Cel Input" xfId="87"/>
    <cellStyle name="Cel Input 2" xfId="131"/>
    <cellStyle name="Cel Input Data" xfId="80"/>
    <cellStyle name="Cel n.v.t. (leeg)" xfId="79"/>
    <cellStyle name="Cel PM extern" xfId="78"/>
    <cellStyle name="Cel Verwijzing" xfId="77"/>
    <cellStyle name="Check Cell" xfId="8" hidden="1"/>
    <cellStyle name="Controlecel" xfId="102" builtinId="23" hidden="1" customBuiltin="1"/>
    <cellStyle name="D_Lanvin BP Roth croissance 03 en 04 " xfId="72"/>
    <cellStyle name="Explanatory Text" xfId="22" hidden="1"/>
    <cellStyle name="Gekoppelde cel" xfId="7" builtinId="24" hidden="1"/>
    <cellStyle name="Gekoppelde cel" xfId="52" builtinId="24" hidden="1" customBuiltin="1"/>
    <cellStyle name="Gevolgde hyperlink" xfId="48" builtinId="9" hidden="1"/>
    <cellStyle name="Goed" xfId="1" builtinId="26" hidden="1"/>
    <cellStyle name="Goed" xfId="51" builtinId="26" hidden="1" customBuiltin="1"/>
    <cellStyle name="Grijze cel" xfId="132"/>
    <cellStyle name="Heading 1" xfId="17" hidden="1"/>
    <cellStyle name="Heading 2" xfId="18" hidden="1"/>
    <cellStyle name="Heading 3" xfId="19" hidden="1"/>
    <cellStyle name="Heading 4" xfId="20" hidden="1"/>
    <cellStyle name="Hyperlink" xfId="10" builtinId="8" hidden="1"/>
    <cellStyle name="Hyperlink" xfId="128" builtinId="8" hidden="1"/>
    <cellStyle name="Hyperlink" xfId="57" builtinId="8" customBuiltin="1"/>
    <cellStyle name="Hyperlink 2" xfId="133"/>
    <cellStyle name="Input" xfId="4" hidden="1"/>
    <cellStyle name="Invoer" xfId="100" builtinId="20" hidden="1" customBuiltin="1"/>
    <cellStyle name="Komma" xfId="11" builtinId="3" hidden="1"/>
    <cellStyle name="Komma" xfId="64" builtinId="3" hidden="1"/>
    <cellStyle name="Komma" xfId="94" builtinId="3"/>
    <cellStyle name="Komma [0]" xfId="12" builtinId="6" hidden="1"/>
    <cellStyle name="Komma 10 2" xfId="58"/>
    <cellStyle name="Komma 10 2 2" xfId="76"/>
    <cellStyle name="Komma 14 2" xfId="62"/>
    <cellStyle name="Kop 1" xfId="95" builtinId="16" hidden="1" customBuiltin="1"/>
    <cellStyle name="Kop 2" xfId="96" builtinId="17" hidden="1" customBuiltin="1"/>
    <cellStyle name="Kop 3" xfId="97" builtinId="18" hidden="1" customBuiltin="1"/>
    <cellStyle name="Kop 4" xfId="98" builtinId="19" hidden="1" customBuiltin="1"/>
    <cellStyle name="Neutraal" xfId="3" builtinId="28" hidden="1"/>
    <cellStyle name="Neutraal" xfId="53" builtinId="28" hidden="1" customBuiltin="1"/>
    <cellStyle name="Note" xfId="9" hidden="1"/>
    <cellStyle name="Ongeldig" xfId="99" builtinId="27" hidden="1" customBuiltin="1"/>
    <cellStyle name="Opm. INTERN" xfId="91"/>
    <cellStyle name="Output" xfId="5" hidden="1"/>
    <cellStyle name="Procent" xfId="15" builtinId="5" hidden="1"/>
    <cellStyle name="Procent" xfId="65" builtinId="5" hidden="1"/>
    <cellStyle name="Procent" xfId="59" builtinId="5" customBuiltin="1"/>
    <cellStyle name="Procent 2" xfId="75"/>
    <cellStyle name="Procent 3" xfId="92"/>
    <cellStyle name="Procent 4" xfId="130"/>
    <cellStyle name="Standaard" xfId="0" builtinId="0" customBuiltin="1"/>
    <cellStyle name="Standaard 2" xfId="74"/>
    <cellStyle name="Standaard 2 2" xfId="93"/>
    <cellStyle name="Standaard 3" xfId="129"/>
    <cellStyle name="Standaard 3 4" xfId="73"/>
    <cellStyle name="Standaard 7" xfId="86"/>
    <cellStyle name="Standaard ACM-DE" xfId="63"/>
    <cellStyle name="Standaard_20110830 TI berekening 2012 E - v3 PwA" xfId="90"/>
    <cellStyle name="Standaard_20120516 - TI-berekening 2013 Elektriciteit (concept) opm HK" xfId="88"/>
    <cellStyle name="Standaard_Rekenmodel inkoopkosten transport NE4R v2" xfId="49"/>
    <cellStyle name="Titel" xfId="16" builtinId="15" hidden="1"/>
    <cellStyle name="Titel" xfId="54" builtinId="15" hidden="1" customBuiltin="1"/>
    <cellStyle name="Toelichting" xfId="84"/>
    <cellStyle name="Totaal" xfId="23" builtinId="25" hidden="1"/>
    <cellStyle name="Totaal" xfId="55" builtinId="25" hidden="1" customBuiltin="1"/>
    <cellStyle name="Uitvoer" xfId="101" builtinId="21" hidden="1" customBuiltin="1"/>
    <cellStyle name="Valuta" xfId="13" builtinId="4" hidden="1"/>
    <cellStyle name="Valuta [0]" xfId="14" builtinId="7" hidden="1"/>
    <cellStyle name="Verklarende tekst" xfId="103" builtinId="53" hidden="1" customBuiltin="1"/>
    <cellStyle name="Waarschuwingstekst" xfId="21" builtinId="11" hidden="1"/>
    <cellStyle name="Waarschuwingstekst" xfId="56" builtinId="11" hidden="1" customBuiltin="1"/>
  </cellStyles>
  <dxfs count="0"/>
  <tableStyles count="0" defaultTableStyle="TableStyleMedium2" defaultPivotStyle="PivotStyleLight16"/>
  <colors>
    <mruColors>
      <color rgb="FFCCFFCC"/>
      <color rgb="FFFFCCFF"/>
      <color rgb="FFFFFFCC"/>
      <color rgb="FFFFCC99"/>
      <color rgb="FFCCFFFF"/>
      <color rgb="FFCCC8D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146850</xdr:colOff>
      <xdr:row>19</xdr:row>
      <xdr:rowOff>8005</xdr:rowOff>
    </xdr:from>
    <xdr:to>
      <xdr:col>13</xdr:col>
      <xdr:colOff>126850</xdr:colOff>
      <xdr:row>23</xdr:row>
      <xdr:rowOff>10828</xdr:rowOff>
    </xdr:to>
    <xdr:sp macro="" textlink="">
      <xdr:nvSpPr>
        <xdr:cNvPr id="9" name="Rechthoek 8"/>
        <xdr:cNvSpPr/>
      </xdr:nvSpPr>
      <xdr:spPr>
        <a:xfrm>
          <a:off x="5633250" y="3379855"/>
          <a:ext cx="18088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19051</xdr:colOff>
      <xdr:row>18</xdr:row>
      <xdr:rowOff>187280</xdr:rowOff>
    </xdr:from>
    <xdr:to>
      <xdr:col>9</xdr:col>
      <xdr:colOff>3283</xdr:colOff>
      <xdr:row>22</xdr:row>
      <xdr:rowOff>190105</xdr:rowOff>
    </xdr:to>
    <xdr:sp macro="" textlink="">
      <xdr:nvSpPr>
        <xdr:cNvPr id="10" name="Rechthoek 9"/>
        <xdr:cNvSpPr/>
      </xdr:nvSpPr>
      <xdr:spPr>
        <a:xfrm>
          <a:off x="3067051" y="3368630"/>
          <a:ext cx="18130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2020</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4</xdr:col>
      <xdr:colOff>549007</xdr:colOff>
      <xdr:row>20</xdr:row>
      <xdr:rowOff>188693</xdr:rowOff>
    </xdr:from>
    <xdr:to>
      <xdr:col>6</xdr:col>
      <xdr:colOff>19051</xdr:colOff>
      <xdr:row>21</xdr:row>
      <xdr:rowOff>12620</xdr:rowOff>
    </xdr:to>
    <xdr:cxnSp macro="">
      <xdr:nvCxnSpPr>
        <xdr:cNvPr id="11" name="Rechte verbindingslijn met pijl 10"/>
        <xdr:cNvCxnSpPr>
          <a:stCxn id="13" idx="3"/>
          <a:endCxn id="10"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9</xdr:col>
      <xdr:colOff>3283</xdr:colOff>
      <xdr:row>20</xdr:row>
      <xdr:rowOff>188693</xdr:rowOff>
    </xdr:from>
    <xdr:to>
      <xdr:col>10</xdr:col>
      <xdr:colOff>146850</xdr:colOff>
      <xdr:row>21</xdr:row>
      <xdr:rowOff>9417</xdr:rowOff>
    </xdr:to>
    <xdr:cxnSp macro="">
      <xdr:nvCxnSpPr>
        <xdr:cNvPr id="12" name="Rechte verbindingslijn met pijl 11"/>
        <xdr:cNvCxnSpPr>
          <a:stCxn id="10" idx="3"/>
          <a:endCxn id="9"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1</xdr:col>
      <xdr:colOff>179293</xdr:colOff>
      <xdr:row>19</xdr:row>
      <xdr:rowOff>33620</xdr:rowOff>
    </xdr:from>
    <xdr:to>
      <xdr:col>4</xdr:col>
      <xdr:colOff>549007</xdr:colOff>
      <xdr:row>22</xdr:row>
      <xdr:rowOff>182120</xdr:rowOff>
    </xdr:to>
    <xdr:sp macro="" textlink="">
      <xdr:nvSpPr>
        <xdr:cNvPr id="13" name="Rechthoek 12"/>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6</xdr:col>
      <xdr:colOff>22410</xdr:colOff>
      <xdr:row>11</xdr:row>
      <xdr:rowOff>78441</xdr:rowOff>
    </xdr:from>
    <xdr:to>
      <xdr:col>8</xdr:col>
      <xdr:colOff>635292</xdr:colOff>
      <xdr:row>15</xdr:row>
      <xdr:rowOff>81265</xdr:rowOff>
    </xdr:to>
    <xdr:sp macro="" textlink="">
      <xdr:nvSpPr>
        <xdr:cNvPr id="14" name="Stroomdiagram: Proces 13"/>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7</xdr:col>
      <xdr:colOff>314564</xdr:colOff>
      <xdr:row>15</xdr:row>
      <xdr:rowOff>81265</xdr:rowOff>
    </xdr:from>
    <xdr:to>
      <xdr:col>7</xdr:col>
      <xdr:colOff>318084</xdr:colOff>
      <xdr:row>18</xdr:row>
      <xdr:rowOff>187280</xdr:rowOff>
    </xdr:to>
    <xdr:cxnSp macro="">
      <xdr:nvCxnSpPr>
        <xdr:cNvPr id="15" name="Rechte verbindingslijn met pijl 14"/>
        <xdr:cNvCxnSpPr>
          <a:stCxn id="14" idx="2"/>
          <a:endCxn id="10"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ow r="3">
          <cell r="E3">
            <v>0.05</v>
          </cell>
        </row>
        <row r="4">
          <cell r="E4">
            <v>6.6000000000000003E-2</v>
          </cell>
        </row>
      </sheetData>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berekening-totale-inkomsten-2018-regionaal-netbeheer-elektriciteit" TargetMode="External"/><Relationship Id="rId2" Type="http://schemas.openxmlformats.org/officeDocument/2006/relationships/hyperlink" Target="https://www.belastingdienst.nl/wps/wcm/connect/bldcontentnl/standaard_functies/prive/contact/rechten_en_plichten_bij_de_belastingdienst/belastingrente/overzicht_percentages_belastingrente" TargetMode="External"/><Relationship Id="rId1" Type="http://schemas.openxmlformats.org/officeDocument/2006/relationships/hyperlink" Target="https://opendata.cbs.n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D33"/>
  <sheetViews>
    <sheetView showGridLines="0" tabSelected="1" zoomScale="85" zoomScaleNormal="85" workbookViewId="0">
      <pane ySplit="3" topLeftCell="A4" activePane="bottomLeft" state="frozen"/>
      <selection activeCell="O38" sqref="O38"/>
      <selection pane="bottomLeft" activeCell="A4" sqref="A4"/>
    </sheetView>
  </sheetViews>
  <sheetFormatPr defaultRowHeight="12.75" x14ac:dyDescent="0.2"/>
  <cols>
    <col min="1" max="1" width="2.85546875" style="5" customWidth="1"/>
    <col min="2" max="2" width="39.85546875" style="5" customWidth="1"/>
    <col min="3" max="3" width="91.85546875" style="5" customWidth="1"/>
    <col min="4" max="16384" width="9.140625" style="5"/>
  </cols>
  <sheetData>
    <row r="2" spans="2:3" s="26" customFormat="1" ht="18" x14ac:dyDescent="0.2">
      <c r="B2" s="42" t="s">
        <v>249</v>
      </c>
    </row>
    <row r="6" spans="2:3" x14ac:dyDescent="0.2">
      <c r="B6" s="37"/>
    </row>
    <row r="13" spans="2:3" s="43" customFormat="1" x14ac:dyDescent="0.2">
      <c r="B13" s="43" t="s">
        <v>0</v>
      </c>
    </row>
    <row r="14" spans="2:3" s="38" customFormat="1" x14ac:dyDescent="0.2"/>
    <row r="15" spans="2:3" x14ac:dyDescent="0.2">
      <c r="B15" s="9" t="s">
        <v>1</v>
      </c>
      <c r="C15" s="23"/>
    </row>
    <row r="16" spans="2:3" x14ac:dyDescent="0.2">
      <c r="B16" s="9" t="s">
        <v>2</v>
      </c>
      <c r="C16" s="23" t="s">
        <v>249</v>
      </c>
    </row>
    <row r="17" spans="2:3" x14ac:dyDescent="0.2">
      <c r="B17" s="9" t="s">
        <v>3</v>
      </c>
      <c r="C17" s="23"/>
    </row>
    <row r="18" spans="2:3" x14ac:dyDescent="0.2">
      <c r="B18" s="9" t="s">
        <v>4</v>
      </c>
      <c r="C18" s="23" t="s">
        <v>250</v>
      </c>
    </row>
    <row r="19" spans="2:3" x14ac:dyDescent="0.2">
      <c r="B19" s="9" t="s">
        <v>5</v>
      </c>
      <c r="C19" s="23"/>
    </row>
    <row r="20" spans="2:3" x14ac:dyDescent="0.2">
      <c r="B20" s="9" t="s">
        <v>6</v>
      </c>
      <c r="C20" s="23"/>
    </row>
    <row r="21" spans="2:3" x14ac:dyDescent="0.2">
      <c r="B21" s="9" t="s">
        <v>7</v>
      </c>
      <c r="C21" s="23" t="s">
        <v>251</v>
      </c>
    </row>
    <row r="22" spans="2:3" x14ac:dyDescent="0.2">
      <c r="B22" s="9" t="s">
        <v>8</v>
      </c>
      <c r="C22" s="23"/>
    </row>
    <row r="25" spans="2:3" s="43" customFormat="1" x14ac:dyDescent="0.2">
      <c r="B25" s="43" t="s">
        <v>9</v>
      </c>
    </row>
    <row r="27" spans="2:3" x14ac:dyDescent="0.2">
      <c r="B27" s="9" t="s">
        <v>10</v>
      </c>
      <c r="C27" s="23" t="s">
        <v>360</v>
      </c>
    </row>
    <row r="28" spans="2:3" x14ac:dyDescent="0.2">
      <c r="B28" s="9" t="s">
        <v>11</v>
      </c>
      <c r="C28" s="23" t="s">
        <v>360</v>
      </c>
    </row>
    <row r="29" spans="2:3" ht="25.5" x14ac:dyDescent="0.2">
      <c r="B29" s="9" t="s">
        <v>12</v>
      </c>
      <c r="C29" s="23" t="s">
        <v>360</v>
      </c>
    </row>
    <row r="30" spans="2:3" x14ac:dyDescent="0.2">
      <c r="B30" s="9" t="s">
        <v>13</v>
      </c>
      <c r="C30" s="23"/>
    </row>
    <row r="31" spans="2:3" x14ac:dyDescent="0.2">
      <c r="B31" s="9" t="s">
        <v>8</v>
      </c>
      <c r="C31" s="23"/>
    </row>
    <row r="33" spans="2:4" x14ac:dyDescent="0.2">
      <c r="B33" s="40"/>
      <c r="C33" s="40"/>
      <c r="D33" s="34"/>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CFFCC"/>
  </sheetPr>
  <dimension ref="A2:T26"/>
  <sheetViews>
    <sheetView showGridLines="0" zoomScale="85" zoomScaleNormal="85" workbookViewId="0">
      <pane xSplit="6" ySplit="9" topLeftCell="G10" activePane="bottomRight" state="frozen"/>
      <selection activeCell="O38" sqref="O38"/>
      <selection pane="topRight" activeCell="O38" sqref="O38"/>
      <selection pane="bottomLeft" activeCell="O38" sqref="O38"/>
      <selection pane="bottomRight" activeCell="G10" sqref="G10"/>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5" width="13" style="5" customWidth="1"/>
    <col min="16" max="16" width="12.5703125" style="5" customWidth="1"/>
    <col min="17" max="17" width="13" style="5" customWidth="1"/>
    <col min="18" max="18" width="12.5703125" style="5" customWidth="1"/>
    <col min="19" max="19" width="4.28515625" style="5" customWidth="1"/>
    <col min="20" max="20" width="12.5703125" style="5" customWidth="1"/>
    <col min="21" max="21" width="2.7109375" style="5" customWidth="1"/>
    <col min="22" max="22" width="17.140625" style="5" customWidth="1"/>
    <col min="23" max="23" width="2.7109375" style="5" customWidth="1"/>
    <col min="24" max="24" width="13.7109375" style="5" customWidth="1"/>
    <col min="25" max="25" width="2.7109375" style="5" customWidth="1"/>
    <col min="26" max="40" width="13.7109375" style="5" customWidth="1"/>
    <col min="41" max="16384" width="9.140625" style="5"/>
  </cols>
  <sheetData>
    <row r="2" spans="1:20" s="16" customFormat="1" ht="18" x14ac:dyDescent="0.2">
      <c r="B2" s="16" t="s">
        <v>262</v>
      </c>
    </row>
    <row r="4" spans="1:20" x14ac:dyDescent="0.2">
      <c r="B4" s="35" t="s">
        <v>29</v>
      </c>
      <c r="C4" s="35"/>
      <c r="D4" s="35"/>
    </row>
    <row r="5" spans="1:20" x14ac:dyDescent="0.2">
      <c r="B5" s="37" t="s">
        <v>282</v>
      </c>
      <c r="C5" s="37"/>
      <c r="D5" s="37"/>
      <c r="H5" s="15"/>
    </row>
    <row r="6" spans="1:20" x14ac:dyDescent="0.2">
      <c r="B6" s="37" t="s">
        <v>246</v>
      </c>
      <c r="C6" s="37"/>
      <c r="D6" s="37"/>
      <c r="H6" s="15"/>
    </row>
    <row r="7" spans="1:20" x14ac:dyDescent="0.2">
      <c r="B7" s="37"/>
      <c r="C7" s="37"/>
      <c r="D7" s="37"/>
      <c r="H7" s="15"/>
    </row>
    <row r="8" spans="1:20" s="43" customFormat="1" x14ac:dyDescent="0.2">
      <c r="B8" s="43" t="s">
        <v>45</v>
      </c>
      <c r="F8" s="43" t="s">
        <v>27</v>
      </c>
      <c r="H8" s="43" t="s">
        <v>28</v>
      </c>
      <c r="J8" s="43" t="s">
        <v>49</v>
      </c>
      <c r="L8" s="43" t="s">
        <v>111</v>
      </c>
      <c r="M8" s="43" t="s">
        <v>100</v>
      </c>
      <c r="N8" s="43" t="s">
        <v>101</v>
      </c>
      <c r="O8" s="43" t="s">
        <v>102</v>
      </c>
      <c r="P8" s="43" t="s">
        <v>103</v>
      </c>
      <c r="Q8" s="43" t="s">
        <v>104</v>
      </c>
      <c r="R8" s="43" t="s">
        <v>105</v>
      </c>
      <c r="T8" s="43" t="s">
        <v>46</v>
      </c>
    </row>
    <row r="11" spans="1:20" s="43" customFormat="1" x14ac:dyDescent="0.2">
      <c r="B11" s="43" t="s">
        <v>320</v>
      </c>
    </row>
    <row r="13" spans="1:20" x14ac:dyDescent="0.2">
      <c r="B13" s="35" t="s">
        <v>348</v>
      </c>
    </row>
    <row r="14" spans="1:20" x14ac:dyDescent="0.2">
      <c r="A14" s="38"/>
      <c r="B14" s="5" t="s">
        <v>217</v>
      </c>
      <c r="F14" s="38" t="s">
        <v>138</v>
      </c>
      <c r="L14" s="82">
        <v>3686772.937732263</v>
      </c>
      <c r="M14" s="82">
        <v>10246056.183085894</v>
      </c>
      <c r="N14" s="82">
        <v>179660011.99798381</v>
      </c>
      <c r="O14" s="82">
        <v>167595992.24279189</v>
      </c>
      <c r="P14" s="82">
        <v>2434756.1499236641</v>
      </c>
      <c r="Q14" s="82">
        <v>113058990.22601718</v>
      </c>
      <c r="R14" s="82">
        <v>10529586.902996866</v>
      </c>
      <c r="T14" s="5" t="s">
        <v>243</v>
      </c>
    </row>
    <row r="15" spans="1:20" x14ac:dyDescent="0.2">
      <c r="A15" s="38"/>
    </row>
    <row r="16" spans="1:20" x14ac:dyDescent="0.2">
      <c r="A16" s="38"/>
      <c r="B16" s="35" t="s">
        <v>349</v>
      </c>
    </row>
    <row r="17" spans="1:20" x14ac:dyDescent="0.2">
      <c r="A17" s="38"/>
      <c r="B17" s="5" t="s">
        <v>194</v>
      </c>
      <c r="F17" s="5" t="s">
        <v>106</v>
      </c>
      <c r="L17" s="82">
        <v>14546672.954315901</v>
      </c>
      <c r="M17" s="82">
        <v>57118976.061700098</v>
      </c>
      <c r="N17" s="82">
        <v>764074309.1545372</v>
      </c>
      <c r="O17" s="82">
        <v>829478101.97648692</v>
      </c>
      <c r="P17" s="82">
        <v>8888729.4259983618</v>
      </c>
      <c r="Q17" s="82">
        <v>557013815.41303325</v>
      </c>
      <c r="R17" s="82">
        <v>33182110.436768584</v>
      </c>
      <c r="T17" s="5" t="s">
        <v>244</v>
      </c>
    </row>
    <row r="19" spans="1:20" s="43" customFormat="1" x14ac:dyDescent="0.2">
      <c r="B19" s="43" t="s">
        <v>141</v>
      </c>
    </row>
    <row r="21" spans="1:20" x14ac:dyDescent="0.2">
      <c r="A21" s="38"/>
      <c r="B21" s="5" t="s">
        <v>284</v>
      </c>
      <c r="F21" s="5" t="s">
        <v>276</v>
      </c>
      <c r="L21" s="82"/>
      <c r="M21" s="82">
        <v>12389300.77</v>
      </c>
      <c r="N21" s="82">
        <v>185367881.91999999</v>
      </c>
      <c r="O21" s="82">
        <v>175318026.47999999</v>
      </c>
      <c r="P21" s="82"/>
      <c r="Q21" s="82">
        <v>110754495.11999999</v>
      </c>
      <c r="R21" s="82">
        <v>11015037.459999999</v>
      </c>
      <c r="T21" s="5" t="s">
        <v>283</v>
      </c>
    </row>
    <row r="22" spans="1:20" x14ac:dyDescent="0.2">
      <c r="A22" s="38"/>
      <c r="B22" s="5" t="s">
        <v>285</v>
      </c>
      <c r="F22" s="5" t="s">
        <v>276</v>
      </c>
      <c r="L22" s="82">
        <v>3382920</v>
      </c>
      <c r="M22" s="82"/>
      <c r="N22" s="82">
        <v>137712.92963203668</v>
      </c>
      <c r="O22" s="82">
        <v>1335603.0800000003</v>
      </c>
      <c r="P22" s="82">
        <v>2126441.4700000002</v>
      </c>
      <c r="Q22" s="82">
        <v>2687274.2512000003</v>
      </c>
      <c r="R22" s="82">
        <v>283560.60713999998</v>
      </c>
      <c r="T22" s="5" t="s">
        <v>283</v>
      </c>
    </row>
    <row r="24" spans="1:20" s="43" customFormat="1" x14ac:dyDescent="0.2">
      <c r="B24" s="43" t="s">
        <v>233</v>
      </c>
    </row>
    <row r="25" spans="1:20" x14ac:dyDescent="0.2">
      <c r="A25" s="38"/>
      <c r="L25" s="75"/>
      <c r="M25" s="75"/>
      <c r="N25" s="75"/>
      <c r="O25" s="75"/>
      <c r="P25" s="75"/>
      <c r="Q25" s="75"/>
      <c r="R25" s="75"/>
      <c r="T25" s="93"/>
    </row>
    <row r="26" spans="1:20" x14ac:dyDescent="0.2">
      <c r="B26" s="5" t="s">
        <v>110</v>
      </c>
      <c r="F26" s="5" t="s">
        <v>106</v>
      </c>
      <c r="H26" s="114">
        <v>0.96742182303404756</v>
      </c>
      <c r="L26" s="75"/>
      <c r="M26" s="75"/>
      <c r="N26" s="75"/>
      <c r="O26" s="75"/>
      <c r="P26" s="75"/>
      <c r="Q26" s="75"/>
      <c r="R26" s="75"/>
      <c r="T26" s="93" t="s">
        <v>245</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CCFFCC"/>
  </sheetPr>
  <dimension ref="B2:W19"/>
  <sheetViews>
    <sheetView showGridLines="0" zoomScale="85" zoomScaleNormal="85" workbookViewId="0">
      <pane xSplit="6" ySplit="13" topLeftCell="G14" activePane="bottomRight" state="frozen"/>
      <selection activeCell="O38" sqref="O38"/>
      <selection pane="topRight" activeCell="O38" sqref="O38"/>
      <selection pane="bottomLeft" activeCell="O38" sqref="O38"/>
      <selection pane="bottomRight" activeCell="G14" sqref="G14"/>
    </sheetView>
  </sheetViews>
  <sheetFormatPr defaultRowHeight="12.75" x14ac:dyDescent="0.2"/>
  <cols>
    <col min="1" max="1" width="4.7109375" style="5" customWidth="1"/>
    <col min="2" max="2" width="41.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9" width="12.5703125" style="5" customWidth="1"/>
    <col min="20" max="20" width="2.7109375" style="5" customWidth="1"/>
    <col min="21" max="21" width="17.140625" style="5" customWidth="1"/>
    <col min="22" max="22" width="2.7109375" style="5" customWidth="1"/>
    <col min="23" max="23" width="13.7109375" style="5" customWidth="1"/>
    <col min="24" max="24" width="2.7109375" style="5" customWidth="1"/>
    <col min="25" max="39" width="13.7109375" style="5" customWidth="1"/>
    <col min="40" max="16384" width="9.140625" style="5"/>
  </cols>
  <sheetData>
    <row r="2" spans="2:23" s="16" customFormat="1" ht="18" x14ac:dyDescent="0.2">
      <c r="B2" s="16" t="s">
        <v>325</v>
      </c>
    </row>
    <row r="4" spans="2:23" x14ac:dyDescent="0.2">
      <c r="B4" s="35" t="s">
        <v>29</v>
      </c>
    </row>
    <row r="5" spans="2:23" x14ac:dyDescent="0.2">
      <c r="B5" s="74" t="s">
        <v>334</v>
      </c>
      <c r="C5" s="35"/>
      <c r="D5" s="35"/>
      <c r="L5" s="39"/>
    </row>
    <row r="6" spans="2:23" x14ac:dyDescent="0.2">
      <c r="B6" s="37" t="s">
        <v>326</v>
      </c>
      <c r="C6" s="37"/>
      <c r="D6" s="37"/>
      <c r="H6" s="15"/>
    </row>
    <row r="7" spans="2:23" x14ac:dyDescent="0.2">
      <c r="B7" s="73" t="s">
        <v>337</v>
      </c>
      <c r="C7" s="37"/>
      <c r="D7" s="37"/>
      <c r="H7" s="15"/>
    </row>
    <row r="8" spans="2:23" x14ac:dyDescent="0.2">
      <c r="B8" s="72" t="s">
        <v>327</v>
      </c>
      <c r="C8" s="37"/>
      <c r="D8" s="37"/>
      <c r="H8" s="15"/>
    </row>
    <row r="9" spans="2:23" x14ac:dyDescent="0.2">
      <c r="B9" s="37" t="s">
        <v>328</v>
      </c>
      <c r="C9" s="37"/>
      <c r="D9" s="37"/>
    </row>
    <row r="10" spans="2:23" x14ac:dyDescent="0.2">
      <c r="B10" s="5" t="s">
        <v>329</v>
      </c>
    </row>
    <row r="12" spans="2:23" s="43" customFormat="1" x14ac:dyDescent="0.2">
      <c r="B12" s="43" t="s">
        <v>45</v>
      </c>
      <c r="F12" s="43" t="s">
        <v>27</v>
      </c>
      <c r="H12" s="43" t="s">
        <v>28</v>
      </c>
      <c r="J12" s="43" t="s">
        <v>49</v>
      </c>
      <c r="L12" s="43" t="s">
        <v>111</v>
      </c>
      <c r="M12" s="43" t="s">
        <v>100</v>
      </c>
      <c r="N12" s="43" t="s">
        <v>101</v>
      </c>
      <c r="O12" s="43" t="s">
        <v>102</v>
      </c>
      <c r="P12" s="43" t="s">
        <v>103</v>
      </c>
      <c r="Q12" s="43" t="s">
        <v>104</v>
      </c>
      <c r="R12" s="43" t="s">
        <v>105</v>
      </c>
      <c r="S12" s="43" t="s">
        <v>177</v>
      </c>
      <c r="U12" s="43" t="s">
        <v>46</v>
      </c>
      <c r="W12" s="43" t="s">
        <v>47</v>
      </c>
    </row>
    <row r="15" spans="2:23" s="43" customFormat="1" x14ac:dyDescent="0.2">
      <c r="B15" s="43" t="s">
        <v>330</v>
      </c>
    </row>
    <row r="17" spans="2:21" x14ac:dyDescent="0.2">
      <c r="B17" s="5" t="s">
        <v>331</v>
      </c>
      <c r="F17" s="112" t="s">
        <v>276</v>
      </c>
      <c r="L17" s="82">
        <v>4710.2299999999996</v>
      </c>
      <c r="M17" s="82">
        <v>25213.18</v>
      </c>
      <c r="N17" s="82">
        <v>443422.02</v>
      </c>
      <c r="O17" s="82">
        <v>681266</v>
      </c>
      <c r="P17" s="82">
        <v>4301</v>
      </c>
      <c r="Q17" s="82">
        <v>343256.33</v>
      </c>
      <c r="R17" s="82">
        <v>14436.17</v>
      </c>
      <c r="S17" s="82"/>
      <c r="U17" s="5" t="s">
        <v>332</v>
      </c>
    </row>
    <row r="18" spans="2:21" x14ac:dyDescent="0.2">
      <c r="N18" s="70"/>
    </row>
    <row r="19" spans="2:21" x14ac:dyDescent="0.2">
      <c r="N19" s="7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4.9989318521683403E-2"/>
  </sheetPr>
  <dimension ref="A1"/>
  <sheetViews>
    <sheetView showGridLines="0" zoomScale="85" zoomScaleNormal="85" workbookViewId="0"/>
  </sheetViews>
  <sheetFormatPr defaultRowHeight="12.75" x14ac:dyDescent="0.2"/>
  <cols>
    <col min="1" max="16384" width="9.140625" style="98"/>
  </cols>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CC"/>
  </sheetPr>
  <dimension ref="B2:Z35"/>
  <sheetViews>
    <sheetView showGridLines="0" zoomScale="85" zoomScaleNormal="85" workbookViewId="0">
      <pane xSplit="6" ySplit="9" topLeftCell="G10" activePane="bottomRight" state="frozen"/>
      <selection activeCell="O38" sqref="O38"/>
      <selection pane="topRight" activeCell="O38" sqref="O38"/>
      <selection pane="bottomLeft" activeCell="O38" sqref="O38"/>
      <selection pane="bottomRight" activeCell="G10" sqref="G10"/>
    </sheetView>
  </sheetViews>
  <sheetFormatPr defaultRowHeight="12.75" x14ac:dyDescent="0.2"/>
  <cols>
    <col min="1" max="1" width="4" style="5" customWidth="1"/>
    <col min="2" max="2" width="48"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22" width="12.5703125" style="5" customWidth="1"/>
    <col min="23" max="23" width="2.7109375" style="5" customWidth="1"/>
    <col min="24" max="24" width="25.5703125" style="5" customWidth="1"/>
    <col min="25" max="25" width="3.140625" style="5" customWidth="1"/>
    <col min="26" max="26" width="18" style="5" customWidth="1"/>
    <col min="27" max="39" width="13.7109375" style="5" customWidth="1"/>
    <col min="40" max="16384" width="9.140625" style="5"/>
  </cols>
  <sheetData>
    <row r="2" spans="2:26" s="16" customFormat="1" ht="18" x14ac:dyDescent="0.2">
      <c r="B2" s="16" t="s">
        <v>159</v>
      </c>
    </row>
    <row r="4" spans="2:26" x14ac:dyDescent="0.2">
      <c r="B4" s="35" t="s">
        <v>59</v>
      </c>
      <c r="C4" s="35"/>
      <c r="D4" s="35"/>
    </row>
    <row r="5" spans="2:26" x14ac:dyDescent="0.2">
      <c r="B5" s="37" t="s">
        <v>212</v>
      </c>
      <c r="C5" s="37"/>
      <c r="D5" s="37"/>
      <c r="H5" s="15"/>
    </row>
    <row r="6" spans="2:26" x14ac:dyDescent="0.2">
      <c r="B6" s="37"/>
      <c r="C6" s="37"/>
      <c r="D6" s="37"/>
      <c r="H6" s="15"/>
    </row>
    <row r="8" spans="2:26" s="43" customFormat="1" x14ac:dyDescent="0.2">
      <c r="B8" s="43" t="s">
        <v>45</v>
      </c>
      <c r="F8" s="43" t="s">
        <v>27</v>
      </c>
      <c r="H8" s="43" t="s">
        <v>28</v>
      </c>
      <c r="J8" s="43" t="s">
        <v>49</v>
      </c>
      <c r="L8" s="69" t="s">
        <v>115</v>
      </c>
      <c r="M8" s="69" t="s">
        <v>116</v>
      </c>
      <c r="N8" s="69" t="s">
        <v>117</v>
      </c>
      <c r="O8" s="69" t="s">
        <v>118</v>
      </c>
      <c r="P8" s="69" t="s">
        <v>119</v>
      </c>
      <c r="Q8" s="69" t="s">
        <v>120</v>
      </c>
      <c r="R8" s="69" t="s">
        <v>121</v>
      </c>
      <c r="S8" s="69" t="s">
        <v>122</v>
      </c>
      <c r="T8" s="69" t="s">
        <v>123</v>
      </c>
      <c r="U8" s="69" t="s">
        <v>124</v>
      </c>
      <c r="V8" s="69" t="s">
        <v>125</v>
      </c>
      <c r="X8" s="43" t="s">
        <v>46</v>
      </c>
      <c r="Z8" s="43" t="s">
        <v>47</v>
      </c>
    </row>
    <row r="11" spans="2:26" s="43" customFormat="1" x14ac:dyDescent="0.2">
      <c r="B11" s="43" t="s">
        <v>48</v>
      </c>
    </row>
    <row r="13" spans="2:26" x14ac:dyDescent="0.2">
      <c r="B13" s="35" t="s">
        <v>131</v>
      </c>
    </row>
    <row r="14" spans="2:26" x14ac:dyDescent="0.2">
      <c r="B14" s="5" t="s">
        <v>132</v>
      </c>
      <c r="F14" s="5" t="s">
        <v>128</v>
      </c>
      <c r="L14" s="10">
        <f>'Input parameters'!L33</f>
        <v>2.5000000000000001E-2</v>
      </c>
      <c r="M14" s="10">
        <f>'Input parameters'!M33</f>
        <v>2.8500000000000001E-2</v>
      </c>
      <c r="N14" s="10">
        <f>'Input parameters'!N33</f>
        <v>0.03</v>
      </c>
      <c r="O14" s="10">
        <f>'Input parameters'!O33</f>
        <v>0.03</v>
      </c>
      <c r="P14" s="10">
        <f>'Input parameters'!P33</f>
        <v>0.04</v>
      </c>
      <c r="Q14" s="10">
        <f>'Input parameters'!Q33</f>
        <v>0.04</v>
      </c>
      <c r="R14" s="10">
        <f>'Input parameters'!R33</f>
        <v>0.04</v>
      </c>
      <c r="S14" s="10">
        <f>'Input parameters'!S33</f>
        <v>0.04</v>
      </c>
      <c r="T14" s="10">
        <f>'Input parameters'!T33</f>
        <v>0.04</v>
      </c>
      <c r="U14" s="10">
        <f>'Input parameters'!U33</f>
        <v>0.04</v>
      </c>
    </row>
    <row r="15" spans="2:26" x14ac:dyDescent="0.2">
      <c r="B15" s="5" t="s">
        <v>133</v>
      </c>
      <c r="F15" s="5" t="s">
        <v>128</v>
      </c>
      <c r="L15" s="10">
        <f>'Input parameters'!L34</f>
        <v>2.5000000000000001E-2</v>
      </c>
      <c r="M15" s="10">
        <f>'Input parameters'!M34</f>
        <v>2.3E-2</v>
      </c>
      <c r="N15" s="10">
        <f>'Input parameters'!N34</f>
        <v>0.03</v>
      </c>
      <c r="O15" s="10">
        <f>'Input parameters'!O34</f>
        <v>0.04</v>
      </c>
      <c r="P15" s="10">
        <f>'Input parameters'!P34</f>
        <v>0.04</v>
      </c>
      <c r="Q15" s="10">
        <f>'Input parameters'!Q34</f>
        <v>0.04</v>
      </c>
      <c r="R15" s="10">
        <f>'Input parameters'!R34</f>
        <v>0.04</v>
      </c>
      <c r="S15" s="10">
        <f>'Input parameters'!S34</f>
        <v>0.04</v>
      </c>
      <c r="T15" s="10">
        <f>'Input parameters'!T34</f>
        <v>0.04</v>
      </c>
      <c r="U15" s="10">
        <f>'Input parameters'!U34</f>
        <v>0.04</v>
      </c>
    </row>
    <row r="16" spans="2:26" x14ac:dyDescent="0.2">
      <c r="B16" s="5" t="s">
        <v>134</v>
      </c>
      <c r="F16" s="5" t="s">
        <v>128</v>
      </c>
      <c r="L16" s="10">
        <f>'Input parameters'!L35</f>
        <v>2.75E-2</v>
      </c>
      <c r="M16" s="10">
        <f>'Input parameters'!M35</f>
        <v>2.5000000000000001E-2</v>
      </c>
      <c r="N16" s="10">
        <f>'Input parameters'!N35</f>
        <v>0.03</v>
      </c>
      <c r="O16" s="10">
        <f>'Input parameters'!O35</f>
        <v>0.04</v>
      </c>
      <c r="P16" s="10">
        <f>'Input parameters'!P35</f>
        <v>0.04</v>
      </c>
      <c r="Q16" s="10">
        <f>'Input parameters'!Q35</f>
        <v>0.04</v>
      </c>
      <c r="R16" s="10">
        <f>'Input parameters'!R35</f>
        <v>0.04</v>
      </c>
      <c r="S16" s="10">
        <f>'Input parameters'!S35</f>
        <v>0.04</v>
      </c>
      <c r="T16" s="10">
        <f>'Input parameters'!T35</f>
        <v>0.04</v>
      </c>
    </row>
    <row r="17" spans="2:21" x14ac:dyDescent="0.2">
      <c r="B17" s="5" t="s">
        <v>135</v>
      </c>
      <c r="F17" s="5" t="s">
        <v>128</v>
      </c>
      <c r="L17" s="10">
        <f>'Input parameters'!L36</f>
        <v>0.03</v>
      </c>
      <c r="M17" s="10">
        <f>'Input parameters'!M36</f>
        <v>2.2499999999999999E-2</v>
      </c>
      <c r="N17" s="10">
        <f>'Input parameters'!N36</f>
        <v>0.03</v>
      </c>
      <c r="O17" s="10">
        <f>'Input parameters'!O36</f>
        <v>0.04</v>
      </c>
      <c r="P17" s="10">
        <f>'Input parameters'!P36</f>
        <v>0.04</v>
      </c>
      <c r="Q17" s="10">
        <f>'Input parameters'!Q36</f>
        <v>0.04</v>
      </c>
      <c r="R17" s="10">
        <f>'Input parameters'!R36</f>
        <v>0.04</v>
      </c>
      <c r="S17" s="10">
        <f>'Input parameters'!S36</f>
        <v>0.04</v>
      </c>
      <c r="T17" s="10">
        <f>'Input parameters'!T36</f>
        <v>0.04</v>
      </c>
    </row>
    <row r="20" spans="2:21" s="43" customFormat="1" x14ac:dyDescent="0.2">
      <c r="B20" s="43" t="s">
        <v>168</v>
      </c>
    </row>
    <row r="22" spans="2:21" x14ac:dyDescent="0.2">
      <c r="B22" s="35" t="s">
        <v>169</v>
      </c>
    </row>
    <row r="23" spans="2:21" x14ac:dyDescent="0.2">
      <c r="B23" s="5" t="s">
        <v>170</v>
      </c>
      <c r="M23" s="68" t="str">
        <f t="shared" ref="M23:T23" si="0">M8</f>
        <v>2012</v>
      </c>
      <c r="N23" s="68" t="str">
        <f t="shared" si="0"/>
        <v>2013</v>
      </c>
      <c r="O23" s="68" t="str">
        <f t="shared" si="0"/>
        <v>2014</v>
      </c>
      <c r="P23" s="68" t="str">
        <f t="shared" si="0"/>
        <v>2015</v>
      </c>
      <c r="Q23" s="68" t="str">
        <f t="shared" si="0"/>
        <v>2016</v>
      </c>
      <c r="R23" s="68" t="str">
        <f t="shared" si="0"/>
        <v>2017</v>
      </c>
      <c r="S23" s="68" t="str">
        <f t="shared" si="0"/>
        <v>2018</v>
      </c>
      <c r="T23" s="68" t="str">
        <f t="shared" si="0"/>
        <v>2019</v>
      </c>
      <c r="U23" s="67">
        <v>2020</v>
      </c>
    </row>
    <row r="24" spans="2:21" x14ac:dyDescent="0.2">
      <c r="B24" s="5" t="s">
        <v>171</v>
      </c>
      <c r="F24" s="5" t="s">
        <v>128</v>
      </c>
      <c r="M24" s="66">
        <f t="shared" ref="M24:T24" si="1">((1+L16)*(1+L17)*(1+M14)*(1+M15))^(1/4)-1</f>
        <v>2.7246679826694153E-2</v>
      </c>
      <c r="N24" s="66">
        <f t="shared" si="1"/>
        <v>2.6869862241643006E-2</v>
      </c>
      <c r="O24" s="66">
        <f t="shared" si="1"/>
        <v>3.2490949264880609E-2</v>
      </c>
      <c r="P24" s="66">
        <f t="shared" si="1"/>
        <v>4.0000000000000036E-2</v>
      </c>
      <c r="Q24" s="66">
        <f t="shared" si="1"/>
        <v>4.0000000000000036E-2</v>
      </c>
      <c r="R24" s="66">
        <f t="shared" si="1"/>
        <v>4.0000000000000036E-2</v>
      </c>
      <c r="S24" s="66">
        <f t="shared" si="1"/>
        <v>4.0000000000000036E-2</v>
      </c>
      <c r="T24" s="66">
        <f t="shared" si="1"/>
        <v>4.0000000000000036E-2</v>
      </c>
      <c r="U24" s="65">
        <f>((1+T16)*(1+T17)*(1+U14)*(1+U15))^(1/4)-1</f>
        <v>4.0000000000000036E-2</v>
      </c>
    </row>
    <row r="26" spans="2:21" x14ac:dyDescent="0.2">
      <c r="B26" s="35" t="s">
        <v>160</v>
      </c>
    </row>
    <row r="27" spans="2:21" x14ac:dyDescent="0.2">
      <c r="B27" s="5" t="s">
        <v>161</v>
      </c>
      <c r="F27" s="5" t="s">
        <v>128</v>
      </c>
      <c r="M27" s="10">
        <f>M24</f>
        <v>2.7246679826694153E-2</v>
      </c>
      <c r="N27" s="66">
        <f t="shared" ref="N27:T28" si="2">(1+M27)*(1+N$24)-1</f>
        <v>5.4848656601822476E-2</v>
      </c>
      <c r="O27" s="66">
        <f t="shared" si="2"/>
        <v>8.9121690785599839E-2</v>
      </c>
      <c r="P27" s="66">
        <f t="shared" si="2"/>
        <v>0.13268655841702381</v>
      </c>
      <c r="Q27" s="66">
        <f t="shared" si="2"/>
        <v>0.17799402075370474</v>
      </c>
      <c r="R27" s="66">
        <f t="shared" si="2"/>
        <v>0.22511378158385287</v>
      </c>
      <c r="S27" s="66">
        <f t="shared" si="2"/>
        <v>0.27411833284720699</v>
      </c>
      <c r="T27" s="66">
        <f t="shared" si="2"/>
        <v>0.32508306616109528</v>
      </c>
      <c r="U27" s="66">
        <f t="shared" ref="U27:U33" si="3">(1+T27)*(1+U$24)-1</f>
        <v>0.3780863888075392</v>
      </c>
    </row>
    <row r="28" spans="2:21" x14ac:dyDescent="0.2">
      <c r="B28" s="5" t="s">
        <v>162</v>
      </c>
      <c r="F28" s="5" t="s">
        <v>128</v>
      </c>
      <c r="M28" s="45"/>
      <c r="N28" s="10">
        <f>N24</f>
        <v>2.6869862241643006E-2</v>
      </c>
      <c r="O28" s="66">
        <f t="shared" si="2"/>
        <v>6.0233838837371101E-2</v>
      </c>
      <c r="P28" s="66">
        <f t="shared" si="2"/>
        <v>0.10264319239086594</v>
      </c>
      <c r="Q28" s="66">
        <f t="shared" si="2"/>
        <v>0.14674892008650064</v>
      </c>
      <c r="R28" s="66">
        <f t="shared" si="2"/>
        <v>0.19261887688996082</v>
      </c>
      <c r="S28" s="66">
        <f t="shared" si="2"/>
        <v>0.24032363196555928</v>
      </c>
      <c r="T28" s="66">
        <f t="shared" si="2"/>
        <v>0.28993657724418176</v>
      </c>
      <c r="U28" s="66">
        <f t="shared" si="3"/>
        <v>0.34153404033394907</v>
      </c>
    </row>
    <row r="29" spans="2:21" x14ac:dyDescent="0.2">
      <c r="B29" s="5" t="s">
        <v>163</v>
      </c>
      <c r="F29" s="5" t="s">
        <v>128</v>
      </c>
      <c r="M29" s="45"/>
      <c r="N29" s="45"/>
      <c r="O29" s="10">
        <f>O24</f>
        <v>3.2490949264880609E-2</v>
      </c>
      <c r="P29" s="66">
        <f>(1+O29)*(1+P$24)-1</f>
        <v>7.3790587235475824E-2</v>
      </c>
      <c r="Q29" s="66">
        <f>(1+P29)*(1+Q$24)-1</f>
        <v>0.11674221072489499</v>
      </c>
      <c r="R29" s="66">
        <f>(1+Q29)*(1+R$24)-1</f>
        <v>0.16141189915389087</v>
      </c>
      <c r="S29" s="66">
        <f>(1+R29)*(1+S$24)-1</f>
        <v>0.20786837512004652</v>
      </c>
      <c r="T29" s="66">
        <f>(1+S29)*(1+T$24)-1</f>
        <v>0.2561831101248484</v>
      </c>
      <c r="U29" s="66">
        <f t="shared" si="3"/>
        <v>0.30643043452984231</v>
      </c>
    </row>
    <row r="30" spans="2:21" x14ac:dyDescent="0.2">
      <c r="B30" s="5" t="s">
        <v>164</v>
      </c>
      <c r="F30" s="5" t="s">
        <v>128</v>
      </c>
      <c r="M30" s="45"/>
      <c r="N30" s="45"/>
      <c r="O30" s="45"/>
      <c r="P30" s="10">
        <f>P24</f>
        <v>4.0000000000000036E-2</v>
      </c>
      <c r="Q30" s="66">
        <f>(1+P30)*(1+Q$24)-1</f>
        <v>8.1600000000000117E-2</v>
      </c>
      <c r="R30" s="66">
        <f>(1+Q30)*(1+R$24)-1</f>
        <v>0.12486400000000009</v>
      </c>
      <c r="S30" s="66">
        <f>(1+R30)*(1+S$24)-1</f>
        <v>0.16985856000000021</v>
      </c>
      <c r="T30" s="66">
        <f>(1+S30)*(1+T$24)-1</f>
        <v>0.21665290240000035</v>
      </c>
      <c r="U30" s="66">
        <f t="shared" si="3"/>
        <v>0.26531901849600037</v>
      </c>
    </row>
    <row r="31" spans="2:21" x14ac:dyDescent="0.2">
      <c r="B31" s="5" t="s">
        <v>165</v>
      </c>
      <c r="F31" s="5" t="s">
        <v>128</v>
      </c>
      <c r="M31" s="45"/>
      <c r="N31" s="45"/>
      <c r="O31" s="45"/>
      <c r="P31" s="45"/>
      <c r="Q31" s="10">
        <f>Q24</f>
        <v>4.0000000000000036E-2</v>
      </c>
      <c r="R31" s="66">
        <f>(1+Q31)*(1+R$24)-1</f>
        <v>8.1600000000000117E-2</v>
      </c>
      <c r="S31" s="66">
        <f>(1+R31)*(1+S$24)-1</f>
        <v>0.12486400000000009</v>
      </c>
      <c r="T31" s="66">
        <f>(1+S31)*(1+T$24)-1</f>
        <v>0.16985856000000021</v>
      </c>
      <c r="U31" s="66">
        <f t="shared" si="3"/>
        <v>0.21665290240000035</v>
      </c>
    </row>
    <row r="32" spans="2:21" x14ac:dyDescent="0.2">
      <c r="B32" s="5" t="s">
        <v>166</v>
      </c>
      <c r="F32" s="5" t="s">
        <v>128</v>
      </c>
      <c r="M32" s="45"/>
      <c r="N32" s="45"/>
      <c r="O32" s="45"/>
      <c r="P32" s="45"/>
      <c r="Q32" s="45"/>
      <c r="R32" s="10">
        <f>R24</f>
        <v>4.0000000000000036E-2</v>
      </c>
      <c r="S32" s="66">
        <f>(1+R32)*(1+S$24)-1</f>
        <v>8.1600000000000117E-2</v>
      </c>
      <c r="T32" s="66">
        <f>(1+S32)*(1+T$24)-1</f>
        <v>0.12486400000000009</v>
      </c>
      <c r="U32" s="66">
        <f t="shared" si="3"/>
        <v>0.16985856000000021</v>
      </c>
    </row>
    <row r="33" spans="2:21" x14ac:dyDescent="0.2">
      <c r="B33" s="5" t="s">
        <v>167</v>
      </c>
      <c r="F33" s="5" t="s">
        <v>128</v>
      </c>
      <c r="M33" s="45"/>
      <c r="N33" s="45"/>
      <c r="O33" s="45"/>
      <c r="P33" s="45"/>
      <c r="Q33" s="45"/>
      <c r="R33" s="45"/>
      <c r="S33" s="10">
        <f>S24</f>
        <v>4.0000000000000036E-2</v>
      </c>
      <c r="T33" s="66">
        <f>(1+S33)*(1+T$24)-1</f>
        <v>8.1600000000000117E-2</v>
      </c>
      <c r="U33" s="66">
        <f t="shared" si="3"/>
        <v>0.12486400000000009</v>
      </c>
    </row>
    <row r="34" spans="2:21" x14ac:dyDescent="0.2">
      <c r="B34" s="5" t="s">
        <v>173</v>
      </c>
      <c r="F34" s="5" t="s">
        <v>128</v>
      </c>
      <c r="M34" s="45"/>
      <c r="N34" s="45"/>
      <c r="O34" s="45"/>
      <c r="P34" s="45"/>
      <c r="Q34" s="45"/>
      <c r="R34" s="45"/>
      <c r="S34" s="45"/>
      <c r="T34" s="10">
        <f>T24</f>
        <v>4.0000000000000036E-2</v>
      </c>
      <c r="U34" s="66">
        <f>(1+T34)*(1+U$24)-1</f>
        <v>8.1600000000000117E-2</v>
      </c>
    </row>
    <row r="35" spans="2:21" x14ac:dyDescent="0.2">
      <c r="B35" s="5" t="s">
        <v>265</v>
      </c>
      <c r="F35" s="5" t="s">
        <v>128</v>
      </c>
      <c r="M35" s="45"/>
      <c r="N35" s="45"/>
      <c r="O35" s="45"/>
      <c r="P35" s="45"/>
      <c r="Q35" s="45"/>
      <c r="R35" s="45"/>
      <c r="S35" s="45"/>
      <c r="T35" s="45"/>
      <c r="U35" s="10">
        <f>U24</f>
        <v>4.0000000000000036E-2</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CC"/>
  </sheetPr>
  <dimension ref="A2:T41"/>
  <sheetViews>
    <sheetView showGridLines="0" zoomScale="85" zoomScaleNormal="85" workbookViewId="0">
      <pane xSplit="6" ySplit="11" topLeftCell="G12" activePane="bottomRight" state="frozen"/>
      <selection activeCell="O38" sqref="O38"/>
      <selection pane="topRight" activeCell="O38" sqref="O38"/>
      <selection pane="bottomLeft" activeCell="O38" sqref="O38"/>
      <selection pane="bottomRight" activeCell="G12" sqref="G12"/>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4" width="14" style="5" customWidth="1"/>
    <col min="15" max="15" width="14.7109375" style="5" customWidth="1"/>
    <col min="16" max="16" width="12.5703125" style="5" customWidth="1"/>
    <col min="17" max="17" width="13.28515625" style="5" customWidth="1"/>
    <col min="18" max="18" width="12.5703125" style="5" customWidth="1"/>
    <col min="19" max="19" width="2.7109375" style="5" customWidth="1"/>
    <col min="20" max="34" width="13.7109375" style="5" customWidth="1"/>
    <col min="35" max="16384" width="9.140625" style="5"/>
  </cols>
  <sheetData>
    <row r="2" spans="1:20" s="16" customFormat="1" ht="18" x14ac:dyDescent="0.2">
      <c r="B2" s="16" t="s">
        <v>261</v>
      </c>
    </row>
    <row r="4" spans="1:20" x14ac:dyDescent="0.2">
      <c r="B4" s="35" t="s">
        <v>59</v>
      </c>
      <c r="C4" s="35"/>
      <c r="D4" s="35"/>
    </row>
    <row r="5" spans="1:20" x14ac:dyDescent="0.2">
      <c r="B5" s="37" t="s">
        <v>297</v>
      </c>
      <c r="C5" s="35"/>
      <c r="D5" s="35"/>
    </row>
    <row r="6" spans="1:20" x14ac:dyDescent="0.2">
      <c r="B6" s="37" t="s">
        <v>298</v>
      </c>
      <c r="C6" s="35"/>
      <c r="D6" s="35"/>
    </row>
    <row r="7" spans="1:20" x14ac:dyDescent="0.2">
      <c r="B7" s="73" t="s">
        <v>247</v>
      </c>
      <c r="C7" s="35"/>
      <c r="D7" s="35"/>
    </row>
    <row r="8" spans="1:20" x14ac:dyDescent="0.2">
      <c r="B8" s="37" t="s">
        <v>299</v>
      </c>
      <c r="C8" s="35"/>
      <c r="D8" s="35"/>
    </row>
    <row r="10" spans="1:20" s="43" customFormat="1" x14ac:dyDescent="0.2">
      <c r="B10" s="43" t="s">
        <v>45</v>
      </c>
      <c r="F10" s="43" t="s">
        <v>27</v>
      </c>
      <c r="H10" s="43" t="s">
        <v>28</v>
      </c>
      <c r="J10" s="43" t="s">
        <v>49</v>
      </c>
      <c r="L10" s="43" t="s">
        <v>111</v>
      </c>
      <c r="M10" s="43" t="s">
        <v>100</v>
      </c>
      <c r="N10" s="43" t="s">
        <v>101</v>
      </c>
      <c r="O10" s="43" t="s">
        <v>102</v>
      </c>
      <c r="P10" s="43" t="s">
        <v>103</v>
      </c>
      <c r="Q10" s="43" t="s">
        <v>104</v>
      </c>
      <c r="R10" s="43" t="s">
        <v>105</v>
      </c>
      <c r="T10" s="43" t="s">
        <v>47</v>
      </c>
    </row>
    <row r="13" spans="1:20" s="43" customFormat="1" x14ac:dyDescent="0.2">
      <c r="B13" s="43" t="s">
        <v>273</v>
      </c>
    </row>
    <row r="14" spans="1:20" x14ac:dyDescent="0.2">
      <c r="A14" s="86"/>
      <c r="B14" s="86"/>
      <c r="C14" s="86"/>
      <c r="D14" s="86"/>
    </row>
    <row r="15" spans="1:20" x14ac:dyDescent="0.2">
      <c r="A15" s="93"/>
      <c r="B15" s="85" t="s">
        <v>274</v>
      </c>
      <c r="C15" s="93"/>
      <c r="D15" s="93"/>
    </row>
    <row r="16" spans="1:20" x14ac:dyDescent="0.2">
      <c r="A16" s="87"/>
      <c r="B16" s="84"/>
      <c r="C16" s="93"/>
      <c r="D16" s="93"/>
    </row>
    <row r="17" spans="1:18" x14ac:dyDescent="0.2">
      <c r="A17" s="106"/>
      <c r="B17" s="64" t="s">
        <v>275</v>
      </c>
      <c r="C17" s="93"/>
      <c r="F17" s="93" t="s">
        <v>276</v>
      </c>
      <c r="L17" s="120">
        <f>'Input lokale heffingen 2018'!L24</f>
        <v>12337347.574413471</v>
      </c>
      <c r="M17" s="120">
        <f>'Input lokale heffingen 2018'!M24</f>
        <v>60980965.383998461</v>
      </c>
      <c r="N17" s="120">
        <f>'Input lokale heffingen 2018'!N24</f>
        <v>679565756.53560948</v>
      </c>
      <c r="O17" s="120">
        <f>'Input lokale heffingen 2018'!O24</f>
        <v>841070930.21941876</v>
      </c>
      <c r="P17" s="120">
        <f>'Input lokale heffingen 2018'!P24</f>
        <v>8157038.5823703278</v>
      </c>
      <c r="Q17" s="120">
        <f>'Input lokale heffingen 2018'!Q24</f>
        <v>524048411.49840194</v>
      </c>
      <c r="R17" s="120">
        <f>'Input lokale heffingen 2018'!R24</f>
        <v>31691477.015707873</v>
      </c>
    </row>
    <row r="18" spans="1:18" x14ac:dyDescent="0.2">
      <c r="A18" s="87"/>
      <c r="B18" s="85"/>
      <c r="C18" s="93"/>
      <c r="D18" s="93"/>
    </row>
    <row r="19" spans="1:18" x14ac:dyDescent="0.2">
      <c r="A19" s="93"/>
      <c r="B19" s="85"/>
      <c r="C19" s="93"/>
      <c r="D19" s="93"/>
    </row>
    <row r="20" spans="1:18" s="43" customFormat="1" x14ac:dyDescent="0.2">
      <c r="B20" s="43" t="s">
        <v>287</v>
      </c>
    </row>
    <row r="21" spans="1:18" x14ac:dyDescent="0.2">
      <c r="A21" s="86"/>
      <c r="B21" s="86"/>
      <c r="C21" s="86"/>
      <c r="D21" s="86"/>
    </row>
    <row r="22" spans="1:18" x14ac:dyDescent="0.2">
      <c r="A22" s="87"/>
      <c r="B22" s="81" t="s">
        <v>136</v>
      </c>
      <c r="C22" s="93"/>
      <c r="F22" s="93"/>
    </row>
    <row r="23" spans="1:18" x14ac:dyDescent="0.2">
      <c r="A23" s="87"/>
      <c r="B23" s="81"/>
      <c r="C23" s="93"/>
      <c r="F23" s="93"/>
    </row>
    <row r="24" spans="1:18" x14ac:dyDescent="0.2">
      <c r="A24" s="79"/>
      <c r="B24" s="109" t="s">
        <v>196</v>
      </c>
      <c r="C24" s="79"/>
      <c r="F24" s="93" t="s">
        <v>138</v>
      </c>
      <c r="L24" s="120">
        <f>'Input lokale heffingen 2018'!L42</f>
        <v>16132346.0870746</v>
      </c>
      <c r="M24" s="120">
        <f>'Input lokale heffingen 2018'!M42</f>
        <v>77961250.820773944</v>
      </c>
      <c r="N24" s="120">
        <f>'Input lokale heffingen 2018'!N42</f>
        <v>878374923.0285424</v>
      </c>
      <c r="O24" s="120">
        <f>'Input lokale heffingen 2018'!O42</f>
        <v>1064454174.9986008</v>
      </c>
      <c r="P24" s="120">
        <f>'Input lokale heffingen 2018'!P42</f>
        <v>10644783.591933876</v>
      </c>
      <c r="Q24" s="120">
        <f>'Input lokale heffingen 2018'!Q42</f>
        <v>669181502.77580309</v>
      </c>
      <c r="R24" s="120">
        <f>'Input lokale heffingen 2018'!R42</f>
        <v>43037192.445612788</v>
      </c>
    </row>
    <row r="25" spans="1:18" x14ac:dyDescent="0.2">
      <c r="A25" s="79"/>
      <c r="B25" s="109" t="s">
        <v>195</v>
      </c>
      <c r="C25" s="78"/>
      <c r="F25" s="93" t="s">
        <v>138</v>
      </c>
      <c r="L25" s="120">
        <f>'Input lokale heffingen 2018'!L43</f>
        <v>3686772.937732263</v>
      </c>
      <c r="M25" s="120">
        <f>'Input lokale heffingen 2018'!M43</f>
        <v>10246056.183085894</v>
      </c>
      <c r="N25" s="120">
        <f>'Input lokale heffingen 2018'!N43</f>
        <v>179660011.99798381</v>
      </c>
      <c r="O25" s="120">
        <f>'Input lokale heffingen 2018'!O43</f>
        <v>167595992.24279189</v>
      </c>
      <c r="P25" s="120">
        <f>'Input lokale heffingen 2018'!P43</f>
        <v>2434756.1499236641</v>
      </c>
      <c r="Q25" s="120">
        <f>'Input lokale heffingen 2018'!Q43</f>
        <v>113058990.22601718</v>
      </c>
      <c r="R25" s="120">
        <f>'Input lokale heffingen 2018'!R43</f>
        <v>10529586.902996866</v>
      </c>
    </row>
    <row r="26" spans="1:18" x14ac:dyDescent="0.2">
      <c r="A26" s="79"/>
      <c r="B26" s="79" t="s">
        <v>350</v>
      </c>
      <c r="C26" s="79"/>
      <c r="F26" s="93" t="s">
        <v>138</v>
      </c>
      <c r="L26" s="50">
        <f>L24-L25</f>
        <v>12445573.149342338</v>
      </c>
      <c r="M26" s="50">
        <f>M24-M25</f>
        <v>67715194.637688056</v>
      </c>
      <c r="N26" s="50">
        <f t="shared" ref="N26:R26" si="0">N24-N25</f>
        <v>698714911.03055859</v>
      </c>
      <c r="O26" s="50">
        <f t="shared" si="0"/>
        <v>896858182.75580895</v>
      </c>
      <c r="P26" s="50">
        <f t="shared" si="0"/>
        <v>8210027.4420102127</v>
      </c>
      <c r="Q26" s="50">
        <f t="shared" si="0"/>
        <v>556122512.54978585</v>
      </c>
      <c r="R26" s="50">
        <f t="shared" si="0"/>
        <v>32507605.54261592</v>
      </c>
    </row>
    <row r="27" spans="1:18" x14ac:dyDescent="0.2">
      <c r="A27" s="79"/>
      <c r="B27" s="78" t="s">
        <v>197</v>
      </c>
      <c r="C27" s="78"/>
      <c r="F27" s="78"/>
      <c r="L27" s="119">
        <f>'Input lokale heffingen 2018'!L44</f>
        <v>2.21</v>
      </c>
      <c r="M27" s="119">
        <f>'Input lokale heffingen 2018'!M44</f>
        <v>1.77</v>
      </c>
      <c r="N27" s="119">
        <f>'Input lokale heffingen 2018'!N44</f>
        <v>2.13</v>
      </c>
      <c r="O27" s="119">
        <f>'Input lokale heffingen 2018'!O44</f>
        <v>1.82</v>
      </c>
      <c r="P27" s="119">
        <f>'Input lokale heffingen 2018'!P44</f>
        <v>2.0499999999999998</v>
      </c>
      <c r="Q27" s="119">
        <f>'Input lokale heffingen 2018'!Q44</f>
        <v>1.92</v>
      </c>
      <c r="R27" s="119">
        <f>'Input lokale heffingen 2018'!R44</f>
        <v>2.25</v>
      </c>
    </row>
    <row r="28" spans="1:18" x14ac:dyDescent="0.2">
      <c r="A28" s="79"/>
      <c r="B28" s="78" t="s">
        <v>137</v>
      </c>
      <c r="C28" s="78"/>
      <c r="F28" s="78"/>
      <c r="L28" s="119">
        <f>'Input lokale heffingen 2018'!L45</f>
        <v>0.97</v>
      </c>
      <c r="M28" s="119">
        <f>'Input lokale heffingen 2018'!M45</f>
        <v>0.38</v>
      </c>
      <c r="N28" s="119">
        <f>'Input lokale heffingen 2018'!N45</f>
        <v>0.05</v>
      </c>
      <c r="O28" s="119">
        <f>'Input lokale heffingen 2018'!O45</f>
        <v>0</v>
      </c>
      <c r="P28" s="119">
        <f>'Input lokale heffingen 2018'!P45</f>
        <v>0.27</v>
      </c>
      <c r="Q28" s="119">
        <f>'Input lokale heffingen 2018'!Q45</f>
        <v>-0.13</v>
      </c>
      <c r="R28" s="119">
        <f>'Input lokale heffingen 2018'!R45</f>
        <v>0.19</v>
      </c>
    </row>
    <row r="29" spans="1:18" x14ac:dyDescent="0.2">
      <c r="A29" s="79"/>
      <c r="B29" s="78"/>
      <c r="C29" s="78"/>
      <c r="F29" s="78"/>
    </row>
    <row r="30" spans="1:18" x14ac:dyDescent="0.2">
      <c r="A30" s="79"/>
      <c r="B30" s="64" t="s">
        <v>146</v>
      </c>
      <c r="C30" s="78"/>
      <c r="F30" s="78" t="s">
        <v>128</v>
      </c>
      <c r="H30" s="122">
        <f>'Input parameters'!R19</f>
        <v>2E-3</v>
      </c>
    </row>
    <row r="31" spans="1:18" x14ac:dyDescent="0.2">
      <c r="A31" s="79"/>
      <c r="B31" s="64" t="s">
        <v>147</v>
      </c>
      <c r="C31" s="78"/>
      <c r="F31" s="78" t="s">
        <v>128</v>
      </c>
      <c r="H31" s="122">
        <f>'Input parameters'!S19</f>
        <v>1.4E-2</v>
      </c>
    </row>
    <row r="32" spans="1:18" x14ac:dyDescent="0.2">
      <c r="A32" s="79"/>
      <c r="B32" s="64"/>
      <c r="C32" s="78"/>
      <c r="F32" s="78"/>
    </row>
    <row r="33" spans="1:19" x14ac:dyDescent="0.2">
      <c r="A33" s="79"/>
      <c r="B33" s="93" t="s">
        <v>321</v>
      </c>
      <c r="C33" s="93"/>
      <c r="F33" s="78" t="s">
        <v>276</v>
      </c>
      <c r="L33" s="50">
        <f t="shared" ref="L33:R33" si="1">L26*(1-L$27/100+L$28/100+$H30)*(1-L$27/100+L$28/100+$H31)</f>
        <v>12335845.011290921</v>
      </c>
      <c r="M33" s="50">
        <f t="shared" si="1"/>
        <v>66916074.759881712</v>
      </c>
      <c r="N33" s="50">
        <f t="shared" si="1"/>
        <v>680917133.02240229</v>
      </c>
      <c r="O33" s="50">
        <f t="shared" si="1"/>
        <v>878623298.05834508</v>
      </c>
      <c r="P33" s="50">
        <f t="shared" si="1"/>
        <v>8049603.834194432</v>
      </c>
      <c r="Q33" s="50">
        <f t="shared" si="1"/>
        <v>542286323.46817529</v>
      </c>
      <c r="R33" s="50">
        <f t="shared" si="1"/>
        <v>31692404.516598415</v>
      </c>
    </row>
    <row r="34" spans="1:19" x14ac:dyDescent="0.2">
      <c r="A34" s="93"/>
      <c r="B34" s="85"/>
      <c r="C34" s="93"/>
      <c r="D34" s="93"/>
    </row>
    <row r="35" spans="1:19" s="43" customFormat="1" x14ac:dyDescent="0.2">
      <c r="B35" s="43" t="s">
        <v>139</v>
      </c>
    </row>
    <row r="36" spans="1:19" x14ac:dyDescent="0.2">
      <c r="A36" s="86"/>
      <c r="B36" s="86"/>
      <c r="C36" s="86"/>
      <c r="D36" s="86"/>
    </row>
    <row r="37" spans="1:19" x14ac:dyDescent="0.2">
      <c r="A37" s="107"/>
      <c r="B37" s="93" t="s">
        <v>300</v>
      </c>
      <c r="C37" s="93"/>
      <c r="F37" s="93" t="s">
        <v>276</v>
      </c>
      <c r="L37" s="50">
        <f>L33-L17</f>
        <v>-1502.5631225500256</v>
      </c>
      <c r="M37" s="50">
        <f t="shared" ref="M37:R37" si="2">M33-M17</f>
        <v>5935109.3758832514</v>
      </c>
      <c r="N37" s="50">
        <f t="shared" si="2"/>
        <v>1351376.4867928028</v>
      </c>
      <c r="O37" s="50">
        <f t="shared" si="2"/>
        <v>37552367.838926315</v>
      </c>
      <c r="P37" s="50">
        <f t="shared" si="2"/>
        <v>-107434.74817589577</v>
      </c>
      <c r="Q37" s="50">
        <f t="shared" si="2"/>
        <v>18237911.969773352</v>
      </c>
      <c r="R37" s="50">
        <f t="shared" si="2"/>
        <v>927.50089054182172</v>
      </c>
    </row>
    <row r="39" spans="1:19" x14ac:dyDescent="0.2">
      <c r="B39" s="112" t="s">
        <v>301</v>
      </c>
      <c r="C39" s="107"/>
      <c r="D39" s="107"/>
      <c r="E39" s="107"/>
      <c r="F39" s="101" t="s">
        <v>128</v>
      </c>
      <c r="H39" s="122">
        <f>Parameters!U34</f>
        <v>8.1600000000000117E-2</v>
      </c>
      <c r="L39" s="77"/>
      <c r="M39" s="77"/>
      <c r="N39" s="77"/>
      <c r="O39" s="77"/>
      <c r="P39" s="77"/>
      <c r="Q39" s="77"/>
      <c r="R39" s="77"/>
      <c r="S39" s="77"/>
    </row>
    <row r="40" spans="1:19" x14ac:dyDescent="0.2">
      <c r="L40" s="77"/>
      <c r="M40" s="77"/>
      <c r="N40" s="77"/>
      <c r="O40" s="77"/>
      <c r="P40" s="77"/>
      <c r="Q40" s="77"/>
      <c r="R40" s="77"/>
      <c r="S40" s="77"/>
    </row>
    <row r="41" spans="1:19" x14ac:dyDescent="0.2">
      <c r="B41" s="93" t="s">
        <v>302</v>
      </c>
      <c r="F41" s="99" t="s">
        <v>270</v>
      </c>
      <c r="L41" s="63">
        <f>L37*(1+$H$39)</f>
        <v>-1625.1722733501078</v>
      </c>
      <c r="M41" s="63">
        <f t="shared" ref="M41:R41" si="3">M37*(1+$H$39)</f>
        <v>6419414.3009553254</v>
      </c>
      <c r="N41" s="63">
        <f t="shared" si="3"/>
        <v>1461648.8081150956</v>
      </c>
      <c r="O41" s="63">
        <f t="shared" si="3"/>
        <v>40616641.054582708</v>
      </c>
      <c r="P41" s="63">
        <f t="shared" si="3"/>
        <v>-116201.42362704888</v>
      </c>
      <c r="Q41" s="63">
        <f t="shared" si="3"/>
        <v>19726125.586506858</v>
      </c>
      <c r="R41" s="63">
        <f t="shared" si="3"/>
        <v>1003.1849632100344</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CC"/>
  </sheetPr>
  <dimension ref="A2:T58"/>
  <sheetViews>
    <sheetView showGridLines="0" zoomScale="85" zoomScaleNormal="85" workbookViewId="0">
      <pane xSplit="6" ySplit="14" topLeftCell="G15" activePane="bottomRight" state="frozen"/>
      <selection activeCell="O38" sqref="O38"/>
      <selection pane="topRight" activeCell="O38" sqref="O38"/>
      <selection pane="bottomLeft" activeCell="O38" sqref="O38"/>
      <selection pane="bottomRight" activeCell="G15" sqref="G15"/>
    </sheetView>
  </sheetViews>
  <sheetFormatPr defaultRowHeight="12.75" x14ac:dyDescent="0.2"/>
  <cols>
    <col min="1" max="1" width="4" style="5" customWidth="1"/>
    <col min="2" max="2" width="45.710937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5" width="14" style="5" customWidth="1"/>
    <col min="16" max="16" width="12.5703125" style="5" customWidth="1"/>
    <col min="17" max="17" width="14" style="5" customWidth="1"/>
    <col min="18" max="18" width="12.5703125" style="5" customWidth="1"/>
    <col min="19" max="19" width="2.7109375" style="5" customWidth="1"/>
    <col min="20" max="34" width="13.7109375" style="5" customWidth="1"/>
    <col min="35" max="16384" width="9.140625" style="5"/>
  </cols>
  <sheetData>
    <row r="2" spans="2:20" s="16" customFormat="1" ht="18" x14ac:dyDescent="0.2">
      <c r="B2" s="16" t="s">
        <v>262</v>
      </c>
    </row>
    <row r="4" spans="2:20" x14ac:dyDescent="0.2">
      <c r="B4" s="35" t="s">
        <v>59</v>
      </c>
      <c r="C4" s="35"/>
      <c r="D4" s="35"/>
    </row>
    <row r="5" spans="2:20" x14ac:dyDescent="0.2">
      <c r="B5" s="87" t="s">
        <v>184</v>
      </c>
      <c r="C5" s="35"/>
      <c r="D5" s="35"/>
    </row>
    <row r="6" spans="2:20" x14ac:dyDescent="0.2">
      <c r="B6" s="87" t="s">
        <v>214</v>
      </c>
      <c r="C6" s="35"/>
      <c r="D6" s="35"/>
    </row>
    <row r="7" spans="2:20" x14ac:dyDescent="0.2">
      <c r="B7" s="87" t="s">
        <v>198</v>
      </c>
      <c r="C7" s="35"/>
      <c r="D7" s="35"/>
    </row>
    <row r="8" spans="2:20" x14ac:dyDescent="0.2">
      <c r="B8" s="87" t="s">
        <v>215</v>
      </c>
      <c r="C8" s="35"/>
      <c r="D8" s="35"/>
    </row>
    <row r="9" spans="2:20" x14ac:dyDescent="0.2">
      <c r="B9" s="87" t="s">
        <v>306</v>
      </c>
      <c r="C9" s="35"/>
      <c r="D9" s="35"/>
    </row>
    <row r="10" spans="2:20" x14ac:dyDescent="0.2">
      <c r="B10" s="87" t="s">
        <v>315</v>
      </c>
      <c r="C10" s="35"/>
      <c r="D10" s="35"/>
    </row>
    <row r="11" spans="2:20" x14ac:dyDescent="0.2">
      <c r="B11" s="87" t="s">
        <v>216</v>
      </c>
      <c r="C11" s="35"/>
      <c r="D11" s="35"/>
    </row>
    <row r="12" spans="2:20" x14ac:dyDescent="0.2">
      <c r="B12" s="35"/>
      <c r="C12" s="35"/>
      <c r="D12" s="35"/>
    </row>
    <row r="13" spans="2:20" s="43" customFormat="1" x14ac:dyDescent="0.2">
      <c r="B13" s="43" t="s">
        <v>45</v>
      </c>
      <c r="F13" s="43" t="s">
        <v>27</v>
      </c>
      <c r="H13" s="43" t="s">
        <v>28</v>
      </c>
      <c r="J13" s="43" t="s">
        <v>49</v>
      </c>
      <c r="L13" s="43" t="s">
        <v>111</v>
      </c>
      <c r="M13" s="43" t="s">
        <v>100</v>
      </c>
      <c r="N13" s="43" t="s">
        <v>101</v>
      </c>
      <c r="O13" s="43" t="s">
        <v>102</v>
      </c>
      <c r="P13" s="43" t="s">
        <v>103</v>
      </c>
      <c r="Q13" s="43" t="s">
        <v>104</v>
      </c>
      <c r="R13" s="43" t="s">
        <v>105</v>
      </c>
      <c r="T13" s="43" t="s">
        <v>47</v>
      </c>
    </row>
    <row r="16" spans="2:20" s="43" customFormat="1" x14ac:dyDescent="0.2">
      <c r="B16" s="43" t="s">
        <v>322</v>
      </c>
    </row>
    <row r="18" spans="1:20" x14ac:dyDescent="0.2">
      <c r="B18" s="35" t="s">
        <v>286</v>
      </c>
    </row>
    <row r="19" spans="1:20" x14ac:dyDescent="0.2">
      <c r="B19" s="37" t="s">
        <v>217</v>
      </c>
      <c r="F19" s="5" t="s">
        <v>138</v>
      </c>
      <c r="L19" s="120">
        <f>'Input inkoopkn Transport 2018'!L14</f>
        <v>3686772.937732263</v>
      </c>
      <c r="M19" s="120">
        <f>'Input inkoopkn Transport 2018'!M14</f>
        <v>10246056.183085894</v>
      </c>
      <c r="N19" s="120">
        <f>'Input inkoopkn Transport 2018'!N14</f>
        <v>179660011.99798381</v>
      </c>
      <c r="O19" s="120">
        <f>'Input inkoopkn Transport 2018'!O14</f>
        <v>167595992.24279189</v>
      </c>
      <c r="P19" s="120">
        <f>'Input inkoopkn Transport 2018'!P14</f>
        <v>2434756.1499236641</v>
      </c>
      <c r="Q19" s="120">
        <f>'Input inkoopkn Transport 2018'!Q14</f>
        <v>113058990.22601718</v>
      </c>
      <c r="R19" s="120">
        <f>'Input inkoopkn Transport 2018'!R14</f>
        <v>10529586.902996866</v>
      </c>
    </row>
    <row r="20" spans="1:20" x14ac:dyDescent="0.2">
      <c r="B20" s="5" t="s">
        <v>158</v>
      </c>
      <c r="F20" s="5" t="s">
        <v>128</v>
      </c>
      <c r="H20" s="121">
        <f>'Input parameters'!R19</f>
        <v>2E-3</v>
      </c>
    </row>
    <row r="21" spans="1:20" x14ac:dyDescent="0.2">
      <c r="B21" s="5" t="s">
        <v>303</v>
      </c>
      <c r="F21" s="5" t="s">
        <v>128</v>
      </c>
      <c r="H21" s="121">
        <f>'Input parameters'!S19</f>
        <v>1.4E-2</v>
      </c>
    </row>
    <row r="22" spans="1:20" x14ac:dyDescent="0.2">
      <c r="B22" s="35"/>
    </row>
    <row r="23" spans="1:20" x14ac:dyDescent="0.2">
      <c r="B23" s="5" t="s">
        <v>304</v>
      </c>
      <c r="F23" s="5" t="s">
        <v>276</v>
      </c>
      <c r="L23" s="7">
        <f>L19*(1+$H$20)*(1+$H$21)</f>
        <v>3745864.5343782357</v>
      </c>
      <c r="M23" s="7">
        <f t="shared" ref="M23:R23" si="0">M19*(1+$H$20)*(1+$H$21)</f>
        <v>10410279.971588396</v>
      </c>
      <c r="N23" s="7">
        <f t="shared" si="0"/>
        <v>182539602.67028749</v>
      </c>
      <c r="O23" s="7">
        <f t="shared" si="0"/>
        <v>170282220.80645937</v>
      </c>
      <c r="P23" s="7">
        <f t="shared" si="0"/>
        <v>2473780.4214946404</v>
      </c>
      <c r="Q23" s="7">
        <f t="shared" si="0"/>
        <v>114871099.72135977</v>
      </c>
      <c r="R23" s="7">
        <f t="shared" si="0"/>
        <v>10698355.121878099</v>
      </c>
    </row>
    <row r="25" spans="1:20" x14ac:dyDescent="0.2">
      <c r="B25" s="35" t="s">
        <v>305</v>
      </c>
    </row>
    <row r="26" spans="1:20" x14ac:dyDescent="0.2">
      <c r="B26" s="5" t="s">
        <v>109</v>
      </c>
      <c r="L26" s="120">
        <f>'Input SO transportdienst 2018'!L184</f>
        <v>15700094.594148817</v>
      </c>
      <c r="M26" s="120">
        <f>'Input SO transportdienst 2018'!M184</f>
        <v>61849451.062034018</v>
      </c>
      <c r="N26" s="120">
        <f>'Input SO transportdienst 2018'!N184</f>
        <v>818165813.91753411</v>
      </c>
      <c r="O26" s="120">
        <f>'Input SO transportdienst 2018'!O184</f>
        <v>893174750.21368194</v>
      </c>
      <c r="P26" s="120">
        <f>'Input SO transportdienst 2018'!P184</f>
        <v>9352407.2717518285</v>
      </c>
      <c r="Q26" s="120">
        <f>'Input SO transportdienst 2018'!Q184</f>
        <v>571864065.15003884</v>
      </c>
      <c r="R26" s="120">
        <f>'Input SO transportdienst 2018'!R184</f>
        <v>39915301.635512888</v>
      </c>
    </row>
    <row r="27" spans="1:20" x14ac:dyDescent="0.2">
      <c r="A27" s="38"/>
      <c r="B27" s="5" t="s">
        <v>323</v>
      </c>
      <c r="F27" s="5" t="s">
        <v>106</v>
      </c>
      <c r="H27" s="119">
        <f>'Input inkoopkn Transport 2018'!H26</f>
        <v>0.96742182303404756</v>
      </c>
      <c r="L27" s="75"/>
      <c r="M27" s="75"/>
      <c r="N27" s="75"/>
      <c r="O27" s="75"/>
      <c r="P27" s="75"/>
      <c r="Q27" s="75"/>
      <c r="R27" s="75"/>
      <c r="T27" s="93"/>
    </row>
    <row r="28" spans="1:20" x14ac:dyDescent="0.2">
      <c r="B28" s="5" t="s">
        <v>305</v>
      </c>
      <c r="L28" s="76">
        <f>$H$27*L26</f>
        <v>15188614.134078443</v>
      </c>
      <c r="M28" s="76">
        <f t="shared" ref="M28:R28" si="1">$H$27*M26</f>
        <v>59834508.700088061</v>
      </c>
      <c r="N28" s="76">
        <f t="shared" si="1"/>
        <v>791511463.24423611</v>
      </c>
      <c r="O28" s="76">
        <f t="shared" si="1"/>
        <v>864076745.13970029</v>
      </c>
      <c r="P28" s="76">
        <f t="shared" si="1"/>
        <v>9047722.8925950378</v>
      </c>
      <c r="Q28" s="76">
        <f t="shared" si="1"/>
        <v>553233776.43511188</v>
      </c>
      <c r="R28" s="76">
        <f t="shared" si="1"/>
        <v>38614933.875181779</v>
      </c>
    </row>
    <row r="30" spans="1:20" x14ac:dyDescent="0.2">
      <c r="B30" s="35" t="s">
        <v>140</v>
      </c>
    </row>
    <row r="31" spans="1:20" x14ac:dyDescent="0.2">
      <c r="B31" s="5" t="s">
        <v>324</v>
      </c>
      <c r="F31" s="5" t="s">
        <v>106</v>
      </c>
      <c r="L31" s="120">
        <f>'Input inkoopkn Transport 2018'!L17</f>
        <v>14546672.954315901</v>
      </c>
      <c r="M31" s="120">
        <f>'Input inkoopkn Transport 2018'!M17</f>
        <v>57118976.061700098</v>
      </c>
      <c r="N31" s="120">
        <f>'Input inkoopkn Transport 2018'!N17</f>
        <v>764074309.1545372</v>
      </c>
      <c r="O31" s="120">
        <f>'Input inkoopkn Transport 2018'!O17</f>
        <v>829478101.97648692</v>
      </c>
      <c r="P31" s="120">
        <f>'Input inkoopkn Transport 2018'!P17</f>
        <v>8888729.4259983618</v>
      </c>
      <c r="Q31" s="120">
        <f>'Input inkoopkn Transport 2018'!Q17</f>
        <v>557013815.41303325</v>
      </c>
      <c r="R31" s="120">
        <f>'Input inkoopkn Transport 2018'!R17</f>
        <v>33182110.436768584</v>
      </c>
    </row>
    <row r="32" spans="1:20" x14ac:dyDescent="0.2">
      <c r="B32" s="5" t="s">
        <v>307</v>
      </c>
      <c r="F32" s="5" t="s">
        <v>106</v>
      </c>
      <c r="L32" s="120">
        <f>L28</f>
        <v>15188614.134078443</v>
      </c>
      <c r="M32" s="120">
        <f t="shared" ref="M32:R32" si="2">M28</f>
        <v>59834508.700088061</v>
      </c>
      <c r="N32" s="120">
        <f t="shared" si="2"/>
        <v>791511463.24423611</v>
      </c>
      <c r="O32" s="120">
        <f t="shared" si="2"/>
        <v>864076745.13970029</v>
      </c>
      <c r="P32" s="120">
        <f t="shared" si="2"/>
        <v>9047722.8925950378</v>
      </c>
      <c r="Q32" s="120">
        <f t="shared" si="2"/>
        <v>553233776.43511188</v>
      </c>
      <c r="R32" s="120">
        <f t="shared" si="2"/>
        <v>38614933.875181779</v>
      </c>
    </row>
    <row r="33" spans="2:18" x14ac:dyDescent="0.2">
      <c r="B33" s="5" t="s">
        <v>308</v>
      </c>
      <c r="F33" s="5" t="s">
        <v>128</v>
      </c>
      <c r="L33" s="62">
        <f>(L32/L31)-1</f>
        <v>4.4129759552481218E-2</v>
      </c>
      <c r="M33" s="62">
        <f t="shared" ref="M33:R33" si="3">(M32/M31)-1</f>
        <v>4.7541689743433757E-2</v>
      </c>
      <c r="N33" s="62">
        <f t="shared" si="3"/>
        <v>3.590901272424496E-2</v>
      </c>
      <c r="O33" s="62">
        <f t="shared" si="3"/>
        <v>4.1711340035103239E-2</v>
      </c>
      <c r="P33" s="62">
        <f t="shared" si="3"/>
        <v>1.7887085878848019E-2</v>
      </c>
      <c r="Q33" s="62">
        <f t="shared" si="3"/>
        <v>-6.7862571328116683E-3</v>
      </c>
      <c r="R33" s="62">
        <f t="shared" si="3"/>
        <v>0.16372748348137511</v>
      </c>
    </row>
    <row r="35" spans="2:18" x14ac:dyDescent="0.2">
      <c r="B35" s="35" t="s">
        <v>309</v>
      </c>
    </row>
    <row r="36" spans="2:18" x14ac:dyDescent="0.2">
      <c r="B36" s="5" t="s">
        <v>310</v>
      </c>
      <c r="F36" s="5" t="s">
        <v>276</v>
      </c>
      <c r="L36" s="7">
        <f>L23*(1+L33)</f>
        <v>3911168.6355965142</v>
      </c>
      <c r="M36" s="7">
        <f>M23*(1+M33)</f>
        <v>10905202.272139933</v>
      </c>
      <c r="N36" s="7">
        <f t="shared" ref="N36:Q36" si="4">N23*(1+N33)</f>
        <v>189094419.58525348</v>
      </c>
      <c r="O36" s="7">
        <f t="shared" si="4"/>
        <v>177384920.42045012</v>
      </c>
      <c r="P36" s="7">
        <f t="shared" si="4"/>
        <v>2518029.1443393277</v>
      </c>
      <c r="Q36" s="7">
        <f t="shared" si="4"/>
        <v>114091554.90152177</v>
      </c>
      <c r="R36" s="7">
        <f>R23*(1+R33)</f>
        <v>12449969.883373279</v>
      </c>
    </row>
    <row r="39" spans="2:18" s="43" customFormat="1" x14ac:dyDescent="0.2">
      <c r="B39" s="43" t="s">
        <v>141</v>
      </c>
    </row>
    <row r="41" spans="2:18" x14ac:dyDescent="0.2">
      <c r="B41" s="35" t="s">
        <v>311</v>
      </c>
    </row>
    <row r="42" spans="2:18" x14ac:dyDescent="0.2">
      <c r="B42" s="5" t="s">
        <v>284</v>
      </c>
      <c r="F42" s="5" t="s">
        <v>276</v>
      </c>
      <c r="L42" s="120">
        <f>'Input inkoopkn Transport 2018'!L21</f>
        <v>0</v>
      </c>
      <c r="M42" s="120">
        <f>'Input inkoopkn Transport 2018'!M21</f>
        <v>12389300.77</v>
      </c>
      <c r="N42" s="120">
        <f>'Input inkoopkn Transport 2018'!N21</f>
        <v>185367881.91999999</v>
      </c>
      <c r="O42" s="120">
        <f>'Input inkoopkn Transport 2018'!O21</f>
        <v>175318026.47999999</v>
      </c>
      <c r="P42" s="120">
        <f>'Input inkoopkn Transport 2018'!P21</f>
        <v>0</v>
      </c>
      <c r="Q42" s="120">
        <f>'Input inkoopkn Transport 2018'!Q21</f>
        <v>110754495.11999999</v>
      </c>
      <c r="R42" s="120">
        <f>'Input inkoopkn Transport 2018'!R21</f>
        <v>11015037.459999999</v>
      </c>
    </row>
    <row r="43" spans="2:18" x14ac:dyDescent="0.2">
      <c r="B43" s="5" t="s">
        <v>285</v>
      </c>
      <c r="F43" s="5" t="s">
        <v>276</v>
      </c>
      <c r="L43" s="120">
        <f>'Input inkoopkn Transport 2018'!L22</f>
        <v>3382920</v>
      </c>
      <c r="M43" s="120">
        <f>'Input inkoopkn Transport 2018'!M22</f>
        <v>0</v>
      </c>
      <c r="N43" s="120">
        <f>'Input inkoopkn Transport 2018'!N22</f>
        <v>137712.92963203668</v>
      </c>
      <c r="O43" s="120">
        <f>'Input inkoopkn Transport 2018'!O22</f>
        <v>1335603.0800000003</v>
      </c>
      <c r="P43" s="120">
        <f>'Input inkoopkn Transport 2018'!P22</f>
        <v>2126441.4700000002</v>
      </c>
      <c r="Q43" s="120">
        <f>'Input inkoopkn Transport 2018'!Q22</f>
        <v>2687274.2512000003</v>
      </c>
      <c r="R43" s="120">
        <f>'Input inkoopkn Transport 2018'!R22</f>
        <v>283560.60713999998</v>
      </c>
    </row>
    <row r="44" spans="2:18" x14ac:dyDescent="0.2">
      <c r="B44" s="5" t="s">
        <v>312</v>
      </c>
      <c r="F44" s="5" t="s">
        <v>276</v>
      </c>
      <c r="L44" s="7">
        <f>SUM(L42:L43)</f>
        <v>3382920</v>
      </c>
      <c r="M44" s="7">
        <f t="shared" ref="M44:R44" si="5">SUM(M42:M43)</f>
        <v>12389300.77</v>
      </c>
      <c r="N44" s="7">
        <f t="shared" si="5"/>
        <v>185505594.84963202</v>
      </c>
      <c r="O44" s="7">
        <f t="shared" si="5"/>
        <v>176653629.56</v>
      </c>
      <c r="P44" s="7">
        <f t="shared" si="5"/>
        <v>2126441.4700000002</v>
      </c>
      <c r="Q44" s="7">
        <f t="shared" si="5"/>
        <v>113441769.3712</v>
      </c>
      <c r="R44" s="7">
        <f t="shared" si="5"/>
        <v>11298598.067139998</v>
      </c>
    </row>
    <row r="47" spans="2:18" s="43" customFormat="1" x14ac:dyDescent="0.2">
      <c r="B47" s="43" t="s">
        <v>142</v>
      </c>
    </row>
    <row r="49" spans="2:18" x14ac:dyDescent="0.2">
      <c r="B49" s="5" t="s">
        <v>313</v>
      </c>
      <c r="F49" s="5" t="s">
        <v>276</v>
      </c>
      <c r="L49" s="7">
        <f>L44-L36</f>
        <v>-528248.63559651421</v>
      </c>
      <c r="M49" s="7">
        <f t="shared" ref="M49:R49" si="6">M44-M36</f>
        <v>1484098.4978600666</v>
      </c>
      <c r="N49" s="7">
        <f t="shared" si="6"/>
        <v>-3588824.7356214523</v>
      </c>
      <c r="O49" s="7">
        <f t="shared" si="6"/>
        <v>-731290.86045011878</v>
      </c>
      <c r="P49" s="7">
        <f t="shared" si="6"/>
        <v>-391587.6743393275</v>
      </c>
      <c r="Q49" s="7">
        <f t="shared" si="6"/>
        <v>-649785.53032177687</v>
      </c>
      <c r="R49" s="7">
        <f t="shared" si="6"/>
        <v>-1151371.816233281</v>
      </c>
    </row>
    <row r="51" spans="2:18" x14ac:dyDescent="0.2">
      <c r="B51" s="112" t="s">
        <v>301</v>
      </c>
      <c r="C51" s="107"/>
      <c r="D51" s="107"/>
      <c r="E51" s="107"/>
      <c r="F51" s="101" t="s">
        <v>128</v>
      </c>
      <c r="H51" s="122">
        <f>Parameters!U34</f>
        <v>8.1600000000000117E-2</v>
      </c>
      <c r="L51" s="77"/>
      <c r="M51" s="77"/>
      <c r="N51" s="77"/>
      <c r="O51" s="77"/>
      <c r="P51" s="77"/>
      <c r="Q51" s="77"/>
      <c r="R51" s="77"/>
    </row>
    <row r="52" spans="2:18" x14ac:dyDescent="0.2">
      <c r="L52" s="77"/>
      <c r="M52" s="77"/>
      <c r="N52" s="77"/>
      <c r="O52" s="77"/>
      <c r="P52" s="77"/>
      <c r="Q52" s="77"/>
      <c r="R52" s="77"/>
    </row>
    <row r="53" spans="2:18" x14ac:dyDescent="0.2">
      <c r="B53" s="93" t="s">
        <v>314</v>
      </c>
      <c r="F53" s="99" t="s">
        <v>270</v>
      </c>
      <c r="L53" s="63">
        <f>L49*(1+$H$51)</f>
        <v>-571353.72426118981</v>
      </c>
      <c r="M53" s="63">
        <f>M49*(1+$H$51)</f>
        <v>1605200.9352854481</v>
      </c>
      <c r="N53" s="63">
        <f t="shared" ref="N53:Q53" si="7">N49*(1+$H$51)</f>
        <v>-3881672.8340481631</v>
      </c>
      <c r="O53" s="63">
        <f t="shared" si="7"/>
        <v>-790964.1946628486</v>
      </c>
      <c r="P53" s="63">
        <f t="shared" si="7"/>
        <v>-423541.22856541665</v>
      </c>
      <c r="Q53" s="63">
        <f t="shared" si="7"/>
        <v>-702808.02959603397</v>
      </c>
      <c r="R53" s="63">
        <f>R49*(1+$H$51)</f>
        <v>-1245323.756437917</v>
      </c>
    </row>
    <row r="56" spans="2:18" x14ac:dyDescent="0.2">
      <c r="L56" s="77"/>
      <c r="M56" s="77"/>
      <c r="N56" s="77"/>
      <c r="O56" s="77"/>
      <c r="P56" s="77"/>
      <c r="Q56" s="77"/>
      <c r="R56" s="77"/>
    </row>
    <row r="58" spans="2:18" x14ac:dyDescent="0.2">
      <c r="L58" s="61"/>
      <c r="M58" s="61"/>
      <c r="N58" s="61"/>
      <c r="O58" s="61"/>
      <c r="P58" s="61"/>
      <c r="Q58" s="61"/>
      <c r="R58" s="6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CC"/>
  </sheetPr>
  <dimension ref="B2:X26"/>
  <sheetViews>
    <sheetView showGridLines="0" zoomScale="85" zoomScaleNormal="85" workbookViewId="0">
      <pane xSplit="6" ySplit="14" topLeftCell="G15" activePane="bottomRight" state="frozen"/>
      <selection activeCell="K21" sqref="K21"/>
      <selection pane="topRight" activeCell="K21" sqref="K21"/>
      <selection pane="bottomLeft" activeCell="K21" sqref="K21"/>
      <selection pane="bottomRight" activeCell="G15" sqref="G15"/>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7" width="12.5703125" style="77" customWidth="1"/>
    <col min="18" max="18" width="13" style="77" customWidth="1"/>
    <col min="19" max="20" width="12.5703125" style="77" customWidth="1"/>
    <col min="21" max="23" width="2.7109375" style="5" customWidth="1"/>
    <col min="24" max="38" width="13.7109375" style="5" customWidth="1"/>
    <col min="39" max="16384" width="9.140625" style="5"/>
  </cols>
  <sheetData>
    <row r="2" spans="2:24" s="16" customFormat="1" ht="18" x14ac:dyDescent="0.2">
      <c r="B2" s="16" t="s">
        <v>266</v>
      </c>
      <c r="L2" s="60"/>
      <c r="M2" s="60"/>
      <c r="N2" s="60"/>
      <c r="O2" s="60"/>
      <c r="P2" s="60"/>
      <c r="Q2" s="60"/>
      <c r="R2" s="60"/>
      <c r="S2" s="60"/>
      <c r="T2" s="60"/>
    </row>
    <row r="4" spans="2:24" x14ac:dyDescent="0.2">
      <c r="B4" s="35" t="s">
        <v>59</v>
      </c>
      <c r="C4" s="35"/>
      <c r="D4" s="35"/>
    </row>
    <row r="5" spans="2:24" s="99" customFormat="1" x14ac:dyDescent="0.2">
      <c r="B5" s="99" t="s">
        <v>174</v>
      </c>
    </row>
    <row r="6" spans="2:24" s="99" customFormat="1" x14ac:dyDescent="0.2">
      <c r="B6" s="99" t="s">
        <v>267</v>
      </c>
    </row>
    <row r="7" spans="2:24" s="99" customFormat="1" x14ac:dyDescent="0.2"/>
    <row r="8" spans="2:24" s="99" customFormat="1" x14ac:dyDescent="0.2">
      <c r="B8" s="99" t="s">
        <v>175</v>
      </c>
    </row>
    <row r="9" spans="2:24" s="99" customFormat="1" x14ac:dyDescent="0.2">
      <c r="B9" s="99" t="s">
        <v>176</v>
      </c>
    </row>
    <row r="10" spans="2:24" s="99" customFormat="1" x14ac:dyDescent="0.2">
      <c r="B10" s="99" t="s">
        <v>181</v>
      </c>
    </row>
    <row r="11" spans="2:24" s="99" customFormat="1" x14ac:dyDescent="0.2">
      <c r="B11" s="99" t="s">
        <v>268</v>
      </c>
    </row>
    <row r="12" spans="2:24" s="99" customFormat="1" x14ac:dyDescent="0.2"/>
    <row r="13" spans="2:24" s="43" customFormat="1" x14ac:dyDescent="0.2">
      <c r="B13" s="43" t="s">
        <v>45</v>
      </c>
      <c r="F13" s="43" t="s">
        <v>27</v>
      </c>
      <c r="H13" s="43" t="s">
        <v>28</v>
      </c>
      <c r="J13" s="43" t="s">
        <v>49</v>
      </c>
      <c r="L13" s="59" t="s">
        <v>111</v>
      </c>
      <c r="M13" s="59" t="s">
        <v>100</v>
      </c>
      <c r="N13" s="59" t="s">
        <v>112</v>
      </c>
      <c r="O13" s="59" t="s">
        <v>101</v>
      </c>
      <c r="P13" s="59" t="s">
        <v>102</v>
      </c>
      <c r="Q13" s="59" t="s">
        <v>103</v>
      </c>
      <c r="R13" s="59" t="s">
        <v>104</v>
      </c>
      <c r="S13" s="59" t="s">
        <v>105</v>
      </c>
      <c r="T13" s="59" t="s">
        <v>177</v>
      </c>
      <c r="X13" s="43" t="s">
        <v>47</v>
      </c>
    </row>
    <row r="16" spans="2:24" s="43" customFormat="1" x14ac:dyDescent="0.2">
      <c r="B16" s="58" t="s">
        <v>178</v>
      </c>
      <c r="L16" s="59"/>
      <c r="M16" s="59"/>
      <c r="N16" s="59"/>
      <c r="O16" s="59"/>
      <c r="P16" s="59"/>
      <c r="Q16" s="59"/>
      <c r="R16" s="59"/>
      <c r="S16" s="59"/>
      <c r="T16" s="59"/>
    </row>
    <row r="17" spans="2:24" s="39" customFormat="1" x14ac:dyDescent="0.2">
      <c r="D17" s="5"/>
      <c r="E17" s="5"/>
      <c r="F17" s="5"/>
      <c r="G17" s="5"/>
      <c r="H17" s="5"/>
      <c r="I17" s="5"/>
      <c r="J17" s="107"/>
    </row>
    <row r="18" spans="2:24" x14ac:dyDescent="0.2">
      <c r="B18" s="99" t="s">
        <v>179</v>
      </c>
      <c r="C18" s="99"/>
      <c r="E18" s="99"/>
      <c r="F18" s="99" t="s">
        <v>128</v>
      </c>
      <c r="G18" s="99"/>
      <c r="H18" s="121">
        <f>'Input x-factor, begininkomsten'!H20</f>
        <v>1.1084981936615199E-2</v>
      </c>
      <c r="L18" s="57"/>
      <c r="M18" s="57"/>
      <c r="N18" s="57"/>
      <c r="O18" s="56"/>
      <c r="P18" s="57"/>
      <c r="Q18" s="57"/>
      <c r="R18" s="55"/>
      <c r="S18" s="57"/>
      <c r="T18" s="57"/>
      <c r="X18" s="113"/>
    </row>
    <row r="19" spans="2:24" x14ac:dyDescent="0.2">
      <c r="B19" s="99"/>
      <c r="C19" s="99"/>
      <c r="E19" s="99"/>
      <c r="F19" s="99"/>
      <c r="G19" s="99"/>
      <c r="H19" s="54"/>
      <c r="L19" s="53"/>
      <c r="M19" s="53"/>
      <c r="N19" s="53"/>
      <c r="O19" s="52"/>
      <c r="P19" s="53"/>
      <c r="Q19" s="53"/>
      <c r="R19" s="52"/>
      <c r="S19" s="53"/>
      <c r="T19" s="53"/>
      <c r="X19" s="99"/>
    </row>
    <row r="20" spans="2:24" s="99" customFormat="1" x14ac:dyDescent="0.2">
      <c r="B20" s="99" t="s">
        <v>269</v>
      </c>
      <c r="F20" s="99" t="s">
        <v>270</v>
      </c>
      <c r="H20" s="120">
        <f>'TI-berekening 2020'!Q36</f>
        <v>648073746.12279427</v>
      </c>
      <c r="K20" s="102"/>
      <c r="L20" s="57"/>
      <c r="M20" s="57"/>
      <c r="N20" s="57"/>
      <c r="O20" s="57"/>
      <c r="P20" s="57"/>
      <c r="Q20" s="57"/>
      <c r="R20" s="51"/>
      <c r="S20" s="57"/>
      <c r="T20" s="57"/>
      <c r="X20" s="91"/>
    </row>
    <row r="22" spans="2:24" s="43" customFormat="1" x14ac:dyDescent="0.2">
      <c r="B22" s="58" t="s">
        <v>139</v>
      </c>
      <c r="L22" s="59"/>
      <c r="M22" s="59"/>
      <c r="N22" s="59"/>
      <c r="O22" s="59"/>
      <c r="P22" s="59"/>
      <c r="Q22" s="59"/>
      <c r="R22" s="59"/>
      <c r="S22" s="59"/>
      <c r="T22" s="59"/>
    </row>
    <row r="23" spans="2:24" x14ac:dyDescent="0.2">
      <c r="B23" s="99"/>
      <c r="C23" s="99"/>
      <c r="E23" s="99"/>
      <c r="F23" s="99"/>
      <c r="G23" s="99"/>
      <c r="H23" s="54"/>
    </row>
    <row r="24" spans="2:24" x14ac:dyDescent="0.2">
      <c r="B24" s="99" t="s">
        <v>271</v>
      </c>
      <c r="C24" s="99"/>
      <c r="E24" s="99"/>
      <c r="F24" s="99" t="s">
        <v>270</v>
      </c>
      <c r="H24" s="50">
        <f>H18*H20</f>
        <v>7183885.7693657186</v>
      </c>
    </row>
    <row r="26" spans="2:24" x14ac:dyDescent="0.2">
      <c r="B26" s="5" t="s">
        <v>180</v>
      </c>
      <c r="F26" s="99" t="s">
        <v>270</v>
      </c>
      <c r="L26" s="49"/>
      <c r="M26" s="49"/>
      <c r="N26" s="49"/>
      <c r="O26" s="63">
        <f>H24</f>
        <v>7183885.7693657186</v>
      </c>
      <c r="P26" s="49"/>
      <c r="Q26" s="49"/>
      <c r="R26" s="63">
        <f>-H24</f>
        <v>-7183885.7693657186</v>
      </c>
      <c r="S26" s="49"/>
      <c r="T26" s="4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W23"/>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5" customWidth="1"/>
    <col min="2" max="2" width="41.42578125" style="5" customWidth="1"/>
    <col min="3" max="3" width="4.7109375" style="5" customWidth="1"/>
    <col min="4"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9" width="12.5703125" style="5" customWidth="1"/>
    <col min="20" max="20" width="2.7109375" style="5" customWidth="1"/>
    <col min="21" max="21" width="17.140625" style="5" customWidth="1"/>
    <col min="22" max="22" width="2.7109375" style="5" customWidth="1"/>
    <col min="23" max="23" width="13.7109375" style="5" customWidth="1"/>
    <col min="24" max="24" width="2.7109375" style="5" customWidth="1"/>
    <col min="25" max="39" width="13.7109375" style="5" customWidth="1"/>
    <col min="40" max="16384" width="9.140625" style="5"/>
  </cols>
  <sheetData>
    <row r="2" spans="2:23" s="16" customFormat="1" ht="18" x14ac:dyDescent="0.2">
      <c r="B2" s="16" t="s">
        <v>351</v>
      </c>
    </row>
    <row r="4" spans="2:23" x14ac:dyDescent="0.2">
      <c r="B4" s="124" t="s">
        <v>59</v>
      </c>
    </row>
    <row r="5" spans="2:23" ht="12" customHeight="1" x14ac:dyDescent="0.25">
      <c r="B5" s="74" t="s">
        <v>352</v>
      </c>
      <c r="C5" s="35"/>
      <c r="D5" s="35"/>
      <c r="L5" s="125"/>
    </row>
    <row r="6" spans="2:23" x14ac:dyDescent="0.2">
      <c r="B6" s="5" t="s">
        <v>356</v>
      </c>
      <c r="C6" s="37"/>
      <c r="D6" s="37"/>
      <c r="H6" s="15"/>
    </row>
    <row r="7" spans="2:23" x14ac:dyDescent="0.2">
      <c r="B7" s="74" t="s">
        <v>353</v>
      </c>
      <c r="C7" s="37"/>
      <c r="D7" s="37"/>
      <c r="H7" s="15"/>
    </row>
    <row r="10" spans="2:23" s="43" customFormat="1" x14ac:dyDescent="0.2">
      <c r="B10" s="43" t="s">
        <v>45</v>
      </c>
      <c r="F10" s="43" t="s">
        <v>27</v>
      </c>
      <c r="H10" s="43" t="s">
        <v>28</v>
      </c>
      <c r="J10" s="43" t="s">
        <v>49</v>
      </c>
      <c r="L10" s="43" t="s">
        <v>111</v>
      </c>
      <c r="M10" s="43" t="s">
        <v>100</v>
      </c>
      <c r="N10" s="43" t="s">
        <v>101</v>
      </c>
      <c r="O10" s="43" t="s">
        <v>102</v>
      </c>
      <c r="P10" s="43" t="s">
        <v>103</v>
      </c>
      <c r="Q10" s="43" t="s">
        <v>104</v>
      </c>
      <c r="R10" s="43" t="s">
        <v>105</v>
      </c>
      <c r="S10" s="43" t="s">
        <v>177</v>
      </c>
      <c r="U10" s="43" t="s">
        <v>46</v>
      </c>
      <c r="W10" s="43" t="s">
        <v>47</v>
      </c>
    </row>
    <row r="13" spans="2:23" s="43" customFormat="1" x14ac:dyDescent="0.2">
      <c r="B13" s="43" t="s">
        <v>178</v>
      </c>
    </row>
    <row r="15" spans="2:23" x14ac:dyDescent="0.2">
      <c r="B15" s="5" t="s">
        <v>331</v>
      </c>
      <c r="F15" s="126" t="s">
        <v>276</v>
      </c>
      <c r="L15" s="120">
        <f>'Input faillissement Flexenergie'!L17</f>
        <v>4710.2299999999996</v>
      </c>
      <c r="M15" s="120">
        <f>'Input faillissement Flexenergie'!M17</f>
        <v>25213.18</v>
      </c>
      <c r="N15" s="120">
        <f>'Input faillissement Flexenergie'!N17</f>
        <v>443422.02</v>
      </c>
      <c r="O15" s="120">
        <f>'Input faillissement Flexenergie'!O17</f>
        <v>681266</v>
      </c>
      <c r="P15" s="120">
        <f>'Input faillissement Flexenergie'!P17</f>
        <v>4301</v>
      </c>
      <c r="Q15" s="120">
        <f>'Input faillissement Flexenergie'!Q17</f>
        <v>343256.33</v>
      </c>
      <c r="R15" s="120">
        <f>'Input faillissement Flexenergie'!R17</f>
        <v>14436.17</v>
      </c>
      <c r="S15" s="120">
        <f>'Input faillissement Flexenergie'!S17</f>
        <v>0</v>
      </c>
      <c r="U15" s="5" t="s">
        <v>332</v>
      </c>
    </row>
    <row r="17" spans="2:20" x14ac:dyDescent="0.2">
      <c r="B17" s="5" t="s">
        <v>357</v>
      </c>
      <c r="C17" s="127"/>
      <c r="D17" s="127"/>
      <c r="E17" s="127"/>
      <c r="F17" s="131" t="s">
        <v>128</v>
      </c>
      <c r="H17" s="133">
        <f>'Input parameters'!H41</f>
        <v>0.21</v>
      </c>
    </row>
    <row r="18" spans="2:20" x14ac:dyDescent="0.2">
      <c r="B18" s="126" t="s">
        <v>301</v>
      </c>
      <c r="C18" s="127"/>
      <c r="D18" s="127"/>
      <c r="E18" s="127"/>
      <c r="F18" s="128" t="s">
        <v>128</v>
      </c>
      <c r="H18" s="129">
        <f>Parameters!U34</f>
        <v>8.1600000000000117E-2</v>
      </c>
    </row>
    <row r="20" spans="2:20" s="43" customFormat="1" x14ac:dyDescent="0.2">
      <c r="B20" s="43" t="s">
        <v>139</v>
      </c>
    </row>
    <row r="23" spans="2:20" x14ac:dyDescent="0.2">
      <c r="B23" s="5" t="s">
        <v>354</v>
      </c>
      <c r="F23" s="5" t="s">
        <v>270</v>
      </c>
      <c r="L23" s="50">
        <f t="shared" ref="L23:S23" si="0">L15*(1+$H$18)*(1+$H$17)</f>
        <v>6164.4475692799997</v>
      </c>
      <c r="M23" s="50">
        <f t="shared" si="0"/>
        <v>32997.396340480002</v>
      </c>
      <c r="N23" s="50">
        <f t="shared" si="0"/>
        <v>580322.36076672014</v>
      </c>
      <c r="O23" s="50">
        <f t="shared" si="0"/>
        <v>891597.33977600012</v>
      </c>
      <c r="P23" s="50">
        <f t="shared" si="0"/>
        <v>5628.8735360000001</v>
      </c>
      <c r="Q23" s="50">
        <f t="shared" si="0"/>
        <v>449231.91629888001</v>
      </c>
      <c r="R23" s="50">
        <f t="shared" si="0"/>
        <v>18893.135381120002</v>
      </c>
      <c r="S23" s="50">
        <f t="shared" si="0"/>
        <v>0</v>
      </c>
      <c r="T23" s="13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CC8D9"/>
  </sheetPr>
  <dimension ref="B2:N56"/>
  <sheetViews>
    <sheetView showGridLines="0" zoomScale="85" zoomScaleNormal="85" workbookViewId="0">
      <pane ySplit="3" topLeftCell="A4" activePane="bottomLeft" state="frozen"/>
      <selection activeCell="O38" sqref="O38"/>
      <selection pane="bottomLeft" activeCell="A4" sqref="A4"/>
    </sheetView>
  </sheetViews>
  <sheetFormatPr defaultRowHeight="12.75" x14ac:dyDescent="0.2"/>
  <cols>
    <col min="1" max="7" width="9.140625" style="5" customWidth="1"/>
    <col min="8" max="16384" width="9.140625" style="5"/>
  </cols>
  <sheetData>
    <row r="2" spans="2:14" s="36" customFormat="1" ht="18" x14ac:dyDescent="0.2">
      <c r="B2" s="25" t="s">
        <v>53</v>
      </c>
      <c r="D2" s="41"/>
    </row>
    <row r="4" spans="2:14" s="43" customFormat="1" x14ac:dyDescent="0.2">
      <c r="B4" s="43" t="s">
        <v>14</v>
      </c>
    </row>
    <row r="6" spans="2:14" x14ac:dyDescent="0.2">
      <c r="B6" s="112" t="s">
        <v>186</v>
      </c>
    </row>
    <row r="7" spans="2:14" x14ac:dyDescent="0.2">
      <c r="B7" s="99" t="s">
        <v>185</v>
      </c>
    </row>
    <row r="8" spans="2:14" x14ac:dyDescent="0.2">
      <c r="B8" s="103" t="s">
        <v>187</v>
      </c>
    </row>
    <row r="10" spans="2:14" s="43" customFormat="1" x14ac:dyDescent="0.2">
      <c r="B10" s="43" t="s">
        <v>62</v>
      </c>
    </row>
    <row r="12" spans="2:14" ht="15" x14ac:dyDescent="0.2">
      <c r="B12" s="104"/>
      <c r="C12" s="104"/>
      <c r="D12" s="104"/>
      <c r="E12" s="104"/>
      <c r="F12" s="104"/>
      <c r="G12" s="104"/>
      <c r="H12" s="104"/>
      <c r="I12" s="104"/>
      <c r="J12" s="104"/>
      <c r="K12" s="104"/>
      <c r="L12" s="104"/>
      <c r="M12" s="104"/>
      <c r="N12" s="104"/>
    </row>
    <row r="13" spans="2:14" ht="15" x14ac:dyDescent="0.2">
      <c r="B13" s="104"/>
      <c r="C13" s="105"/>
      <c r="D13" s="105"/>
      <c r="E13" s="105"/>
      <c r="F13" s="105"/>
      <c r="G13" s="105"/>
      <c r="H13" s="105"/>
      <c r="I13" s="105"/>
      <c r="J13" s="105"/>
      <c r="K13" s="105"/>
      <c r="L13" s="105"/>
      <c r="M13" s="105"/>
      <c r="N13" s="105"/>
    </row>
    <row r="14" spans="2:14" ht="15" x14ac:dyDescent="0.2">
      <c r="B14" s="104"/>
      <c r="C14" s="105"/>
      <c r="D14" s="105"/>
      <c r="E14" s="105"/>
      <c r="F14" s="105"/>
      <c r="G14" s="105"/>
      <c r="H14" s="105"/>
      <c r="I14" s="105"/>
      <c r="J14" s="105"/>
      <c r="K14" s="105"/>
      <c r="L14" s="105"/>
      <c r="M14" s="105"/>
      <c r="N14" s="105"/>
    </row>
    <row r="15" spans="2:14" ht="15" x14ac:dyDescent="0.2">
      <c r="B15" s="104"/>
      <c r="C15" s="105"/>
      <c r="D15" s="105"/>
      <c r="E15" s="105"/>
      <c r="F15" s="105"/>
      <c r="G15" s="105"/>
      <c r="H15" s="105"/>
      <c r="I15" s="105"/>
      <c r="J15" s="105"/>
      <c r="K15" s="105"/>
      <c r="L15" s="105"/>
      <c r="M15" s="105"/>
      <c r="N15" s="105"/>
    </row>
    <row r="16" spans="2:14" ht="15" x14ac:dyDescent="0.2">
      <c r="B16" s="104"/>
      <c r="C16" s="105"/>
      <c r="D16" s="105"/>
      <c r="E16" s="105"/>
      <c r="F16" s="105"/>
      <c r="G16" s="105"/>
      <c r="H16" s="105"/>
      <c r="I16" s="105"/>
      <c r="J16" s="105"/>
      <c r="K16" s="105"/>
      <c r="L16" s="105"/>
      <c r="M16" s="105"/>
      <c r="N16" s="105"/>
    </row>
    <row r="17" spans="2:14" ht="15" x14ac:dyDescent="0.2">
      <c r="B17" s="104"/>
      <c r="C17" s="105"/>
      <c r="D17" s="105"/>
      <c r="E17" s="105"/>
      <c r="F17" s="105"/>
      <c r="G17" s="105"/>
      <c r="H17" s="105"/>
      <c r="I17" s="105"/>
      <c r="J17" s="105"/>
      <c r="K17" s="105"/>
      <c r="L17" s="105"/>
      <c r="M17" s="105"/>
      <c r="N17" s="105"/>
    </row>
    <row r="18" spans="2:14" ht="15" x14ac:dyDescent="0.2">
      <c r="B18" s="104"/>
      <c r="C18" s="105"/>
      <c r="D18" s="105"/>
      <c r="E18" s="105"/>
      <c r="F18" s="105"/>
      <c r="G18" s="105"/>
      <c r="H18" s="105"/>
      <c r="I18" s="105"/>
      <c r="J18" s="105"/>
      <c r="K18" s="105"/>
      <c r="L18" s="105"/>
      <c r="M18" s="105"/>
      <c r="N18" s="105"/>
    </row>
    <row r="19" spans="2:14" ht="15" x14ac:dyDescent="0.2">
      <c r="B19" s="104"/>
      <c r="C19" s="105"/>
      <c r="D19" s="105"/>
      <c r="E19" s="105"/>
      <c r="F19" s="105"/>
      <c r="G19" s="105"/>
      <c r="H19" s="105"/>
      <c r="I19" s="105"/>
      <c r="J19" s="105"/>
      <c r="K19" s="105"/>
      <c r="L19" s="105"/>
      <c r="M19" s="105"/>
      <c r="N19" s="105"/>
    </row>
    <row r="20" spans="2:14" ht="15" x14ac:dyDescent="0.2">
      <c r="B20" s="104"/>
      <c r="C20" s="105"/>
      <c r="D20" s="105"/>
      <c r="E20" s="105"/>
      <c r="F20" s="105"/>
      <c r="G20" s="105"/>
      <c r="H20" s="105"/>
      <c r="I20" s="105"/>
      <c r="J20" s="105"/>
      <c r="K20" s="105"/>
      <c r="L20" s="105"/>
      <c r="M20" s="105"/>
      <c r="N20" s="105"/>
    </row>
    <row r="21" spans="2:14" ht="15" x14ac:dyDescent="0.2">
      <c r="B21" s="104"/>
      <c r="C21" s="105"/>
      <c r="D21" s="105"/>
      <c r="E21" s="105"/>
      <c r="F21" s="105"/>
      <c r="G21" s="105"/>
      <c r="H21" s="105"/>
      <c r="I21" s="105"/>
      <c r="J21" s="105"/>
      <c r="K21" s="105"/>
      <c r="L21" s="105"/>
      <c r="M21" s="105"/>
      <c r="N21" s="105"/>
    </row>
    <row r="22" spans="2:14" ht="15" x14ac:dyDescent="0.2">
      <c r="B22" s="104"/>
      <c r="C22" s="105"/>
      <c r="D22" s="105"/>
      <c r="E22" s="105"/>
      <c r="F22" s="105"/>
      <c r="G22" s="105"/>
      <c r="H22" s="105"/>
      <c r="I22" s="105"/>
      <c r="J22" s="105"/>
      <c r="K22" s="105"/>
      <c r="L22" s="105"/>
      <c r="M22" s="105"/>
      <c r="N22" s="105"/>
    </row>
    <row r="23" spans="2:14" ht="15" x14ac:dyDescent="0.2">
      <c r="B23" s="104"/>
      <c r="C23" s="105"/>
      <c r="D23" s="105"/>
      <c r="E23" s="105"/>
      <c r="F23" s="105"/>
      <c r="G23" s="105"/>
      <c r="H23" s="105"/>
      <c r="I23" s="105"/>
      <c r="J23" s="105"/>
      <c r="K23" s="105"/>
      <c r="L23" s="105"/>
      <c r="M23" s="105"/>
      <c r="N23" s="105"/>
    </row>
    <row r="24" spans="2:14" ht="15" x14ac:dyDescent="0.2">
      <c r="B24" s="104"/>
      <c r="C24" s="105"/>
      <c r="D24" s="105"/>
      <c r="E24" s="105"/>
      <c r="F24" s="105"/>
      <c r="G24" s="105"/>
      <c r="H24" s="105"/>
      <c r="I24" s="105"/>
      <c r="J24" s="105"/>
      <c r="K24" s="105"/>
      <c r="L24" s="105"/>
      <c r="M24" s="105"/>
      <c r="N24" s="105"/>
    </row>
    <row r="26" spans="2:14" s="43" customFormat="1" x14ac:dyDescent="0.2">
      <c r="B26" s="43" t="s">
        <v>15</v>
      </c>
    </row>
    <row r="27" spans="2:14" x14ac:dyDescent="0.2">
      <c r="C27" s="38"/>
    </row>
    <row r="28" spans="2:14" x14ac:dyDescent="0.2">
      <c r="B28" s="35" t="s">
        <v>38</v>
      </c>
      <c r="C28" s="38"/>
      <c r="D28" s="35" t="s">
        <v>16</v>
      </c>
      <c r="F28" s="24"/>
    </row>
    <row r="29" spans="2:14" x14ac:dyDescent="0.2">
      <c r="C29" s="38"/>
    </row>
    <row r="30" spans="2:14" x14ac:dyDescent="0.2">
      <c r="B30" s="4">
        <v>123</v>
      </c>
      <c r="C30" s="38"/>
      <c r="D30" s="37" t="s">
        <v>55</v>
      </c>
    </row>
    <row r="31" spans="2:14" x14ac:dyDescent="0.2">
      <c r="B31" s="2">
        <f>B30</f>
        <v>123</v>
      </c>
      <c r="C31" s="38"/>
      <c r="D31" s="5" t="s">
        <v>17</v>
      </c>
    </row>
    <row r="32" spans="2:14" x14ac:dyDescent="0.2">
      <c r="B32" s="8">
        <f>B31+B30</f>
        <v>246</v>
      </c>
      <c r="C32" s="38"/>
      <c r="D32" s="5" t="s">
        <v>18</v>
      </c>
    </row>
    <row r="33" spans="2:7" x14ac:dyDescent="0.2">
      <c r="B33" s="3">
        <f>B31+B32</f>
        <v>369</v>
      </c>
      <c r="C33" s="38"/>
      <c r="D33" s="37" t="s">
        <v>54</v>
      </c>
      <c r="E33" s="24"/>
      <c r="F33" s="34"/>
    </row>
    <row r="34" spans="2:7" x14ac:dyDescent="0.2">
      <c r="B34" s="45"/>
      <c r="C34" s="38"/>
      <c r="D34" s="37" t="s">
        <v>19</v>
      </c>
      <c r="E34" s="24"/>
    </row>
    <row r="35" spans="2:7" x14ac:dyDescent="0.2">
      <c r="B35" s="38"/>
      <c r="C35" s="38"/>
    </row>
    <row r="36" spans="2:7" x14ac:dyDescent="0.2">
      <c r="B36" s="44" t="s">
        <v>20</v>
      </c>
      <c r="C36" s="38"/>
    </row>
    <row r="37" spans="2:7" x14ac:dyDescent="0.2">
      <c r="B37" s="97">
        <f>B33+16</f>
        <v>385</v>
      </c>
      <c r="C37" s="38"/>
      <c r="D37" s="5" t="s">
        <v>21</v>
      </c>
    </row>
    <row r="38" spans="2:7" x14ac:dyDescent="0.2">
      <c r="B38" s="1">
        <f>B31*PI()</f>
        <v>386.41589639154455</v>
      </c>
      <c r="C38" s="46"/>
      <c r="D38" s="5" t="s">
        <v>22</v>
      </c>
    </row>
    <row r="39" spans="2:7" x14ac:dyDescent="0.2">
      <c r="B39" s="46"/>
      <c r="C39" s="46"/>
    </row>
    <row r="40" spans="2:7" x14ac:dyDescent="0.2">
      <c r="B40" s="27" t="s">
        <v>23</v>
      </c>
      <c r="C40" s="27"/>
    </row>
    <row r="41" spans="2:7" x14ac:dyDescent="0.2">
      <c r="B41" s="71">
        <v>123</v>
      </c>
      <c r="C41" s="27"/>
      <c r="D41" s="37" t="s">
        <v>342</v>
      </c>
      <c r="G41" s="24"/>
    </row>
    <row r="42" spans="2:7" x14ac:dyDescent="0.2">
      <c r="B42" s="48">
        <v>124</v>
      </c>
      <c r="C42" s="27"/>
      <c r="D42" s="37" t="s">
        <v>343</v>
      </c>
    </row>
    <row r="43" spans="2:7" x14ac:dyDescent="0.2">
      <c r="B43" s="47">
        <f>B32-B33</f>
        <v>-123</v>
      </c>
      <c r="C43" s="12"/>
      <c r="D43" s="5" t="s">
        <v>61</v>
      </c>
    </row>
    <row r="46" spans="2:7" x14ac:dyDescent="0.2">
      <c r="B46" s="35" t="s">
        <v>33</v>
      </c>
    </row>
    <row r="47" spans="2:7" x14ac:dyDescent="0.2">
      <c r="B47" s="35"/>
    </row>
    <row r="48" spans="2:7" x14ac:dyDescent="0.2">
      <c r="B48" s="19" t="s">
        <v>39</v>
      </c>
    </row>
    <row r="49" spans="2:4" x14ac:dyDescent="0.2">
      <c r="B49" s="33" t="s">
        <v>32</v>
      </c>
      <c r="C49" s="38"/>
      <c r="D49" s="37" t="s">
        <v>42</v>
      </c>
    </row>
    <row r="50" spans="2:4" x14ac:dyDescent="0.2">
      <c r="B50" s="22" t="s">
        <v>30</v>
      </c>
      <c r="C50" s="38"/>
      <c r="D50" s="37" t="s">
        <v>34</v>
      </c>
    </row>
    <row r="51" spans="2:4" x14ac:dyDescent="0.2">
      <c r="B51" s="32" t="s">
        <v>31</v>
      </c>
      <c r="C51" s="38"/>
      <c r="D51" s="37" t="s">
        <v>35</v>
      </c>
    </row>
    <row r="52" spans="2:4" x14ac:dyDescent="0.2">
      <c r="B52" s="1" t="s">
        <v>31</v>
      </c>
      <c r="C52" s="38"/>
      <c r="D52" s="37" t="s">
        <v>37</v>
      </c>
    </row>
    <row r="53" spans="2:4" x14ac:dyDescent="0.2">
      <c r="C53" s="38"/>
      <c r="D53" s="37"/>
    </row>
    <row r="54" spans="2:4" x14ac:dyDescent="0.2">
      <c r="B54" s="19" t="s">
        <v>41</v>
      </c>
      <c r="C54" s="38"/>
      <c r="D54" s="37"/>
    </row>
    <row r="55" spans="2:4" x14ac:dyDescent="0.2">
      <c r="B55" s="21" t="s">
        <v>36</v>
      </c>
      <c r="C55" s="38"/>
      <c r="D55" s="37" t="s">
        <v>43</v>
      </c>
    </row>
    <row r="56" spans="2:4" x14ac:dyDescent="0.2">
      <c r="B56" s="20" t="s">
        <v>40</v>
      </c>
      <c r="D56" s="37" t="s">
        <v>44</v>
      </c>
    </row>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E25"/>
  <sheetViews>
    <sheetView showGridLines="0" zoomScale="90" zoomScaleNormal="90" workbookViewId="0">
      <pane ySplit="3" topLeftCell="A4" activePane="bottomLeft" state="frozen"/>
      <selection activeCell="O38" sqref="O38"/>
      <selection pane="bottomLeft" activeCell="A4" sqref="A4"/>
    </sheetView>
  </sheetViews>
  <sheetFormatPr defaultRowHeight="12.75" x14ac:dyDescent="0.2"/>
  <cols>
    <col min="1" max="1" width="2.85546875" style="5" customWidth="1"/>
    <col min="2" max="2" width="7.5703125" style="5" customWidth="1"/>
    <col min="3" max="3" width="46.28515625" style="5" customWidth="1"/>
    <col min="4" max="4" width="85.5703125" style="5" customWidth="1"/>
    <col min="5" max="5" width="108.7109375" style="5" bestFit="1" customWidth="1"/>
    <col min="6" max="6" width="4.5703125" style="5" customWidth="1"/>
    <col min="7" max="7" width="43.42578125" style="5" customWidth="1"/>
    <col min="8" max="8" width="28.7109375" style="5" customWidth="1"/>
    <col min="9" max="9" width="26.85546875" style="5" customWidth="1"/>
    <col min="10" max="10" width="58.42578125" style="5" customWidth="1"/>
    <col min="11" max="11" width="22" style="5" customWidth="1"/>
    <col min="12" max="16384" width="9.140625" style="5"/>
  </cols>
  <sheetData>
    <row r="2" spans="2:5" s="36" customFormat="1" ht="18" x14ac:dyDescent="0.2">
      <c r="B2" s="25" t="s">
        <v>24</v>
      </c>
    </row>
    <row r="4" spans="2:5" s="43" customFormat="1" x14ac:dyDescent="0.2">
      <c r="B4" s="43" t="s">
        <v>25</v>
      </c>
    </row>
    <row r="6" spans="2:5" x14ac:dyDescent="0.2">
      <c r="B6" s="34"/>
    </row>
    <row r="8" spans="2:5" x14ac:dyDescent="0.2">
      <c r="B8" s="31" t="s">
        <v>56</v>
      </c>
      <c r="C8" s="31" t="s">
        <v>57</v>
      </c>
      <c r="D8" s="31" t="s">
        <v>58</v>
      </c>
      <c r="E8" s="31" t="s">
        <v>63</v>
      </c>
    </row>
    <row r="9" spans="2:5" x14ac:dyDescent="0.2">
      <c r="B9" s="18"/>
      <c r="C9" s="18" t="s">
        <v>65</v>
      </c>
      <c r="D9" s="18" t="s">
        <v>26</v>
      </c>
      <c r="E9" s="18" t="s">
        <v>64</v>
      </c>
    </row>
    <row r="10" spans="2:5" x14ac:dyDescent="0.2">
      <c r="B10" s="11">
        <v>1</v>
      </c>
      <c r="C10" s="17" t="s">
        <v>218</v>
      </c>
      <c r="D10" s="13" t="s">
        <v>222</v>
      </c>
      <c r="E10" s="30" t="s">
        <v>344</v>
      </c>
    </row>
    <row r="11" spans="2:5" ht="12.75" customHeight="1" x14ac:dyDescent="0.2">
      <c r="B11" s="17">
        <v>2</v>
      </c>
      <c r="C11" s="17" t="s">
        <v>219</v>
      </c>
      <c r="D11" s="29" t="s">
        <v>223</v>
      </c>
      <c r="E11" s="30"/>
    </row>
    <row r="12" spans="2:5" ht="12.75" customHeight="1" x14ac:dyDescent="0.2">
      <c r="B12" s="17">
        <v>3</v>
      </c>
      <c r="C12" s="17" t="s">
        <v>220</v>
      </c>
      <c r="D12" s="29" t="s">
        <v>338</v>
      </c>
      <c r="E12" s="30"/>
    </row>
    <row r="13" spans="2:5" ht="12.75" customHeight="1" x14ac:dyDescent="0.2">
      <c r="B13" s="17">
        <v>4</v>
      </c>
      <c r="C13" s="17" t="s">
        <v>340</v>
      </c>
      <c r="D13" s="123" t="s">
        <v>345</v>
      </c>
      <c r="E13" s="29" t="s">
        <v>341</v>
      </c>
    </row>
    <row r="14" spans="2:5" x14ac:dyDescent="0.2">
      <c r="B14" s="17">
        <v>5</v>
      </c>
      <c r="C14" s="17" t="s">
        <v>339</v>
      </c>
      <c r="D14" s="30" t="s">
        <v>224</v>
      </c>
      <c r="E14" s="30"/>
    </row>
    <row r="15" spans="2:5" ht="15" customHeight="1" x14ac:dyDescent="0.2">
      <c r="B15" s="17">
        <v>6</v>
      </c>
      <c r="C15" s="17" t="s">
        <v>221</v>
      </c>
      <c r="D15" s="123" t="s">
        <v>347</v>
      </c>
      <c r="E15" s="30" t="s">
        <v>346</v>
      </c>
    </row>
    <row r="16" spans="2:5" x14ac:dyDescent="0.2">
      <c r="B16" s="17">
        <v>7</v>
      </c>
      <c r="C16" s="17" t="s">
        <v>332</v>
      </c>
      <c r="D16" s="30"/>
      <c r="E16" s="30"/>
    </row>
    <row r="17" spans="2:5" x14ac:dyDescent="0.2">
      <c r="B17" s="17">
        <v>8</v>
      </c>
      <c r="C17" s="17"/>
      <c r="D17" s="30"/>
      <c r="E17" s="30"/>
    </row>
    <row r="18" spans="2:5" x14ac:dyDescent="0.2">
      <c r="B18" s="17">
        <v>9</v>
      </c>
      <c r="C18" s="17"/>
      <c r="D18" s="30"/>
      <c r="E18" s="30"/>
    </row>
    <row r="19" spans="2:5" x14ac:dyDescent="0.2">
      <c r="B19" s="17">
        <v>10</v>
      </c>
      <c r="C19" s="17"/>
      <c r="D19" s="30"/>
      <c r="E19" s="30"/>
    </row>
    <row r="22" spans="2:5" s="43" customFormat="1" x14ac:dyDescent="0.2">
      <c r="B22" s="43" t="s">
        <v>52</v>
      </c>
    </row>
    <row r="24" spans="2:5" x14ac:dyDescent="0.2">
      <c r="B24" s="19" t="s">
        <v>50</v>
      </c>
    </row>
    <row r="25" spans="2:5" x14ac:dyDescent="0.2">
      <c r="B25" s="19" t="s">
        <v>51</v>
      </c>
    </row>
  </sheetData>
  <hyperlinks>
    <hyperlink ref="D11" r:id="rId1" location="/CBS/nl/dataset/83131NED/table?ts=1528811296678"/>
    <hyperlink ref="D12" r:id="rId2"/>
    <hyperlink ref="E13" r:id="rId3"/>
  </hyperlinks>
  <pageMargins left="0.75" right="0.75" top="1" bottom="1" header="0.5" footer="0.5"/>
  <pageSetup paperSize="9"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CCFFFF"/>
  </sheetPr>
  <dimension ref="B2:V55"/>
  <sheetViews>
    <sheetView showGridLines="0" zoomScale="85" zoomScaleNormal="85" workbookViewId="0">
      <pane xSplit="6" ySplit="8" topLeftCell="G9" activePane="bottomRight" state="frozen"/>
      <selection activeCell="O38" sqref="O38"/>
      <selection pane="topRight" activeCell="O38" sqref="O38"/>
      <selection pane="bottomLeft" activeCell="O38" sqref="O38"/>
      <selection pane="bottomRight" activeCell="G9" sqref="G9"/>
    </sheetView>
  </sheetViews>
  <sheetFormatPr defaultRowHeight="12.75" x14ac:dyDescent="0.2"/>
  <cols>
    <col min="1" max="1" width="4" style="5" customWidth="1"/>
    <col min="2" max="2" width="67.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4" width="13.28515625" style="5" customWidth="1"/>
    <col min="15" max="15" width="15" style="5" customWidth="1"/>
    <col min="16" max="18" width="13.28515625" style="5" customWidth="1"/>
    <col min="19" max="19" width="2.7109375" style="5" customWidth="1"/>
    <col min="20" max="20" width="14.85546875" style="5" customWidth="1"/>
    <col min="21" max="21" width="2.7109375" style="5" customWidth="1"/>
    <col min="22" max="36" width="13.7109375" style="5" customWidth="1"/>
    <col min="37" max="16384" width="9.140625" style="5"/>
  </cols>
  <sheetData>
    <row r="2" spans="2:22" s="16" customFormat="1" ht="18" x14ac:dyDescent="0.2">
      <c r="B2" s="16" t="s">
        <v>252</v>
      </c>
    </row>
    <row r="4" spans="2:22" x14ac:dyDescent="0.2">
      <c r="B4" s="35" t="s">
        <v>60</v>
      </c>
      <c r="C4" s="35"/>
      <c r="D4" s="35"/>
    </row>
    <row r="5" spans="2:22" x14ac:dyDescent="0.2">
      <c r="B5" s="99" t="s">
        <v>253</v>
      </c>
      <c r="C5" s="37"/>
      <c r="D5" s="37"/>
      <c r="H5" s="15"/>
    </row>
    <row r="6" spans="2:22" x14ac:dyDescent="0.2">
      <c r="B6" s="37"/>
      <c r="C6" s="37"/>
      <c r="D6" s="37"/>
      <c r="H6" s="15"/>
    </row>
    <row r="7" spans="2:22" s="43" customFormat="1" x14ac:dyDescent="0.2">
      <c r="B7" s="43" t="s">
        <v>45</v>
      </c>
      <c r="F7" s="43" t="s">
        <v>27</v>
      </c>
      <c r="H7" s="43" t="s">
        <v>28</v>
      </c>
      <c r="J7" s="43" t="s">
        <v>49</v>
      </c>
      <c r="L7" s="43" t="s">
        <v>111</v>
      </c>
      <c r="M7" s="43" t="s">
        <v>100</v>
      </c>
      <c r="N7" s="43" t="s">
        <v>101</v>
      </c>
      <c r="O7" s="43" t="s">
        <v>102</v>
      </c>
      <c r="P7" s="43" t="s">
        <v>103</v>
      </c>
      <c r="Q7" s="43" t="s">
        <v>104</v>
      </c>
      <c r="R7" s="43" t="s">
        <v>105</v>
      </c>
      <c r="V7" s="43" t="s">
        <v>47</v>
      </c>
    </row>
    <row r="10" spans="2:22" s="43" customFormat="1" x14ac:dyDescent="0.2">
      <c r="B10" s="43" t="s">
        <v>143</v>
      </c>
    </row>
    <row r="12" spans="2:22" x14ac:dyDescent="0.2">
      <c r="B12" s="5" t="s">
        <v>144</v>
      </c>
      <c r="F12" s="99" t="s">
        <v>138</v>
      </c>
      <c r="J12" s="50">
        <f t="shared" ref="J12:J14" si="0">SUM(L12:R12)</f>
        <v>2697844323.1615853</v>
      </c>
      <c r="L12" s="120">
        <f>'Input x-factor, begininkomsten'!L12</f>
        <v>16133862.015593166</v>
      </c>
      <c r="M12" s="120">
        <f>'Input x-factor, begininkomsten'!M12</f>
        <v>72166870.54851833</v>
      </c>
      <c r="N12" s="120">
        <f>'Input x-factor, begininkomsten'!N12</f>
        <v>876988224.33064485</v>
      </c>
      <c r="O12" s="120">
        <f>'Input x-factor, begininkomsten'!O12</f>
        <v>1027511981.3637975</v>
      </c>
      <c r="P12" s="120">
        <f>'Input x-factor, begininkomsten'!P12</f>
        <v>10766135.085045619</v>
      </c>
      <c r="Q12" s="120">
        <f>'Input x-factor, begininkomsten'!Q12</f>
        <v>651241008.73070467</v>
      </c>
      <c r="R12" s="120">
        <f>'Input x-factor, begininkomsten'!R12</f>
        <v>43036241.087281033</v>
      </c>
      <c r="T12" s="113"/>
    </row>
    <row r="13" spans="2:22" x14ac:dyDescent="0.2">
      <c r="B13" s="5" t="s">
        <v>145</v>
      </c>
      <c r="F13" s="99" t="s">
        <v>138</v>
      </c>
      <c r="J13" s="50">
        <f t="shared" si="0"/>
        <v>487212166.64053154</v>
      </c>
      <c r="L13" s="120">
        <f>'Input x-factor, begininkomsten'!L13</f>
        <v>3686772.937732263</v>
      </c>
      <c r="M13" s="120">
        <f>'Input x-factor, begininkomsten'!M13</f>
        <v>10246056.183085894</v>
      </c>
      <c r="N13" s="120">
        <f>'Input x-factor, begininkomsten'!N13</f>
        <v>179660011.99798381</v>
      </c>
      <c r="O13" s="120">
        <f>'Input x-factor, begininkomsten'!O13</f>
        <v>167595992.24279189</v>
      </c>
      <c r="P13" s="120">
        <f>'Input x-factor, begininkomsten'!P13</f>
        <v>2434756.1499236641</v>
      </c>
      <c r="Q13" s="120">
        <f>'Input x-factor, begininkomsten'!Q13</f>
        <v>113058990.22601718</v>
      </c>
      <c r="R13" s="120">
        <f>'Input x-factor, begininkomsten'!R13</f>
        <v>10529586.902996866</v>
      </c>
      <c r="T13" s="113"/>
    </row>
    <row r="14" spans="2:22" x14ac:dyDescent="0.2">
      <c r="B14" s="5" t="s">
        <v>213</v>
      </c>
      <c r="F14" s="99" t="s">
        <v>138</v>
      </c>
      <c r="J14" s="50">
        <f t="shared" si="0"/>
        <v>2210632156.5210538</v>
      </c>
      <c r="L14" s="50">
        <f t="shared" ref="L14:R14" si="1">L12-L13</f>
        <v>12447089.077860903</v>
      </c>
      <c r="M14" s="50">
        <f t="shared" si="1"/>
        <v>61920814.365432434</v>
      </c>
      <c r="N14" s="50">
        <f t="shared" si="1"/>
        <v>697328212.33266103</v>
      </c>
      <c r="O14" s="50">
        <f t="shared" si="1"/>
        <v>859915989.12100565</v>
      </c>
      <c r="P14" s="50">
        <f t="shared" si="1"/>
        <v>8331378.9351219554</v>
      </c>
      <c r="Q14" s="50">
        <f t="shared" si="1"/>
        <v>538182018.50468755</v>
      </c>
      <c r="R14" s="50">
        <f t="shared" si="1"/>
        <v>32506654.184284166</v>
      </c>
      <c r="T14" s="113"/>
    </row>
    <row r="15" spans="2:22" x14ac:dyDescent="0.2">
      <c r="B15" s="5" t="s">
        <v>113</v>
      </c>
      <c r="F15" s="99"/>
      <c r="L15" s="119">
        <f>'Input x-factor, begininkomsten'!L15</f>
        <v>2.21</v>
      </c>
      <c r="M15" s="119">
        <f>'Input x-factor, begininkomsten'!M15</f>
        <v>1.94</v>
      </c>
      <c r="N15" s="119">
        <f>'Input x-factor, begininkomsten'!N15</f>
        <v>2.13</v>
      </c>
      <c r="O15" s="119">
        <f>'Input x-factor, begininkomsten'!O15</f>
        <v>1.9</v>
      </c>
      <c r="P15" s="119">
        <f>'Input x-factor, begininkomsten'!P15</f>
        <v>2.12</v>
      </c>
      <c r="Q15" s="119">
        <f>'Input x-factor, begininkomsten'!Q15</f>
        <v>1.99</v>
      </c>
      <c r="R15" s="119">
        <f>'Input x-factor, begininkomsten'!R15</f>
        <v>2.25</v>
      </c>
      <c r="T15" s="113"/>
    </row>
    <row r="16" spans="2:22" x14ac:dyDescent="0.2">
      <c r="B16" s="5" t="s">
        <v>137</v>
      </c>
      <c r="F16" s="99"/>
      <c r="L16" s="119">
        <f>'Input x-factor, begininkomsten'!L16</f>
        <v>0.97</v>
      </c>
      <c r="M16" s="119">
        <f>'Input x-factor, begininkomsten'!M16</f>
        <v>0.38</v>
      </c>
      <c r="N16" s="119">
        <f>'Input x-factor, begininkomsten'!N16</f>
        <v>0.05</v>
      </c>
      <c r="O16" s="119">
        <f>'Input x-factor, begininkomsten'!O16</f>
        <v>0</v>
      </c>
      <c r="P16" s="119">
        <f>'Input x-factor, begininkomsten'!P16</f>
        <v>0.27</v>
      </c>
      <c r="Q16" s="119">
        <f>'Input x-factor, begininkomsten'!Q16</f>
        <v>-0.13</v>
      </c>
      <c r="R16" s="119">
        <f>'Input x-factor, begininkomsten'!R16</f>
        <v>0.19</v>
      </c>
      <c r="T16" s="113"/>
    </row>
    <row r="17" spans="2:18" x14ac:dyDescent="0.2">
      <c r="F17" s="107"/>
      <c r="L17" s="28"/>
      <c r="M17" s="28"/>
      <c r="N17" s="28"/>
      <c r="O17" s="28"/>
      <c r="P17" s="28"/>
      <c r="Q17" s="28"/>
      <c r="R17" s="28"/>
    </row>
    <row r="18" spans="2:18" x14ac:dyDescent="0.2">
      <c r="B18" s="5" t="s">
        <v>146</v>
      </c>
      <c r="F18" s="99" t="s">
        <v>128</v>
      </c>
      <c r="H18" s="122">
        <f>'Input parameters'!R19</f>
        <v>2E-3</v>
      </c>
      <c r="L18" s="99"/>
      <c r="M18" s="99"/>
      <c r="N18" s="99"/>
      <c r="O18" s="99"/>
      <c r="P18" s="99"/>
      <c r="Q18" s="99"/>
      <c r="R18" s="99"/>
    </row>
    <row r="19" spans="2:18" x14ac:dyDescent="0.2">
      <c r="B19" s="5" t="s">
        <v>147</v>
      </c>
      <c r="F19" s="99" t="s">
        <v>128</v>
      </c>
      <c r="H19" s="122">
        <f>'Input parameters'!S19</f>
        <v>1.4E-2</v>
      </c>
      <c r="L19" s="99"/>
      <c r="M19" s="99"/>
      <c r="N19" s="99"/>
      <c r="O19" s="99"/>
      <c r="P19" s="99"/>
      <c r="Q19" s="99"/>
      <c r="R19" s="99"/>
    </row>
    <row r="20" spans="2:18" x14ac:dyDescent="0.2">
      <c r="B20" s="5" t="s">
        <v>157</v>
      </c>
      <c r="F20" s="99" t="s">
        <v>128</v>
      </c>
      <c r="H20" s="122">
        <f>'Input parameters'!T19</f>
        <v>2.1000000000000001E-2</v>
      </c>
      <c r="L20" s="99"/>
      <c r="M20" s="99"/>
      <c r="N20" s="99"/>
      <c r="O20" s="99"/>
      <c r="P20" s="99"/>
      <c r="Q20" s="99"/>
      <c r="R20" s="99"/>
    </row>
    <row r="21" spans="2:18" x14ac:dyDescent="0.2">
      <c r="B21" s="5" t="s">
        <v>254</v>
      </c>
      <c r="F21" s="99" t="s">
        <v>128</v>
      </c>
      <c r="H21" s="122">
        <f>'Input parameters'!U19</f>
        <v>2.8000000000000001E-2</v>
      </c>
      <c r="L21" s="99"/>
      <c r="M21" s="99"/>
      <c r="N21" s="99"/>
      <c r="O21" s="99"/>
      <c r="P21" s="99"/>
      <c r="Q21" s="99"/>
      <c r="R21" s="99"/>
    </row>
    <row r="22" spans="2:18" x14ac:dyDescent="0.2">
      <c r="L22" s="99"/>
      <c r="M22" s="99"/>
      <c r="N22" s="99"/>
      <c r="O22" s="99"/>
      <c r="P22" s="99"/>
      <c r="Q22" s="99"/>
      <c r="R22" s="99"/>
    </row>
    <row r="23" spans="2:18" x14ac:dyDescent="0.2">
      <c r="B23" s="5" t="s">
        <v>148</v>
      </c>
      <c r="F23" s="99" t="s">
        <v>335</v>
      </c>
      <c r="J23" s="50">
        <f t="shared" ref="J23:J25" si="2">SUM(L23:R23)</f>
        <v>2170857055.2368159</v>
      </c>
      <c r="L23" s="50">
        <f t="shared" ref="L23:R23" si="3">L14*(1-L15/100+L16/100+$H$18)</f>
        <v>12317639.351451149</v>
      </c>
      <c r="M23" s="50">
        <f t="shared" si="3"/>
        <v>61078691.290062554</v>
      </c>
      <c r="N23" s="50">
        <f t="shared" si="3"/>
        <v>684218441.94080698</v>
      </c>
      <c r="O23" s="50">
        <f t="shared" si="3"/>
        <v>845297417.3059485</v>
      </c>
      <c r="P23" s="50">
        <f t="shared" si="3"/>
        <v>8193911.182692443</v>
      </c>
      <c r="Q23" s="50">
        <f t="shared" si="3"/>
        <v>527848923.74939758</v>
      </c>
      <c r="R23" s="50">
        <f t="shared" si="3"/>
        <v>31902030.416456483</v>
      </c>
    </row>
    <row r="24" spans="2:18" x14ac:dyDescent="0.2">
      <c r="B24" s="5" t="s">
        <v>149</v>
      </c>
      <c r="F24" s="99" t="s">
        <v>276</v>
      </c>
      <c r="J24" s="50">
        <f t="shared" si="2"/>
        <v>2157851926.8099203</v>
      </c>
      <c r="L24" s="50">
        <f>L23*(1-L15/100+L16/100+$H$19)</f>
        <v>12337347.574413471</v>
      </c>
      <c r="M24" s="50">
        <f t="shared" ref="M24:R24" si="4">M23*(1-M15/100+M16/100+$H$19)</f>
        <v>60980965.383998461</v>
      </c>
      <c r="N24" s="50">
        <f t="shared" si="4"/>
        <v>679565756.53560948</v>
      </c>
      <c r="O24" s="50">
        <f t="shared" si="4"/>
        <v>841070930.21941876</v>
      </c>
      <c r="P24" s="50">
        <f t="shared" si="4"/>
        <v>8157038.5823703278</v>
      </c>
      <c r="Q24" s="50">
        <f t="shared" si="4"/>
        <v>524048411.49840194</v>
      </c>
      <c r="R24" s="50">
        <f t="shared" si="4"/>
        <v>31691477.015707873</v>
      </c>
    </row>
    <row r="25" spans="2:18" x14ac:dyDescent="0.2">
      <c r="B25" s="5" t="s">
        <v>154</v>
      </c>
      <c r="F25" s="99" t="s">
        <v>336</v>
      </c>
      <c r="J25" s="50">
        <f t="shared" si="2"/>
        <v>2160033639.7288423</v>
      </c>
      <c r="L25" s="50">
        <f>L24*(1-L15/100+L16/100+$H$20)</f>
        <v>12443448.763553426</v>
      </c>
      <c r="M25" s="50">
        <f t="shared" ref="M25:R25" si="5">M24*(1-M15/100+M16/100+$H$20)</f>
        <v>61310262.597072057</v>
      </c>
      <c r="N25" s="50">
        <f t="shared" si="5"/>
        <v>679701669.68691659</v>
      </c>
      <c r="O25" s="50">
        <f t="shared" si="5"/>
        <v>842753072.07985759</v>
      </c>
      <c r="P25" s="50">
        <f t="shared" si="5"/>
        <v>8177431.1788262529</v>
      </c>
      <c r="Q25" s="50">
        <f t="shared" si="5"/>
        <v>523943601.81610227</v>
      </c>
      <c r="R25" s="50">
        <f t="shared" si="5"/>
        <v>31704153.606514156</v>
      </c>
    </row>
    <row r="26" spans="2:18" x14ac:dyDescent="0.2">
      <c r="B26" s="5" t="s">
        <v>255</v>
      </c>
      <c r="F26" s="99" t="s">
        <v>270</v>
      </c>
      <c r="J26" s="50">
        <f t="shared" ref="J26" si="6">SUM(L26:R26)</f>
        <v>2177341747.2814584</v>
      </c>
      <c r="L26" s="50">
        <f t="shared" ref="L26:R26" si="7">L25*(1-L15/100+L16/100+$H$21)</f>
        <v>12637566.56426486</v>
      </c>
      <c r="M26" s="50">
        <f t="shared" si="7"/>
        <v>62070509.853275746</v>
      </c>
      <c r="N26" s="50">
        <f t="shared" si="7"/>
        <v>684595521.70866227</v>
      </c>
      <c r="O26" s="50">
        <f t="shared" si="7"/>
        <v>850337849.72857618</v>
      </c>
      <c r="P26" s="50">
        <f t="shared" si="7"/>
        <v>8255116.7750251032</v>
      </c>
      <c r="Q26" s="50">
        <f t="shared" si="7"/>
        <v>527506418.30845171</v>
      </c>
      <c r="R26" s="50">
        <f t="shared" si="7"/>
        <v>31938764.343202364</v>
      </c>
    </row>
    <row r="27" spans="2:18" x14ac:dyDescent="0.2">
      <c r="F27" s="99"/>
      <c r="L27" s="96"/>
      <c r="M27" s="96"/>
      <c r="N27" s="96"/>
      <c r="O27" s="96"/>
      <c r="P27" s="96"/>
      <c r="Q27" s="96"/>
      <c r="R27" s="96"/>
    </row>
    <row r="28" spans="2:18" x14ac:dyDescent="0.2">
      <c r="B28" s="5" t="s">
        <v>150</v>
      </c>
      <c r="F28" s="99" t="s">
        <v>335</v>
      </c>
      <c r="J28" s="50">
        <f t="shared" ref="J28:J30" si="8">SUM(L28:R28)</f>
        <v>488186590.9738127</v>
      </c>
      <c r="L28" s="50">
        <f>L13*(1+$H$18)</f>
        <v>3694146.4836077276</v>
      </c>
      <c r="M28" s="50">
        <f t="shared" ref="M28:R28" si="9">M13*(1+$H$18)</f>
        <v>10266548.295452066</v>
      </c>
      <c r="N28" s="50">
        <f t="shared" si="9"/>
        <v>180019332.02197978</v>
      </c>
      <c r="O28" s="50">
        <f t="shared" si="9"/>
        <v>167931184.22727749</v>
      </c>
      <c r="P28" s="50">
        <f t="shared" si="9"/>
        <v>2439625.6622235114</v>
      </c>
      <c r="Q28" s="50">
        <f t="shared" si="9"/>
        <v>113285108.20646921</v>
      </c>
      <c r="R28" s="50">
        <f t="shared" si="9"/>
        <v>10550646.076802859</v>
      </c>
    </row>
    <row r="29" spans="2:18" x14ac:dyDescent="0.2">
      <c r="B29" s="5" t="s">
        <v>151</v>
      </c>
      <c r="F29" s="99" t="s">
        <v>276</v>
      </c>
      <c r="J29" s="50">
        <f t="shared" si="8"/>
        <v>495021203.247446</v>
      </c>
      <c r="L29" s="50">
        <f>L28*(1+$H$19)</f>
        <v>3745864.5343782357</v>
      </c>
      <c r="M29" s="50">
        <f t="shared" ref="M29:R29" si="10">M28*(1+$H$19)</f>
        <v>10410279.971588396</v>
      </c>
      <c r="N29" s="50">
        <f t="shared" si="10"/>
        <v>182539602.67028749</v>
      </c>
      <c r="O29" s="50">
        <f t="shared" si="10"/>
        <v>170282220.80645937</v>
      </c>
      <c r="P29" s="50">
        <f t="shared" si="10"/>
        <v>2473780.4214946404</v>
      </c>
      <c r="Q29" s="50">
        <f t="shared" si="10"/>
        <v>114871099.72135977</v>
      </c>
      <c r="R29" s="50">
        <f t="shared" si="10"/>
        <v>10698355.121878099</v>
      </c>
    </row>
    <row r="30" spans="2:18" x14ac:dyDescent="0.2">
      <c r="B30" s="5" t="s">
        <v>155</v>
      </c>
      <c r="F30" s="99" t="s">
        <v>336</v>
      </c>
      <c r="J30" s="50">
        <f t="shared" si="8"/>
        <v>505416648.51564229</v>
      </c>
      <c r="L30" s="50">
        <f>L29*(1+$H$20)</f>
        <v>3824527.6896001785</v>
      </c>
      <c r="M30" s="50">
        <f t="shared" ref="M30:R30" si="11">M29*(1+$H$20)</f>
        <v>10628895.85099175</v>
      </c>
      <c r="N30" s="50">
        <f t="shared" si="11"/>
        <v>186372934.3263635</v>
      </c>
      <c r="O30" s="50">
        <f t="shared" si="11"/>
        <v>173858147.44339499</v>
      </c>
      <c r="P30" s="50">
        <f t="shared" si="11"/>
        <v>2525729.8103460278</v>
      </c>
      <c r="Q30" s="50">
        <f t="shared" si="11"/>
        <v>117283392.81550832</v>
      </c>
      <c r="R30" s="50">
        <f t="shared" si="11"/>
        <v>10923020.579437537</v>
      </c>
    </row>
    <row r="31" spans="2:18" x14ac:dyDescent="0.2">
      <c r="B31" s="5" t="s">
        <v>256</v>
      </c>
      <c r="F31" s="99" t="s">
        <v>270</v>
      </c>
      <c r="J31" s="50">
        <f t="shared" ref="J31" si="12">SUM(L31:R31)</f>
        <v>519568314.67408031</v>
      </c>
      <c r="L31" s="50">
        <f t="shared" ref="L31:R31" si="13">L30*(1+$H$21)</f>
        <v>3931614.4649089836</v>
      </c>
      <c r="M31" s="50">
        <f t="shared" si="13"/>
        <v>10926504.93481952</v>
      </c>
      <c r="N31" s="50">
        <f t="shared" si="13"/>
        <v>191591376.48750168</v>
      </c>
      <c r="O31" s="50">
        <f t="shared" si="13"/>
        <v>178726175.57181007</v>
      </c>
      <c r="P31" s="50">
        <f t="shared" si="13"/>
        <v>2596450.2450357168</v>
      </c>
      <c r="Q31" s="50">
        <f t="shared" si="13"/>
        <v>120567327.81434256</v>
      </c>
      <c r="R31" s="50">
        <f t="shared" si="13"/>
        <v>11228865.155661788</v>
      </c>
    </row>
    <row r="32" spans="2:18" x14ac:dyDescent="0.2">
      <c r="F32" s="99"/>
      <c r="L32" s="99"/>
      <c r="M32" s="14"/>
      <c r="N32" s="14"/>
      <c r="O32" s="14"/>
      <c r="P32" s="14"/>
      <c r="Q32" s="14"/>
      <c r="R32" s="14"/>
    </row>
    <row r="33" spans="2:18" x14ac:dyDescent="0.2">
      <c r="B33" s="5" t="s">
        <v>152</v>
      </c>
      <c r="F33" s="99" t="s">
        <v>335</v>
      </c>
      <c r="J33" s="50">
        <f t="shared" ref="J33:J35" si="14">SUM(L33:R33)</f>
        <v>2659043646.2106285</v>
      </c>
      <c r="L33" s="50">
        <f t="shared" ref="L33:R36" si="15">L23+L28</f>
        <v>16011785.835058877</v>
      </c>
      <c r="M33" s="50">
        <f t="shared" si="15"/>
        <v>71345239.58551462</v>
      </c>
      <c r="N33" s="50">
        <f t="shared" si="15"/>
        <v>864237773.96278679</v>
      </c>
      <c r="O33" s="50">
        <f t="shared" si="15"/>
        <v>1013228601.533226</v>
      </c>
      <c r="P33" s="50">
        <f t="shared" si="15"/>
        <v>10633536.844915954</v>
      </c>
      <c r="Q33" s="50">
        <f t="shared" si="15"/>
        <v>641134031.95586681</v>
      </c>
      <c r="R33" s="50">
        <f t="shared" si="15"/>
        <v>42452676.493259341</v>
      </c>
    </row>
    <row r="34" spans="2:18" x14ac:dyDescent="0.2">
      <c r="B34" s="5" t="s">
        <v>153</v>
      </c>
      <c r="F34" s="99" t="s">
        <v>276</v>
      </c>
      <c r="J34" s="50">
        <f t="shared" si="14"/>
        <v>2652873130.0573664</v>
      </c>
      <c r="L34" s="50">
        <f t="shared" si="15"/>
        <v>16083212.108791707</v>
      </c>
      <c r="M34" s="50">
        <f t="shared" si="15"/>
        <v>71391245.355586857</v>
      </c>
      <c r="N34" s="50">
        <f t="shared" si="15"/>
        <v>862105359.20589697</v>
      </c>
      <c r="O34" s="50">
        <f t="shared" si="15"/>
        <v>1011353151.0258782</v>
      </c>
      <c r="P34" s="50">
        <f t="shared" si="15"/>
        <v>10630819.003864968</v>
      </c>
      <c r="Q34" s="50">
        <f t="shared" si="15"/>
        <v>638919511.21976173</v>
      </c>
      <c r="R34" s="50">
        <f t="shared" si="15"/>
        <v>42389832.137585968</v>
      </c>
    </row>
    <row r="35" spans="2:18" x14ac:dyDescent="0.2">
      <c r="B35" s="5" t="s">
        <v>156</v>
      </c>
      <c r="F35" s="99" t="s">
        <v>336</v>
      </c>
      <c r="J35" s="50">
        <f t="shared" si="14"/>
        <v>2665450288.2444849</v>
      </c>
      <c r="L35" s="50">
        <f>L25+L30</f>
        <v>16267976.453153605</v>
      </c>
      <c r="M35" s="50">
        <f t="shared" si="15"/>
        <v>71939158.448063806</v>
      </c>
      <c r="N35" s="50">
        <f t="shared" si="15"/>
        <v>866074604.01328015</v>
      </c>
      <c r="O35" s="50">
        <f t="shared" si="15"/>
        <v>1016611219.5232526</v>
      </c>
      <c r="P35" s="50">
        <f t="shared" si="15"/>
        <v>10703160.98917228</v>
      </c>
      <c r="Q35" s="50">
        <f t="shared" si="15"/>
        <v>641226994.63161063</v>
      </c>
      <c r="R35" s="50">
        <f t="shared" si="15"/>
        <v>42627174.185951695</v>
      </c>
    </row>
    <row r="36" spans="2:18" x14ac:dyDescent="0.2">
      <c r="B36" s="5" t="s">
        <v>257</v>
      </c>
      <c r="F36" s="99" t="s">
        <v>270</v>
      </c>
      <c r="J36" s="50">
        <f t="shared" ref="J36" si="16">SUM(L36:R36)</f>
        <v>2696910061.9555383</v>
      </c>
      <c r="L36" s="50">
        <f>L26+L31</f>
        <v>16569181.029173844</v>
      </c>
      <c r="M36" s="50">
        <f t="shared" si="15"/>
        <v>72997014.788095266</v>
      </c>
      <c r="N36" s="50">
        <f t="shared" si="15"/>
        <v>876186898.19616389</v>
      </c>
      <c r="O36" s="50">
        <f t="shared" si="15"/>
        <v>1029064025.3003862</v>
      </c>
      <c r="P36" s="50">
        <f t="shared" si="15"/>
        <v>10851567.020060821</v>
      </c>
      <c r="Q36" s="50">
        <f t="shared" si="15"/>
        <v>648073746.12279427</v>
      </c>
      <c r="R36" s="50">
        <f t="shared" si="15"/>
        <v>43167629.498864152</v>
      </c>
    </row>
    <row r="38" spans="2:18" s="43" customFormat="1" x14ac:dyDescent="0.2">
      <c r="B38" s="43" t="s">
        <v>258</v>
      </c>
    </row>
    <row r="40" spans="2:18" x14ac:dyDescent="0.2">
      <c r="B40" s="100" t="s">
        <v>261</v>
      </c>
      <c r="F40" s="99" t="s">
        <v>270</v>
      </c>
      <c r="J40" s="50">
        <f>SUM(L40:R40)</f>
        <v>68107006.339222804</v>
      </c>
      <c r="L40" s="120">
        <f>'Lokale heffingen 2018'!L41</f>
        <v>-1625.1722733501078</v>
      </c>
      <c r="M40" s="120">
        <f>'Lokale heffingen 2018'!M41</f>
        <v>6419414.3009553254</v>
      </c>
      <c r="N40" s="120">
        <f>'Lokale heffingen 2018'!N41</f>
        <v>1461648.8081150956</v>
      </c>
      <c r="O40" s="120">
        <f>'Lokale heffingen 2018'!O41</f>
        <v>40616641.054582708</v>
      </c>
      <c r="P40" s="120">
        <f>'Lokale heffingen 2018'!P41</f>
        <v>-116201.42362704888</v>
      </c>
      <c r="Q40" s="120">
        <f>'Lokale heffingen 2018'!Q41</f>
        <v>19726125.586506858</v>
      </c>
      <c r="R40" s="120">
        <f>'Lokale heffingen 2018'!R41</f>
        <v>1003.1849632100344</v>
      </c>
    </row>
    <row r="41" spans="2:18" x14ac:dyDescent="0.2">
      <c r="B41" s="6" t="s">
        <v>262</v>
      </c>
      <c r="F41" s="99" t="s">
        <v>270</v>
      </c>
      <c r="J41" s="50">
        <f t="shared" ref="J41:J43" si="17">SUM(L41:R41)</f>
        <v>-6010462.8322861213</v>
      </c>
      <c r="L41" s="120">
        <f>'Inkoopkosten Transport 2018'!L53</f>
        <v>-571353.72426118981</v>
      </c>
      <c r="M41" s="120">
        <f>'Inkoopkosten Transport 2018'!M53</f>
        <v>1605200.9352854481</v>
      </c>
      <c r="N41" s="120">
        <f>'Inkoopkosten Transport 2018'!N53</f>
        <v>-3881672.8340481631</v>
      </c>
      <c r="O41" s="120">
        <f>'Inkoopkosten Transport 2018'!O53</f>
        <v>-790964.1946628486</v>
      </c>
      <c r="P41" s="120">
        <f>'Inkoopkosten Transport 2018'!P53</f>
        <v>-423541.22856541665</v>
      </c>
      <c r="Q41" s="120">
        <f>'Inkoopkosten Transport 2018'!Q53</f>
        <v>-702808.02959603397</v>
      </c>
      <c r="R41" s="120">
        <f>'Inkoopkosten Transport 2018'!R53</f>
        <v>-1245323.756437917</v>
      </c>
    </row>
    <row r="42" spans="2:18" x14ac:dyDescent="0.2">
      <c r="B42" s="6" t="s">
        <v>263</v>
      </c>
      <c r="F42" s="99" t="s">
        <v>270</v>
      </c>
      <c r="J42" s="50">
        <f t="shared" si="17"/>
        <v>0</v>
      </c>
      <c r="L42" s="45"/>
      <c r="M42" s="45"/>
      <c r="N42" s="120">
        <f>'Overdracht Weert'!O26</f>
        <v>7183885.7693657186</v>
      </c>
      <c r="O42" s="45"/>
      <c r="P42" s="45"/>
      <c r="Q42" s="120">
        <f>'Overdracht Weert'!R26</f>
        <v>-7183885.7693657186</v>
      </c>
      <c r="R42" s="45"/>
    </row>
    <row r="43" spans="2:18" x14ac:dyDescent="0.2">
      <c r="B43" s="5" t="s">
        <v>333</v>
      </c>
      <c r="F43" s="99" t="s">
        <v>270</v>
      </c>
      <c r="J43" s="50">
        <f t="shared" si="17"/>
        <v>1984835.4696684803</v>
      </c>
      <c r="L43" s="120">
        <f>'Faillissement Flexenergie'!L23</f>
        <v>6164.4475692799997</v>
      </c>
      <c r="M43" s="120">
        <f>'Faillissement Flexenergie'!M23</f>
        <v>32997.396340480002</v>
      </c>
      <c r="N43" s="120">
        <f>'Faillissement Flexenergie'!N23</f>
        <v>580322.36076672014</v>
      </c>
      <c r="O43" s="120">
        <f>'Faillissement Flexenergie'!O23</f>
        <v>891597.33977600012</v>
      </c>
      <c r="P43" s="120">
        <f>'Faillissement Flexenergie'!P23</f>
        <v>5628.8735360000001</v>
      </c>
      <c r="Q43" s="120">
        <f>'Faillissement Flexenergie'!Q23</f>
        <v>449231.91629888001</v>
      </c>
      <c r="R43" s="120">
        <f>'Faillissement Flexenergie'!R23</f>
        <v>18893.135381120002</v>
      </c>
    </row>
    <row r="44" spans="2:18" x14ac:dyDescent="0.2">
      <c r="B44" s="35"/>
    </row>
    <row r="45" spans="2:18" x14ac:dyDescent="0.2">
      <c r="B45" s="5" t="s">
        <v>264</v>
      </c>
      <c r="F45" s="99" t="s">
        <v>270</v>
      </c>
      <c r="J45" s="50">
        <f>SUM(L45:R45)</f>
        <v>64081378.976605162</v>
      </c>
      <c r="L45" s="50">
        <f>SUM(L40:L43)</f>
        <v>-566814.44896525983</v>
      </c>
      <c r="M45" s="50">
        <f t="shared" ref="M45:R45" si="18">SUM(M40:M43)</f>
        <v>8057612.6325812535</v>
      </c>
      <c r="N45" s="50">
        <f t="shared" si="18"/>
        <v>5344184.1041993713</v>
      </c>
      <c r="O45" s="50">
        <f t="shared" si="18"/>
        <v>40717274.199695863</v>
      </c>
      <c r="P45" s="50">
        <f t="shared" si="18"/>
        <v>-534113.77865646547</v>
      </c>
      <c r="Q45" s="50">
        <f t="shared" si="18"/>
        <v>12288663.703843985</v>
      </c>
      <c r="R45" s="50">
        <f t="shared" si="18"/>
        <v>-1225427.436093587</v>
      </c>
    </row>
    <row r="47" spans="2:18" s="43" customFormat="1" x14ac:dyDescent="0.2">
      <c r="B47" s="43" t="s">
        <v>32</v>
      </c>
    </row>
    <row r="49" spans="2:18" x14ac:dyDescent="0.2">
      <c r="B49" s="35" t="s">
        <v>259</v>
      </c>
    </row>
    <row r="50" spans="2:18" x14ac:dyDescent="0.2">
      <c r="B50" s="5" t="s">
        <v>260</v>
      </c>
      <c r="F50" s="99" t="s">
        <v>270</v>
      </c>
      <c r="J50" s="50">
        <f>SUM(L50:R50)</f>
        <v>2760991440.9321437</v>
      </c>
      <c r="L50" s="63">
        <f>L36+L45</f>
        <v>16002366.580208585</v>
      </c>
      <c r="M50" s="63">
        <f t="shared" ref="M50:R50" si="19">M36+M45</f>
        <v>81054627.420676515</v>
      </c>
      <c r="N50" s="63">
        <f t="shared" si="19"/>
        <v>881531082.3003633</v>
      </c>
      <c r="O50" s="63">
        <f t="shared" si="19"/>
        <v>1069781299.500082</v>
      </c>
      <c r="P50" s="63">
        <f t="shared" si="19"/>
        <v>10317453.241404355</v>
      </c>
      <c r="Q50" s="63">
        <f t="shared" si="19"/>
        <v>660362409.82663822</v>
      </c>
      <c r="R50" s="63">
        <f t="shared" si="19"/>
        <v>41942202.062770568</v>
      </c>
    </row>
    <row r="55" spans="2:18" x14ac:dyDescent="0.2">
      <c r="B55" s="3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4.9989318521683403E-2"/>
  </sheetPr>
  <dimension ref="A1"/>
  <sheetViews>
    <sheetView showGridLines="0" zoomScale="85" zoomScaleNormal="85" workbookViewId="0"/>
  </sheetViews>
  <sheetFormatPr defaultRowHeight="12.75" x14ac:dyDescent="0.2"/>
  <cols>
    <col min="1" max="16384" width="9.140625" style="98"/>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V20"/>
  <sheetViews>
    <sheetView showGridLines="0" zoomScale="85" zoomScaleNormal="85" workbookViewId="0">
      <pane xSplit="6" ySplit="8" topLeftCell="G9" activePane="bottomRight" state="frozen"/>
      <selection activeCell="O38" sqref="O38"/>
      <selection pane="topRight" activeCell="O38" sqref="O38"/>
      <selection pane="bottomLeft" activeCell="O38" sqref="O38"/>
      <selection pane="bottomRight" activeCell="G9" sqref="G9"/>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4" width="13.28515625" style="5" customWidth="1"/>
    <col min="15" max="15" width="15" style="5" customWidth="1"/>
    <col min="16" max="16" width="12.5703125" style="5" customWidth="1"/>
    <col min="17" max="17" width="13.28515625" style="5" customWidth="1"/>
    <col min="18" max="18" width="12.5703125" style="5" customWidth="1"/>
    <col min="19" max="19" width="2.7109375" style="5" customWidth="1"/>
    <col min="20" max="20" width="17.140625" style="5" customWidth="1"/>
    <col min="21" max="21" width="2.7109375" style="5" customWidth="1"/>
    <col min="22" max="22" width="13.7109375" style="5" customWidth="1"/>
    <col min="23" max="23" width="2.7109375" style="5" customWidth="1"/>
    <col min="24" max="38" width="13.7109375" style="5" customWidth="1"/>
    <col min="39" max="16384" width="9.140625" style="5"/>
  </cols>
  <sheetData>
    <row r="2" spans="1:22" s="16" customFormat="1" ht="18" x14ac:dyDescent="0.2">
      <c r="B2" s="16" t="s">
        <v>225</v>
      </c>
    </row>
    <row r="4" spans="1:22" x14ac:dyDescent="0.2">
      <c r="B4" s="35" t="s">
        <v>29</v>
      </c>
      <c r="C4" s="35"/>
      <c r="D4" s="35"/>
    </row>
    <row r="5" spans="1:22" x14ac:dyDescent="0.2">
      <c r="B5" s="37" t="s">
        <v>199</v>
      </c>
      <c r="C5" s="37"/>
      <c r="D5" s="37"/>
      <c r="H5" s="15"/>
    </row>
    <row r="6" spans="1:22" x14ac:dyDescent="0.2">
      <c r="B6" s="37"/>
      <c r="C6" s="37"/>
      <c r="D6" s="37"/>
      <c r="H6" s="15"/>
    </row>
    <row r="7" spans="1:22" s="43" customFormat="1" x14ac:dyDescent="0.2">
      <c r="B7" s="43" t="s">
        <v>45</v>
      </c>
      <c r="F7" s="43" t="s">
        <v>27</v>
      </c>
      <c r="H7" s="43" t="s">
        <v>28</v>
      </c>
      <c r="J7" s="43" t="s">
        <v>49</v>
      </c>
      <c r="L7" s="43" t="s">
        <v>111</v>
      </c>
      <c r="M7" s="43" t="s">
        <v>100</v>
      </c>
      <c r="N7" s="43" t="s">
        <v>101</v>
      </c>
      <c r="O7" s="43" t="s">
        <v>102</v>
      </c>
      <c r="P7" s="43" t="s">
        <v>103</v>
      </c>
      <c r="Q7" s="43" t="s">
        <v>104</v>
      </c>
      <c r="R7" s="43" t="s">
        <v>105</v>
      </c>
      <c r="T7" s="43" t="s">
        <v>46</v>
      </c>
      <c r="V7" s="43" t="s">
        <v>47</v>
      </c>
    </row>
    <row r="10" spans="1:22" s="43" customFormat="1" x14ac:dyDescent="0.2">
      <c r="B10" s="43" t="s">
        <v>172</v>
      </c>
    </row>
    <row r="12" spans="1:22" x14ac:dyDescent="0.2">
      <c r="A12" s="38"/>
      <c r="B12" s="5" t="s">
        <v>144</v>
      </c>
      <c r="F12" s="99" t="s">
        <v>138</v>
      </c>
      <c r="L12" s="82">
        <v>16133862.015593166</v>
      </c>
      <c r="M12" s="82">
        <v>72166870.54851833</v>
      </c>
      <c r="N12" s="82">
        <v>876988224.33064485</v>
      </c>
      <c r="O12" s="82">
        <v>1027511981.3637975</v>
      </c>
      <c r="P12" s="82">
        <v>10766135.085045619</v>
      </c>
      <c r="Q12" s="82">
        <v>651241008.73070467</v>
      </c>
      <c r="R12" s="82">
        <v>43036241.087281033</v>
      </c>
      <c r="T12" s="113" t="s">
        <v>236</v>
      </c>
    </row>
    <row r="13" spans="1:22" x14ac:dyDescent="0.2">
      <c r="A13" s="38"/>
      <c r="B13" s="5" t="s">
        <v>145</v>
      </c>
      <c r="F13" s="99" t="s">
        <v>138</v>
      </c>
      <c r="L13" s="82">
        <v>3686772.937732263</v>
      </c>
      <c r="M13" s="82">
        <v>10246056.183085894</v>
      </c>
      <c r="N13" s="82">
        <v>179660011.99798381</v>
      </c>
      <c r="O13" s="82">
        <v>167595992.24279189</v>
      </c>
      <c r="P13" s="82">
        <v>2434756.1499236641</v>
      </c>
      <c r="Q13" s="82">
        <v>113058990.22601718</v>
      </c>
      <c r="R13" s="82">
        <v>10529586.902996866</v>
      </c>
      <c r="T13" s="113" t="s">
        <v>237</v>
      </c>
    </row>
    <row r="14" spans="1:22" s="39" customFormat="1" x14ac:dyDescent="0.2">
      <c r="A14" s="111"/>
    </row>
    <row r="15" spans="1:22" x14ac:dyDescent="0.2">
      <c r="A15" s="38"/>
      <c r="B15" s="5" t="s">
        <v>113</v>
      </c>
      <c r="F15" s="5" t="s">
        <v>106</v>
      </c>
      <c r="L15" s="114">
        <v>2.21</v>
      </c>
      <c r="M15" s="114">
        <v>1.94</v>
      </c>
      <c r="N15" s="114">
        <v>2.13</v>
      </c>
      <c r="O15" s="114">
        <v>1.9</v>
      </c>
      <c r="P15" s="114">
        <v>2.12</v>
      </c>
      <c r="Q15" s="114">
        <v>1.99</v>
      </c>
      <c r="R15" s="114">
        <v>2.25</v>
      </c>
      <c r="T15" s="113" t="s">
        <v>238</v>
      </c>
    </row>
    <row r="16" spans="1:22" x14ac:dyDescent="0.2">
      <c r="A16" s="38"/>
      <c r="B16" s="5" t="s">
        <v>137</v>
      </c>
      <c r="F16" s="5" t="s">
        <v>106</v>
      </c>
      <c r="L16" s="114">
        <v>0.97</v>
      </c>
      <c r="M16" s="114">
        <v>0.38</v>
      </c>
      <c r="N16" s="114">
        <v>0.05</v>
      </c>
      <c r="O16" s="114">
        <v>0</v>
      </c>
      <c r="P16" s="114">
        <v>0.27</v>
      </c>
      <c r="Q16" s="114">
        <v>-0.13</v>
      </c>
      <c r="R16" s="114">
        <v>0.19</v>
      </c>
      <c r="T16" s="113" t="s">
        <v>239</v>
      </c>
    </row>
    <row r="18" spans="2:20" s="43" customFormat="1" x14ac:dyDescent="0.2">
      <c r="B18" s="43" t="s">
        <v>234</v>
      </c>
    </row>
    <row r="20" spans="2:20" x14ac:dyDescent="0.2">
      <c r="B20" s="99" t="s">
        <v>179</v>
      </c>
      <c r="H20" s="118">
        <v>1.1084981936615199E-2</v>
      </c>
      <c r="T20" s="113" t="s">
        <v>235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CCFFCC"/>
  </sheetPr>
  <dimension ref="A2:Z41"/>
  <sheetViews>
    <sheetView showGridLines="0" zoomScale="85" zoomScaleNormal="85" workbookViewId="0">
      <pane xSplit="6" ySplit="10" topLeftCell="G11" activePane="bottomRight" state="frozen"/>
      <selection activeCell="O38" sqref="O38"/>
      <selection pane="topRight" activeCell="O38" sqref="O38"/>
      <selection pane="bottomLeft" activeCell="O38" sqref="O38"/>
      <selection pane="bottomRight" activeCell="G11" sqref="G11"/>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22" width="12.5703125" style="5" customWidth="1"/>
    <col min="23" max="23" width="2.7109375" style="5" customWidth="1"/>
    <col min="24" max="24" width="24.7109375" style="5" customWidth="1"/>
    <col min="25" max="25" width="2.7109375" style="5" customWidth="1"/>
    <col min="26" max="26" width="13.7109375" style="5" customWidth="1"/>
    <col min="27" max="27" width="2.7109375" style="5" customWidth="1"/>
    <col min="28" max="42" width="13.7109375" style="5" customWidth="1"/>
    <col min="43" max="16384" width="9.140625" style="5"/>
  </cols>
  <sheetData>
    <row r="2" spans="1:26" s="16" customFormat="1" ht="18" x14ac:dyDescent="0.2">
      <c r="B2" s="16" t="s">
        <v>114</v>
      </c>
    </row>
    <row r="4" spans="1:26" x14ac:dyDescent="0.2">
      <c r="B4" s="35" t="s">
        <v>29</v>
      </c>
      <c r="C4" s="35"/>
      <c r="D4" s="35"/>
    </row>
    <row r="5" spans="1:26" x14ac:dyDescent="0.2">
      <c r="B5" s="37" t="s">
        <v>226</v>
      </c>
      <c r="C5" s="37"/>
      <c r="D5" s="37"/>
      <c r="H5" s="15"/>
    </row>
    <row r="6" spans="1:26" x14ac:dyDescent="0.2">
      <c r="B6" s="37" t="s">
        <v>359</v>
      </c>
      <c r="C6" s="37"/>
      <c r="D6" s="37"/>
      <c r="H6" s="15"/>
    </row>
    <row r="7" spans="1:26" x14ac:dyDescent="0.2">
      <c r="B7" s="19"/>
      <c r="C7" s="37"/>
      <c r="D7" s="37"/>
      <c r="H7" s="15"/>
    </row>
    <row r="9" spans="1:26" s="43" customFormat="1" x14ac:dyDescent="0.2">
      <c r="B9" s="43" t="s">
        <v>45</v>
      </c>
      <c r="F9" s="43" t="s">
        <v>27</v>
      </c>
      <c r="H9" s="43" t="s">
        <v>28</v>
      </c>
      <c r="J9" s="43" t="s">
        <v>49</v>
      </c>
      <c r="L9" s="43" t="s">
        <v>115</v>
      </c>
      <c r="M9" s="43" t="s">
        <v>116</v>
      </c>
      <c r="N9" s="43" t="s">
        <v>117</v>
      </c>
      <c r="O9" s="43" t="s">
        <v>118</v>
      </c>
      <c r="P9" s="43" t="s">
        <v>119</v>
      </c>
      <c r="Q9" s="43" t="s">
        <v>120</v>
      </c>
      <c r="R9" s="43" t="s">
        <v>121</v>
      </c>
      <c r="S9" s="43" t="s">
        <v>122</v>
      </c>
      <c r="T9" s="43" t="s">
        <v>123</v>
      </c>
      <c r="U9" s="43" t="s">
        <v>124</v>
      </c>
      <c r="V9" s="43" t="s">
        <v>125</v>
      </c>
      <c r="W9" s="43" t="s">
        <v>46</v>
      </c>
      <c r="Z9" s="43" t="s">
        <v>47</v>
      </c>
    </row>
    <row r="12" spans="1:26" s="43" customFormat="1" x14ac:dyDescent="0.2">
      <c r="B12" s="43" t="s">
        <v>203</v>
      </c>
    </row>
    <row r="14" spans="1:26" x14ac:dyDescent="0.2">
      <c r="B14" s="35" t="s">
        <v>204</v>
      </c>
    </row>
    <row r="15" spans="1:26" x14ac:dyDescent="0.2">
      <c r="A15" s="38"/>
      <c r="B15" s="94" t="s">
        <v>126</v>
      </c>
    </row>
    <row r="16" spans="1:26" x14ac:dyDescent="0.2">
      <c r="A16" s="38"/>
      <c r="B16" s="94" t="s">
        <v>127</v>
      </c>
    </row>
    <row r="17" spans="1:26" x14ac:dyDescent="0.2">
      <c r="A17" s="38"/>
      <c r="B17" s="94" t="s">
        <v>205</v>
      </c>
    </row>
    <row r="18" spans="1:26" x14ac:dyDescent="0.2">
      <c r="B18" s="93"/>
    </row>
    <row r="19" spans="1:26" x14ac:dyDescent="0.2">
      <c r="A19" s="38"/>
      <c r="B19" s="38" t="s">
        <v>206</v>
      </c>
      <c r="F19" s="5" t="s">
        <v>128</v>
      </c>
      <c r="L19" s="92">
        <v>1.4999999999999999E-2</v>
      </c>
      <c r="M19" s="92">
        <v>2.5999999999999999E-2</v>
      </c>
      <c r="N19" s="92">
        <v>2.3E-2</v>
      </c>
      <c r="O19" s="92">
        <v>2.8000000000000001E-2</v>
      </c>
      <c r="P19" s="92">
        <v>0.01</v>
      </c>
      <c r="Q19" s="92">
        <v>8.0000000000000002E-3</v>
      </c>
      <c r="R19" s="92">
        <v>2E-3</v>
      </c>
      <c r="S19" s="92">
        <v>1.4E-2</v>
      </c>
      <c r="T19" s="92">
        <v>2.1000000000000001E-2</v>
      </c>
      <c r="U19" s="92">
        <v>2.8000000000000001E-2</v>
      </c>
      <c r="Z19" s="91"/>
    </row>
    <row r="22" spans="1:26" s="43" customFormat="1" x14ac:dyDescent="0.2">
      <c r="B22" s="43" t="s">
        <v>129</v>
      </c>
    </row>
    <row r="24" spans="1:26" x14ac:dyDescent="0.2">
      <c r="B24" s="35" t="s">
        <v>130</v>
      </c>
    </row>
    <row r="25" spans="1:26" x14ac:dyDescent="0.2">
      <c r="A25" s="38"/>
      <c r="B25" s="93" t="s">
        <v>207</v>
      </c>
    </row>
    <row r="26" spans="1:26" x14ac:dyDescent="0.2">
      <c r="A26" s="38"/>
      <c r="B26" s="93" t="s">
        <v>208</v>
      </c>
    </row>
    <row r="27" spans="1:26" x14ac:dyDescent="0.2">
      <c r="A27" s="38"/>
      <c r="B27" s="90" t="s">
        <v>209</v>
      </c>
    </row>
    <row r="28" spans="1:26" x14ac:dyDescent="0.2">
      <c r="A28" s="38"/>
      <c r="B28" s="90" t="s">
        <v>211</v>
      </c>
    </row>
    <row r="29" spans="1:26" x14ac:dyDescent="0.2">
      <c r="A29" s="38"/>
      <c r="B29" s="90"/>
    </row>
    <row r="30" spans="1:26" x14ac:dyDescent="0.2">
      <c r="A30" s="38"/>
      <c r="B30" s="93" t="s">
        <v>210</v>
      </c>
    </row>
    <row r="31" spans="1:26" x14ac:dyDescent="0.2">
      <c r="A31" s="38"/>
      <c r="B31" s="93"/>
    </row>
    <row r="32" spans="1:26" x14ac:dyDescent="0.2">
      <c r="B32" s="35" t="s">
        <v>131</v>
      </c>
    </row>
    <row r="33" spans="2:21" x14ac:dyDescent="0.2">
      <c r="B33" s="5" t="s">
        <v>132</v>
      </c>
      <c r="F33" s="5" t="s">
        <v>128</v>
      </c>
      <c r="L33" s="89">
        <v>2.5000000000000001E-2</v>
      </c>
      <c r="M33" s="89">
        <v>2.8500000000000001E-2</v>
      </c>
      <c r="N33" s="89">
        <v>0.03</v>
      </c>
      <c r="O33" s="89">
        <v>0.03</v>
      </c>
      <c r="P33" s="89">
        <v>0.04</v>
      </c>
      <c r="Q33" s="89">
        <v>0.04</v>
      </c>
      <c r="R33" s="89">
        <v>0.04</v>
      </c>
      <c r="S33" s="95">
        <v>0.04</v>
      </c>
      <c r="T33" s="95">
        <v>0.04</v>
      </c>
      <c r="U33" s="88">
        <v>0.04</v>
      </c>
    </row>
    <row r="34" spans="2:21" x14ac:dyDescent="0.2">
      <c r="B34" s="5" t="s">
        <v>133</v>
      </c>
      <c r="F34" s="5" t="s">
        <v>128</v>
      </c>
      <c r="L34" s="89">
        <v>2.5000000000000001E-2</v>
      </c>
      <c r="M34" s="89">
        <v>2.3E-2</v>
      </c>
      <c r="N34" s="89">
        <v>0.03</v>
      </c>
      <c r="O34" s="89">
        <v>0.04</v>
      </c>
      <c r="P34" s="89">
        <v>0.04</v>
      </c>
      <c r="Q34" s="89">
        <v>0.04</v>
      </c>
      <c r="R34" s="89">
        <v>0.04</v>
      </c>
      <c r="S34" s="95">
        <v>0.04</v>
      </c>
      <c r="T34" s="95">
        <v>0.04</v>
      </c>
      <c r="U34" s="88">
        <v>0.04</v>
      </c>
    </row>
    <row r="35" spans="2:21" x14ac:dyDescent="0.2">
      <c r="B35" s="5" t="s">
        <v>134</v>
      </c>
      <c r="F35" s="5" t="s">
        <v>128</v>
      </c>
      <c r="L35" s="89">
        <v>2.75E-2</v>
      </c>
      <c r="M35" s="89">
        <v>2.5000000000000001E-2</v>
      </c>
      <c r="N35" s="89">
        <v>0.03</v>
      </c>
      <c r="O35" s="89">
        <v>0.04</v>
      </c>
      <c r="P35" s="89">
        <v>0.04</v>
      </c>
      <c r="Q35" s="89">
        <v>0.04</v>
      </c>
      <c r="R35" s="89">
        <v>0.04</v>
      </c>
      <c r="S35" s="95">
        <v>0.04</v>
      </c>
      <c r="T35" s="95">
        <v>0.04</v>
      </c>
    </row>
    <row r="36" spans="2:21" x14ac:dyDescent="0.2">
      <c r="B36" s="5" t="s">
        <v>135</v>
      </c>
      <c r="F36" s="5" t="s">
        <v>128</v>
      </c>
      <c r="L36" s="89">
        <v>0.03</v>
      </c>
      <c r="M36" s="89">
        <v>2.2499999999999999E-2</v>
      </c>
      <c r="N36" s="89">
        <v>0.03</v>
      </c>
      <c r="O36" s="89">
        <v>0.04</v>
      </c>
      <c r="P36" s="89">
        <v>0.04</v>
      </c>
      <c r="Q36" s="89">
        <v>0.04</v>
      </c>
      <c r="R36" s="89">
        <v>0.04</v>
      </c>
      <c r="S36" s="95">
        <v>0.04</v>
      </c>
      <c r="T36" s="88">
        <v>0.04</v>
      </c>
    </row>
    <row r="39" spans="2:21" s="43" customFormat="1" x14ac:dyDescent="0.2">
      <c r="B39" s="43" t="s">
        <v>355</v>
      </c>
    </row>
    <row r="41" spans="2:21" x14ac:dyDescent="0.2">
      <c r="B41" s="5" t="s">
        <v>358</v>
      </c>
      <c r="F41" s="5" t="s">
        <v>128</v>
      </c>
      <c r="H41" s="132">
        <v>0.21</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A2:V46"/>
  <sheetViews>
    <sheetView showGridLines="0" zoomScale="85" zoomScaleNormal="85" workbookViewId="0">
      <pane xSplit="6" ySplit="17" topLeftCell="G18" activePane="bottomRight" state="frozen"/>
      <selection activeCell="O38" sqref="O38"/>
      <selection pane="topRight" activeCell="O38" sqref="O38"/>
      <selection pane="bottomLeft" activeCell="O38" sqref="O38"/>
      <selection pane="bottomRight" activeCell="G18" sqref="G18"/>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3" width="12.5703125" style="5" customWidth="1"/>
    <col min="14" max="15" width="15.85546875" style="5" customWidth="1"/>
    <col min="16" max="16" width="12.5703125" style="5" customWidth="1"/>
    <col min="17" max="17" width="15.85546875" style="5" customWidth="1"/>
    <col min="18" max="18" width="12.5703125" style="5" customWidth="1"/>
    <col min="19" max="19" width="2.7109375" style="5" customWidth="1"/>
    <col min="20" max="20" width="14.85546875" style="5" customWidth="1"/>
    <col min="21" max="21" width="2.7109375" style="5" customWidth="1"/>
    <col min="22" max="36" width="13.7109375" style="5" customWidth="1"/>
    <col min="37" max="16384" width="9.140625" style="5"/>
  </cols>
  <sheetData>
    <row r="2" spans="2:22" s="16" customFormat="1" ht="18" x14ac:dyDescent="0.2">
      <c r="B2" s="16" t="s">
        <v>261</v>
      </c>
    </row>
    <row r="4" spans="2:22" x14ac:dyDescent="0.2">
      <c r="B4" s="35" t="s">
        <v>29</v>
      </c>
      <c r="C4" s="35"/>
      <c r="D4" s="35"/>
    </row>
    <row r="5" spans="2:22" x14ac:dyDescent="0.2">
      <c r="B5" s="37" t="s">
        <v>272</v>
      </c>
      <c r="C5" s="37"/>
      <c r="D5" s="37"/>
      <c r="H5" s="15"/>
    </row>
    <row r="6" spans="2:22" x14ac:dyDescent="0.2">
      <c r="B6" s="37"/>
      <c r="C6" s="37"/>
      <c r="D6" s="37"/>
      <c r="H6" s="15"/>
    </row>
    <row r="7" spans="2:22" x14ac:dyDescent="0.2">
      <c r="B7" s="37" t="s">
        <v>295</v>
      </c>
      <c r="C7" s="37"/>
      <c r="D7" s="37"/>
      <c r="H7" s="15"/>
    </row>
    <row r="8" spans="2:22" x14ac:dyDescent="0.2">
      <c r="B8" s="37"/>
      <c r="C8" s="37"/>
      <c r="D8" s="37"/>
      <c r="H8" s="15"/>
    </row>
    <row r="9" spans="2:22" x14ac:dyDescent="0.2">
      <c r="B9" s="87" t="s">
        <v>182</v>
      </c>
      <c r="C9" s="37"/>
      <c r="D9" s="37"/>
      <c r="H9" s="15"/>
    </row>
    <row r="10" spans="2:22" x14ac:dyDescent="0.2">
      <c r="B10" s="87" t="s">
        <v>200</v>
      </c>
      <c r="C10" s="37"/>
      <c r="D10" s="37"/>
      <c r="E10" s="37"/>
      <c r="F10" s="37"/>
      <c r="H10" s="15"/>
    </row>
    <row r="11" spans="2:22" x14ac:dyDescent="0.2">
      <c r="B11" s="87" t="s">
        <v>294</v>
      </c>
      <c r="C11" s="37"/>
      <c r="D11" s="37"/>
      <c r="E11" s="37"/>
      <c r="F11" s="37"/>
      <c r="H11" s="15"/>
    </row>
    <row r="12" spans="2:22" x14ac:dyDescent="0.2">
      <c r="B12" s="87" t="s">
        <v>183</v>
      </c>
      <c r="C12" s="37"/>
      <c r="D12" s="37"/>
      <c r="E12" s="37"/>
      <c r="F12" s="37"/>
      <c r="H12" s="15"/>
    </row>
    <row r="13" spans="2:22" x14ac:dyDescent="0.2">
      <c r="B13" s="87" t="s">
        <v>296</v>
      </c>
      <c r="C13" s="37"/>
      <c r="D13" s="37"/>
      <c r="E13" s="37"/>
      <c r="F13" s="37"/>
      <c r="H13" s="15"/>
    </row>
    <row r="14" spans="2:22" x14ac:dyDescent="0.2">
      <c r="B14" s="87" t="s">
        <v>201</v>
      </c>
      <c r="C14" s="37"/>
      <c r="D14" s="37"/>
      <c r="E14" s="37"/>
      <c r="F14" s="37"/>
      <c r="H14" s="15"/>
    </row>
    <row r="16" spans="2:22" s="43" customFormat="1" x14ac:dyDescent="0.2">
      <c r="B16" s="43" t="s">
        <v>45</v>
      </c>
      <c r="F16" s="43" t="s">
        <v>27</v>
      </c>
      <c r="H16" s="43" t="s">
        <v>28</v>
      </c>
      <c r="J16" s="43" t="s">
        <v>49</v>
      </c>
      <c r="L16" s="43" t="s">
        <v>111</v>
      </c>
      <c r="M16" s="43" t="s">
        <v>100</v>
      </c>
      <c r="N16" s="43" t="s">
        <v>101</v>
      </c>
      <c r="O16" s="43" t="s">
        <v>102</v>
      </c>
      <c r="P16" s="43" t="s">
        <v>103</v>
      </c>
      <c r="Q16" s="43" t="s">
        <v>104</v>
      </c>
      <c r="R16" s="43" t="s">
        <v>105</v>
      </c>
      <c r="T16" s="43" t="s">
        <v>46</v>
      </c>
      <c r="V16" s="43" t="s">
        <v>47</v>
      </c>
    </row>
    <row r="19" spans="1:20" s="43" customFormat="1" x14ac:dyDescent="0.2">
      <c r="B19" s="43" t="s">
        <v>273</v>
      </c>
    </row>
    <row r="20" spans="1:20" x14ac:dyDescent="0.2">
      <c r="A20" s="86"/>
      <c r="B20" s="86"/>
      <c r="C20" s="86"/>
      <c r="D20" s="86"/>
    </row>
    <row r="21" spans="1:20" x14ac:dyDescent="0.2">
      <c r="A21" s="93"/>
      <c r="B21" s="85" t="s">
        <v>274</v>
      </c>
      <c r="C21" s="93"/>
      <c r="D21" s="93"/>
    </row>
    <row r="22" spans="1:20" x14ac:dyDescent="0.2">
      <c r="A22" s="87"/>
      <c r="B22" s="84" t="s">
        <v>318</v>
      </c>
      <c r="C22" s="93"/>
      <c r="D22" s="93"/>
    </row>
    <row r="23" spans="1:20" x14ac:dyDescent="0.2">
      <c r="A23" s="87"/>
      <c r="B23" s="84"/>
      <c r="C23" s="93"/>
      <c r="D23" s="93"/>
    </row>
    <row r="24" spans="1:20" x14ac:dyDescent="0.2">
      <c r="A24" s="107"/>
      <c r="B24" s="83" t="s">
        <v>275</v>
      </c>
      <c r="C24" s="93"/>
      <c r="F24" s="93" t="s">
        <v>276</v>
      </c>
      <c r="L24" s="82">
        <v>12337347.574413471</v>
      </c>
      <c r="M24" s="82">
        <v>60980965.383998461</v>
      </c>
      <c r="N24" s="82">
        <v>679565756.53560948</v>
      </c>
      <c r="O24" s="82">
        <v>841070930.21941876</v>
      </c>
      <c r="P24" s="82">
        <v>8157038.5823703278</v>
      </c>
      <c r="Q24" s="82">
        <v>524048411.49840194</v>
      </c>
      <c r="R24" s="82">
        <v>31691477.015707873</v>
      </c>
      <c r="T24" s="5" t="s">
        <v>292</v>
      </c>
    </row>
    <row r="25" spans="1:20" x14ac:dyDescent="0.2">
      <c r="A25" s="93"/>
      <c r="B25" s="85"/>
      <c r="C25" s="93"/>
      <c r="D25" s="93"/>
    </row>
    <row r="26" spans="1:20" s="43" customFormat="1" x14ac:dyDescent="0.2">
      <c r="B26" s="43" t="s">
        <v>287</v>
      </c>
    </row>
    <row r="27" spans="1:20" x14ac:dyDescent="0.2">
      <c r="A27" s="86"/>
      <c r="B27" s="86"/>
      <c r="C27" s="86"/>
      <c r="D27" s="86"/>
    </row>
    <row r="28" spans="1:20" x14ac:dyDescent="0.2">
      <c r="A28" s="38"/>
      <c r="B28" s="81" t="s">
        <v>190</v>
      </c>
      <c r="C28" s="86"/>
      <c r="D28" s="86"/>
    </row>
    <row r="29" spans="1:20" x14ac:dyDescent="0.2">
      <c r="A29" s="38"/>
      <c r="B29" s="86"/>
      <c r="C29" s="86"/>
      <c r="D29" s="86"/>
    </row>
    <row r="30" spans="1:20" x14ac:dyDescent="0.2">
      <c r="A30" s="38"/>
      <c r="B30" s="85" t="s">
        <v>317</v>
      </c>
      <c r="C30" s="86"/>
      <c r="D30" s="86"/>
    </row>
    <row r="31" spans="1:20" x14ac:dyDescent="0.2">
      <c r="A31" s="38"/>
      <c r="B31" s="93" t="s">
        <v>191</v>
      </c>
      <c r="C31" s="86"/>
      <c r="D31" s="86"/>
      <c r="L31" s="82"/>
      <c r="M31" s="82">
        <v>7052202.1699999999</v>
      </c>
      <c r="N31" s="82">
        <v>2992595.8282788037</v>
      </c>
      <c r="O31" s="80">
        <v>98386096.329999998</v>
      </c>
      <c r="P31" s="82"/>
      <c r="Q31" s="82">
        <v>37459772.848703682</v>
      </c>
      <c r="R31" s="82">
        <v>34546.269999999997</v>
      </c>
      <c r="T31" s="93" t="s">
        <v>288</v>
      </c>
    </row>
    <row r="32" spans="1:20" x14ac:dyDescent="0.2">
      <c r="A32" s="38"/>
      <c r="B32" s="93" t="s">
        <v>192</v>
      </c>
      <c r="C32" s="86"/>
      <c r="D32" s="86"/>
      <c r="L32" s="82"/>
      <c r="M32" s="82">
        <v>45207.365444682415</v>
      </c>
      <c r="N32" s="82"/>
      <c r="O32" s="82"/>
      <c r="P32" s="82"/>
      <c r="Q32" s="82"/>
      <c r="R32" s="82"/>
      <c r="T32" s="93" t="s">
        <v>288</v>
      </c>
    </row>
    <row r="33" spans="1:20" x14ac:dyDescent="0.2">
      <c r="A33" s="38"/>
      <c r="B33" s="86"/>
      <c r="C33" s="86"/>
      <c r="D33" s="86"/>
    </row>
    <row r="34" spans="1:20" x14ac:dyDescent="0.2">
      <c r="A34" s="38"/>
      <c r="B34" s="81" t="s">
        <v>291</v>
      </c>
    </row>
    <row r="35" spans="1:20" x14ac:dyDescent="0.2">
      <c r="A35" s="38"/>
      <c r="B35" s="86" t="s">
        <v>289</v>
      </c>
      <c r="F35" s="93" t="s">
        <v>276</v>
      </c>
      <c r="P35" s="82">
        <v>716840.20257754426</v>
      </c>
      <c r="T35" s="87" t="s">
        <v>221</v>
      </c>
    </row>
    <row r="36" spans="1:20" x14ac:dyDescent="0.2">
      <c r="A36" s="38"/>
      <c r="B36" s="86" t="s">
        <v>290</v>
      </c>
      <c r="F36" s="93" t="s">
        <v>276</v>
      </c>
      <c r="P36" s="82">
        <v>-9.8628070453502499E-9</v>
      </c>
      <c r="T36" s="87" t="s">
        <v>221</v>
      </c>
    </row>
    <row r="37" spans="1:20" x14ac:dyDescent="0.2">
      <c r="A37" s="86"/>
      <c r="B37" s="86"/>
      <c r="C37" s="86"/>
      <c r="D37" s="86"/>
    </row>
    <row r="38" spans="1:20" x14ac:dyDescent="0.2">
      <c r="A38" s="86"/>
      <c r="B38" s="86"/>
      <c r="C38" s="86"/>
      <c r="D38" s="86"/>
    </row>
    <row r="39" spans="1:20" x14ac:dyDescent="0.2">
      <c r="A39" s="87"/>
      <c r="B39" s="81" t="s">
        <v>136</v>
      </c>
      <c r="C39" s="93"/>
      <c r="F39" s="93"/>
    </row>
    <row r="40" spans="1:20" x14ac:dyDescent="0.2">
      <c r="A40" s="87"/>
      <c r="B40" s="84" t="s">
        <v>316</v>
      </c>
      <c r="C40" s="93"/>
      <c r="F40" s="93"/>
    </row>
    <row r="41" spans="1:20" x14ac:dyDescent="0.2">
      <c r="A41" s="87"/>
      <c r="B41" s="81"/>
      <c r="C41" s="93"/>
      <c r="F41" s="93"/>
      <c r="T41" s="15"/>
    </row>
    <row r="42" spans="1:20" x14ac:dyDescent="0.2">
      <c r="A42" s="79"/>
      <c r="B42" s="108" t="s">
        <v>196</v>
      </c>
      <c r="C42" s="79"/>
      <c r="F42" s="93" t="s">
        <v>138</v>
      </c>
      <c r="L42" s="82">
        <v>16132346.0870746</v>
      </c>
      <c r="M42" s="82">
        <v>77961250.820773944</v>
      </c>
      <c r="N42" s="82">
        <v>878374923.0285424</v>
      </c>
      <c r="O42" s="82">
        <v>1064454174.9986008</v>
      </c>
      <c r="P42" s="82">
        <v>10644783.591933876</v>
      </c>
      <c r="Q42" s="82">
        <v>669181502.77580309</v>
      </c>
      <c r="R42" s="82">
        <v>43037192.445612788</v>
      </c>
      <c r="T42" s="37" t="s">
        <v>227</v>
      </c>
    </row>
    <row r="43" spans="1:20" x14ac:dyDescent="0.2">
      <c r="A43" s="79"/>
      <c r="B43" s="108" t="s">
        <v>195</v>
      </c>
      <c r="C43" s="78"/>
      <c r="F43" s="93" t="s">
        <v>138</v>
      </c>
      <c r="L43" s="82">
        <v>3686772.937732263</v>
      </c>
      <c r="M43" s="82">
        <v>10246056.183085894</v>
      </c>
      <c r="N43" s="82">
        <v>179660011.99798381</v>
      </c>
      <c r="O43" s="82">
        <v>167595992.24279189</v>
      </c>
      <c r="P43" s="82">
        <v>2434756.1499236641</v>
      </c>
      <c r="Q43" s="82">
        <v>113058990.22601718</v>
      </c>
      <c r="R43" s="82">
        <v>10529586.902996866</v>
      </c>
      <c r="T43" s="37" t="s">
        <v>293</v>
      </c>
    </row>
    <row r="44" spans="1:20" x14ac:dyDescent="0.2">
      <c r="A44" s="79"/>
      <c r="B44" s="79" t="s">
        <v>188</v>
      </c>
      <c r="C44" s="78"/>
      <c r="F44" s="78" t="s">
        <v>106</v>
      </c>
      <c r="L44" s="114">
        <v>2.21</v>
      </c>
      <c r="M44" s="114">
        <v>1.77</v>
      </c>
      <c r="N44" s="114">
        <v>2.13</v>
      </c>
      <c r="O44" s="114">
        <v>1.82</v>
      </c>
      <c r="P44" s="114">
        <v>2.0499999999999998</v>
      </c>
      <c r="Q44" s="114">
        <v>1.92</v>
      </c>
      <c r="R44" s="114">
        <v>2.25</v>
      </c>
      <c r="T44" s="73" t="s">
        <v>228</v>
      </c>
    </row>
    <row r="45" spans="1:20" x14ac:dyDescent="0.2">
      <c r="A45" s="79"/>
      <c r="B45" s="99" t="s">
        <v>189</v>
      </c>
      <c r="C45" s="78"/>
      <c r="F45" s="78" t="s">
        <v>106</v>
      </c>
      <c r="L45" s="114">
        <v>0.97</v>
      </c>
      <c r="M45" s="114">
        <v>0.38</v>
      </c>
      <c r="N45" s="114">
        <v>0.05</v>
      </c>
      <c r="O45" s="114">
        <v>0</v>
      </c>
      <c r="P45" s="114">
        <v>0.27</v>
      </c>
      <c r="Q45" s="114">
        <v>-0.13</v>
      </c>
      <c r="R45" s="114">
        <v>0.19</v>
      </c>
      <c r="T45" s="37" t="s">
        <v>229</v>
      </c>
    </row>
    <row r="46" spans="1:20" x14ac:dyDescent="0.2">
      <c r="A46" s="79"/>
      <c r="B46" s="78"/>
      <c r="C46" s="78"/>
      <c r="F46" s="78"/>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CFFCC"/>
  </sheetPr>
  <dimension ref="B2:U184"/>
  <sheetViews>
    <sheetView showGridLines="0" zoomScale="85" zoomScaleNormal="85" workbookViewId="0">
      <pane xSplit="6" ySplit="11" topLeftCell="G12" activePane="bottomRight" state="frozen"/>
      <selection activeCell="O38" sqref="O38"/>
      <selection pane="topRight" activeCell="O38" sqref="O38"/>
      <selection pane="bottomLeft" activeCell="O38" sqref="O38"/>
      <selection pane="bottomRight" activeCell="G12" sqref="G12"/>
    </sheetView>
  </sheetViews>
  <sheetFormatPr defaultRowHeight="12.75" x14ac:dyDescent="0.2"/>
  <cols>
    <col min="1" max="1" width="4" style="5" customWidth="1"/>
    <col min="2" max="2" width="41.42578125" style="5" customWidth="1"/>
    <col min="3" max="5" width="4.5703125" style="5" customWidth="1"/>
    <col min="6" max="6" width="13.7109375" style="5" customWidth="1"/>
    <col min="7" max="7" width="2.7109375" style="5" customWidth="1"/>
    <col min="8" max="8" width="13.7109375" style="5" customWidth="1"/>
    <col min="9" max="9" width="2.7109375" style="5" customWidth="1"/>
    <col min="10" max="10" width="13.7109375" style="5" customWidth="1"/>
    <col min="11" max="11" width="2.7109375" style="5" customWidth="1"/>
    <col min="12" max="12" width="13.5703125" style="5" customWidth="1"/>
    <col min="13" max="13" width="15.5703125" style="5" customWidth="1"/>
    <col min="14" max="14" width="16.7109375" style="5" customWidth="1"/>
    <col min="15" max="15" width="17.42578125" style="5" customWidth="1"/>
    <col min="16" max="16" width="14" style="5" customWidth="1"/>
    <col min="17" max="17" width="16.5703125" style="5" customWidth="1"/>
    <col min="18" max="18" width="17.42578125" style="5" customWidth="1"/>
    <col min="19" max="19" width="2.7109375" style="5" customWidth="1"/>
    <col min="20" max="20" width="29" style="5" customWidth="1"/>
    <col min="21" max="21" width="11.5703125" style="5" customWidth="1"/>
    <col min="22" max="22" width="13.7109375" style="5" customWidth="1"/>
    <col min="23" max="23" width="2.7109375" style="5" customWidth="1"/>
    <col min="24" max="38" width="13.7109375" style="5" customWidth="1"/>
    <col min="39" max="16384" width="9.140625" style="5"/>
  </cols>
  <sheetData>
    <row r="2" spans="2:21" s="16" customFormat="1" ht="18" x14ac:dyDescent="0.2">
      <c r="B2" s="16" t="s">
        <v>277</v>
      </c>
    </row>
    <row r="4" spans="2:21" x14ac:dyDescent="0.2">
      <c r="B4" s="35" t="s">
        <v>29</v>
      </c>
      <c r="C4" s="35"/>
      <c r="D4" s="35"/>
    </row>
    <row r="5" spans="2:21" x14ac:dyDescent="0.2">
      <c r="B5" s="93" t="s">
        <v>230</v>
      </c>
      <c r="C5" s="37"/>
      <c r="D5" s="37"/>
      <c r="H5" s="15"/>
    </row>
    <row r="6" spans="2:21" x14ac:dyDescent="0.2">
      <c r="B6" s="93" t="s">
        <v>248</v>
      </c>
      <c r="C6" s="37"/>
      <c r="D6" s="37"/>
      <c r="H6" s="15"/>
    </row>
    <row r="7" spans="2:21" x14ac:dyDescent="0.2">
      <c r="B7" s="5" t="s">
        <v>319</v>
      </c>
      <c r="C7" s="37"/>
      <c r="D7" s="37"/>
      <c r="H7" s="15"/>
    </row>
    <row r="8" spans="2:21" x14ac:dyDescent="0.2">
      <c r="B8" s="93" t="s">
        <v>278</v>
      </c>
      <c r="C8" s="37"/>
      <c r="D8" s="37"/>
      <c r="H8" s="15"/>
    </row>
    <row r="10" spans="2:21" s="43" customFormat="1" x14ac:dyDescent="0.2">
      <c r="B10" s="43" t="s">
        <v>45</v>
      </c>
      <c r="F10" s="43" t="s">
        <v>27</v>
      </c>
      <c r="H10" s="43" t="s">
        <v>28</v>
      </c>
      <c r="J10" s="43" t="s">
        <v>49</v>
      </c>
      <c r="L10" s="43" t="s">
        <v>111</v>
      </c>
      <c r="M10" s="43" t="s">
        <v>100</v>
      </c>
      <c r="N10" s="43" t="s">
        <v>101</v>
      </c>
      <c r="O10" s="43" t="s">
        <v>102</v>
      </c>
      <c r="P10" s="43" t="s">
        <v>103</v>
      </c>
      <c r="Q10" s="43" t="s">
        <v>104</v>
      </c>
      <c r="R10" s="43" t="s">
        <v>105</v>
      </c>
      <c r="T10" s="43" t="s">
        <v>46</v>
      </c>
      <c r="U10" s="43" t="s">
        <v>47</v>
      </c>
    </row>
    <row r="13" spans="2:21" s="43" customFormat="1" x14ac:dyDescent="0.2">
      <c r="B13" s="43" t="s">
        <v>280</v>
      </c>
    </row>
    <row r="15" spans="2:21" x14ac:dyDescent="0.2">
      <c r="B15" s="35" t="s">
        <v>66</v>
      </c>
    </row>
    <row r="16" spans="2:21" x14ac:dyDescent="0.2">
      <c r="B16" s="5" t="s">
        <v>67</v>
      </c>
    </row>
    <row r="17" spans="2:20" x14ac:dyDescent="0.2">
      <c r="B17" s="5" t="s">
        <v>68</v>
      </c>
      <c r="F17" s="5" t="s">
        <v>106</v>
      </c>
      <c r="J17" s="77"/>
      <c r="L17" s="82"/>
      <c r="M17" s="82"/>
      <c r="N17" s="82">
        <v>0</v>
      </c>
      <c r="O17" s="82">
        <v>1</v>
      </c>
      <c r="P17" s="82"/>
      <c r="Q17" s="82"/>
      <c r="R17" s="82"/>
      <c r="T17" s="5" t="s">
        <v>279</v>
      </c>
    </row>
    <row r="18" spans="2:20" x14ac:dyDescent="0.2">
      <c r="B18" s="5" t="s">
        <v>69</v>
      </c>
      <c r="F18" s="5" t="s">
        <v>106</v>
      </c>
      <c r="J18" s="77"/>
      <c r="L18" s="82"/>
      <c r="M18" s="82"/>
      <c r="N18" s="82">
        <v>0</v>
      </c>
      <c r="O18" s="82">
        <v>1068932</v>
      </c>
      <c r="P18" s="82"/>
      <c r="Q18" s="82"/>
      <c r="R18" s="82"/>
      <c r="T18" s="5" t="s">
        <v>279</v>
      </c>
    </row>
    <row r="19" spans="2:20" x14ac:dyDescent="0.2">
      <c r="B19" s="5" t="s">
        <v>70</v>
      </c>
      <c r="F19" s="5" t="s">
        <v>106</v>
      </c>
      <c r="J19" s="77"/>
      <c r="L19" s="82"/>
      <c r="M19" s="82"/>
      <c r="N19" s="82">
        <v>0</v>
      </c>
      <c r="O19" s="82">
        <v>9145280</v>
      </c>
      <c r="P19" s="82"/>
      <c r="Q19" s="82"/>
      <c r="R19" s="82"/>
      <c r="T19" s="5" t="s">
        <v>279</v>
      </c>
    </row>
    <row r="20" spans="2:20" x14ac:dyDescent="0.2">
      <c r="J20" s="77"/>
      <c r="L20" s="77"/>
      <c r="M20" s="77"/>
      <c r="N20" s="77"/>
      <c r="O20" s="77"/>
      <c r="P20" s="77"/>
      <c r="Q20" s="77"/>
      <c r="R20" s="77"/>
    </row>
    <row r="21" spans="2:20" x14ac:dyDescent="0.2">
      <c r="B21" s="5" t="s">
        <v>71</v>
      </c>
      <c r="J21" s="77"/>
      <c r="L21" s="77"/>
      <c r="M21" s="77"/>
      <c r="N21" s="77"/>
      <c r="O21" s="77"/>
      <c r="P21" s="77"/>
      <c r="Q21" s="77"/>
      <c r="R21" s="77"/>
    </row>
    <row r="22" spans="2:20" x14ac:dyDescent="0.2">
      <c r="B22" s="5" t="s">
        <v>68</v>
      </c>
      <c r="F22" s="5" t="s">
        <v>106</v>
      </c>
      <c r="J22" s="77"/>
      <c r="L22" s="82"/>
      <c r="M22" s="82"/>
      <c r="N22" s="82">
        <v>0</v>
      </c>
      <c r="O22" s="82">
        <v>2</v>
      </c>
      <c r="P22" s="82"/>
      <c r="Q22" s="82"/>
      <c r="R22" s="82"/>
      <c r="T22" s="5" t="s">
        <v>279</v>
      </c>
    </row>
    <row r="23" spans="2:20" x14ac:dyDescent="0.2">
      <c r="B23" s="5" t="s">
        <v>69</v>
      </c>
      <c r="F23" s="5" t="s">
        <v>106</v>
      </c>
      <c r="J23" s="77"/>
      <c r="L23" s="82"/>
      <c r="M23" s="82"/>
      <c r="N23" s="82">
        <v>0</v>
      </c>
      <c r="O23" s="82">
        <v>11004</v>
      </c>
      <c r="P23" s="82"/>
      <c r="Q23" s="82"/>
      <c r="R23" s="82"/>
      <c r="T23" s="5" t="s">
        <v>279</v>
      </c>
    </row>
    <row r="24" spans="2:20" x14ac:dyDescent="0.2">
      <c r="B24" s="5" t="s">
        <v>72</v>
      </c>
      <c r="F24" s="5" t="s">
        <v>106</v>
      </c>
      <c r="J24" s="77"/>
      <c r="L24" s="82"/>
      <c r="M24" s="82"/>
      <c r="N24" s="82">
        <v>0</v>
      </c>
      <c r="O24" s="82">
        <v>141620</v>
      </c>
      <c r="P24" s="82"/>
      <c r="Q24" s="82"/>
      <c r="R24" s="82"/>
      <c r="T24" s="5" t="s">
        <v>279</v>
      </c>
    </row>
    <row r="25" spans="2:20" x14ac:dyDescent="0.2">
      <c r="J25" s="77"/>
      <c r="L25" s="77"/>
      <c r="M25" s="77"/>
      <c r="N25" s="77"/>
      <c r="O25" s="77"/>
      <c r="P25" s="77"/>
      <c r="Q25" s="77"/>
      <c r="R25" s="77"/>
    </row>
    <row r="26" spans="2:20" x14ac:dyDescent="0.2">
      <c r="B26" s="5" t="s">
        <v>73</v>
      </c>
      <c r="J26" s="77"/>
      <c r="L26" s="77"/>
      <c r="M26" s="77"/>
      <c r="N26" s="77"/>
      <c r="O26" s="77"/>
      <c r="P26" s="77"/>
      <c r="Q26" s="77"/>
      <c r="R26" s="77"/>
    </row>
    <row r="27" spans="2:20" x14ac:dyDescent="0.2">
      <c r="B27" s="5" t="s">
        <v>68</v>
      </c>
      <c r="F27" s="5" t="s">
        <v>106</v>
      </c>
      <c r="J27" s="77"/>
      <c r="L27" s="82"/>
      <c r="M27" s="82">
        <v>1</v>
      </c>
      <c r="N27" s="82">
        <v>4</v>
      </c>
      <c r="O27" s="82">
        <v>7</v>
      </c>
      <c r="P27" s="82"/>
      <c r="Q27" s="82">
        <v>77.833333333333329</v>
      </c>
      <c r="R27" s="82"/>
      <c r="T27" s="5" t="s">
        <v>279</v>
      </c>
    </row>
    <row r="28" spans="2:20" x14ac:dyDescent="0.2">
      <c r="B28" s="5" t="s">
        <v>69</v>
      </c>
      <c r="F28" s="5" t="s">
        <v>106</v>
      </c>
      <c r="J28" s="77"/>
      <c r="L28" s="82"/>
      <c r="M28" s="82">
        <v>10311</v>
      </c>
      <c r="N28" s="82">
        <v>70077.432989262248</v>
      </c>
      <c r="O28" s="82">
        <v>94252.568283333327</v>
      </c>
      <c r="P28" s="82"/>
      <c r="Q28" s="82">
        <v>656511.22876155004</v>
      </c>
      <c r="R28" s="82"/>
      <c r="T28" s="5" t="s">
        <v>279</v>
      </c>
    </row>
    <row r="29" spans="2:20" x14ac:dyDescent="0.2">
      <c r="B29" s="5" t="s">
        <v>70</v>
      </c>
      <c r="F29" s="5" t="s">
        <v>106</v>
      </c>
      <c r="J29" s="77"/>
      <c r="L29" s="82"/>
      <c r="M29" s="82">
        <v>67459</v>
      </c>
      <c r="N29" s="82">
        <v>638798.70651466586</v>
      </c>
      <c r="O29" s="82">
        <v>839683.89585291035</v>
      </c>
      <c r="P29" s="82"/>
      <c r="Q29" s="82">
        <v>6034517.2561654737</v>
      </c>
      <c r="R29" s="82"/>
      <c r="T29" s="5" t="s">
        <v>279</v>
      </c>
    </row>
    <row r="30" spans="2:20" x14ac:dyDescent="0.2">
      <c r="J30" s="77"/>
      <c r="L30" s="77"/>
      <c r="M30" s="77"/>
      <c r="N30" s="77"/>
      <c r="O30" s="77"/>
      <c r="P30" s="77"/>
      <c r="Q30" s="77"/>
      <c r="R30" s="77"/>
    </row>
    <row r="31" spans="2:20" x14ac:dyDescent="0.2">
      <c r="B31" s="5" t="s">
        <v>74</v>
      </c>
      <c r="J31" s="77"/>
      <c r="L31" s="77"/>
      <c r="M31" s="77"/>
      <c r="N31" s="77"/>
      <c r="O31" s="77"/>
      <c r="P31" s="77"/>
      <c r="Q31" s="77"/>
      <c r="R31" s="77"/>
    </row>
    <row r="32" spans="2:20" x14ac:dyDescent="0.2">
      <c r="B32" s="5" t="s">
        <v>68</v>
      </c>
      <c r="F32" s="5" t="s">
        <v>106</v>
      </c>
      <c r="J32" s="77"/>
      <c r="L32" s="82"/>
      <c r="M32" s="82"/>
      <c r="N32" s="82">
        <v>2</v>
      </c>
      <c r="O32" s="82">
        <v>7</v>
      </c>
      <c r="P32" s="82"/>
      <c r="Q32" s="82">
        <v>7.8333333333333339</v>
      </c>
      <c r="R32" s="82"/>
      <c r="T32" s="5" t="s">
        <v>279</v>
      </c>
    </row>
    <row r="33" spans="2:20" x14ac:dyDescent="0.2">
      <c r="B33" s="5" t="s">
        <v>69</v>
      </c>
      <c r="F33" s="5" t="s">
        <v>106</v>
      </c>
      <c r="J33" s="77"/>
      <c r="L33" s="82"/>
      <c r="M33" s="82"/>
      <c r="N33" s="82">
        <v>14159.999999999993</v>
      </c>
      <c r="O33" s="82">
        <v>69961.5</v>
      </c>
      <c r="P33" s="82"/>
      <c r="Q33" s="82">
        <v>80749.75</v>
      </c>
      <c r="R33" s="82"/>
      <c r="T33" s="5" t="s">
        <v>279</v>
      </c>
    </row>
    <row r="34" spans="2:20" x14ac:dyDescent="0.2">
      <c r="B34" s="5" t="s">
        <v>72</v>
      </c>
      <c r="F34" s="5" t="s">
        <v>106</v>
      </c>
      <c r="J34" s="77"/>
      <c r="L34" s="82"/>
      <c r="M34" s="82"/>
      <c r="N34" s="82">
        <v>118683.00000000003</v>
      </c>
      <c r="O34" s="82">
        <v>1159774.9967044378</v>
      </c>
      <c r="P34" s="82"/>
      <c r="Q34" s="82">
        <v>789459</v>
      </c>
      <c r="R34" s="82"/>
      <c r="T34" s="5" t="s">
        <v>279</v>
      </c>
    </row>
    <row r="35" spans="2:20" x14ac:dyDescent="0.2">
      <c r="J35" s="77"/>
      <c r="L35" s="77"/>
      <c r="M35" s="77"/>
      <c r="N35" s="77"/>
      <c r="O35" s="77"/>
      <c r="P35" s="77"/>
      <c r="Q35" s="77"/>
      <c r="R35" s="77"/>
    </row>
    <row r="36" spans="2:20" x14ac:dyDescent="0.2">
      <c r="B36" s="5" t="s">
        <v>75</v>
      </c>
      <c r="J36" s="77"/>
      <c r="L36" s="77"/>
      <c r="M36" s="77"/>
      <c r="N36" s="77"/>
      <c r="O36" s="77"/>
      <c r="P36" s="77"/>
      <c r="Q36" s="77"/>
      <c r="R36" s="77"/>
    </row>
    <row r="37" spans="2:20" x14ac:dyDescent="0.2">
      <c r="B37" s="5" t="s">
        <v>68</v>
      </c>
      <c r="F37" s="5" t="s">
        <v>106</v>
      </c>
      <c r="J37" s="77"/>
      <c r="L37" s="82"/>
      <c r="M37" s="82">
        <v>24.612728260869563</v>
      </c>
      <c r="N37" s="82">
        <v>223.27470652173912</v>
      </c>
      <c r="O37" s="82">
        <v>306.83333333333331</v>
      </c>
      <c r="P37" s="82"/>
      <c r="Q37" s="82">
        <v>178.33333333333334</v>
      </c>
      <c r="R37" s="82">
        <v>5.6345869565217388</v>
      </c>
      <c r="T37" s="5" t="s">
        <v>279</v>
      </c>
    </row>
    <row r="38" spans="2:20" x14ac:dyDescent="0.2">
      <c r="B38" s="5" t="s">
        <v>69</v>
      </c>
      <c r="F38" s="5" t="s">
        <v>106</v>
      </c>
      <c r="J38" s="77"/>
      <c r="L38" s="82"/>
      <c r="M38" s="82">
        <v>109069.65212527923</v>
      </c>
      <c r="N38" s="82">
        <v>1167558.0100417009</v>
      </c>
      <c r="O38" s="82">
        <v>1438511.4429583333</v>
      </c>
      <c r="P38" s="82"/>
      <c r="Q38" s="82">
        <v>574211.24955695833</v>
      </c>
      <c r="R38" s="82">
        <v>39624.631753031972</v>
      </c>
      <c r="T38" s="5" t="s">
        <v>279</v>
      </c>
    </row>
    <row r="39" spans="2:20" x14ac:dyDescent="0.2">
      <c r="B39" s="5" t="s">
        <v>70</v>
      </c>
      <c r="F39" s="5" t="s">
        <v>106</v>
      </c>
      <c r="J39" s="77"/>
      <c r="L39" s="82"/>
      <c r="M39" s="82">
        <v>887965.29032258037</v>
      </c>
      <c r="N39" s="82">
        <v>11615448.041237276</v>
      </c>
      <c r="O39" s="82">
        <v>12966660.947123975</v>
      </c>
      <c r="P39" s="82"/>
      <c r="Q39" s="82">
        <v>5184431.6174996784</v>
      </c>
      <c r="R39" s="82">
        <v>360016.54787234042</v>
      </c>
      <c r="T39" s="5" t="s">
        <v>279</v>
      </c>
    </row>
    <row r="40" spans="2:20" x14ac:dyDescent="0.2">
      <c r="J40" s="77"/>
      <c r="L40" s="77"/>
      <c r="M40" s="77"/>
      <c r="N40" s="77"/>
      <c r="O40" s="77"/>
      <c r="P40" s="77"/>
      <c r="Q40" s="77"/>
      <c r="R40" s="77"/>
    </row>
    <row r="41" spans="2:20" x14ac:dyDescent="0.2">
      <c r="B41" s="5" t="s">
        <v>76</v>
      </c>
      <c r="J41" s="77"/>
      <c r="L41" s="77"/>
      <c r="M41" s="77"/>
      <c r="N41" s="77"/>
      <c r="O41" s="77"/>
      <c r="P41" s="77"/>
      <c r="Q41" s="77"/>
      <c r="R41" s="77"/>
    </row>
    <row r="42" spans="2:20" x14ac:dyDescent="0.2">
      <c r="B42" s="5" t="s">
        <v>68</v>
      </c>
      <c r="F42" s="5" t="s">
        <v>106</v>
      </c>
      <c r="J42" s="77"/>
      <c r="L42" s="82"/>
      <c r="M42" s="82">
        <v>1</v>
      </c>
      <c r="N42" s="82">
        <v>5</v>
      </c>
      <c r="O42" s="82">
        <v>6</v>
      </c>
      <c r="P42" s="82"/>
      <c r="Q42" s="82">
        <v>1.9166666666666665</v>
      </c>
      <c r="R42" s="82"/>
      <c r="T42" s="5" t="s">
        <v>279</v>
      </c>
    </row>
    <row r="43" spans="2:20" x14ac:dyDescent="0.2">
      <c r="B43" s="5" t="s">
        <v>69</v>
      </c>
      <c r="F43" s="5" t="s">
        <v>106</v>
      </c>
      <c r="J43" s="77"/>
      <c r="L43" s="82"/>
      <c r="M43" s="82">
        <v>11274.995555555555</v>
      </c>
      <c r="N43" s="82">
        <v>61424.76894865527</v>
      </c>
      <c r="O43" s="82">
        <v>39714.25</v>
      </c>
      <c r="P43" s="82"/>
      <c r="Q43" s="82">
        <v>3950.7499999999995</v>
      </c>
      <c r="R43" s="82"/>
      <c r="T43" s="5" t="s">
        <v>279</v>
      </c>
    </row>
    <row r="44" spans="2:20" x14ac:dyDescent="0.2">
      <c r="B44" s="5" t="s">
        <v>72</v>
      </c>
      <c r="F44" s="5" t="s">
        <v>106</v>
      </c>
      <c r="J44" s="77"/>
      <c r="L44" s="82"/>
      <c r="M44" s="82">
        <v>329544.4266666667</v>
      </c>
      <c r="N44" s="82">
        <v>679468.00000000035</v>
      </c>
      <c r="O44" s="82">
        <v>322286.29523036367</v>
      </c>
      <c r="P44" s="82"/>
      <c r="Q44" s="82">
        <v>25474</v>
      </c>
      <c r="R44" s="82"/>
      <c r="T44" s="5" t="s">
        <v>279</v>
      </c>
    </row>
    <row r="45" spans="2:20" x14ac:dyDescent="0.2">
      <c r="J45" s="77"/>
      <c r="L45" s="77"/>
      <c r="M45" s="77"/>
      <c r="N45" s="77"/>
      <c r="O45" s="77"/>
      <c r="P45" s="77"/>
      <c r="Q45" s="77"/>
      <c r="R45" s="77"/>
    </row>
    <row r="46" spans="2:20" x14ac:dyDescent="0.2">
      <c r="B46" s="35" t="s">
        <v>77</v>
      </c>
      <c r="J46" s="77"/>
      <c r="L46" s="77"/>
      <c r="M46" s="77"/>
      <c r="N46" s="77"/>
      <c r="O46" s="77"/>
      <c r="P46" s="77"/>
      <c r="Q46" s="77"/>
      <c r="R46" s="77"/>
    </row>
    <row r="47" spans="2:20" x14ac:dyDescent="0.2">
      <c r="B47" s="5" t="s">
        <v>78</v>
      </c>
      <c r="J47" s="77"/>
      <c r="L47" s="77"/>
      <c r="M47" s="77"/>
      <c r="N47" s="77"/>
      <c r="O47" s="77"/>
      <c r="P47" s="77"/>
      <c r="Q47" s="77"/>
      <c r="R47" s="77"/>
    </row>
    <row r="48" spans="2:20" x14ac:dyDescent="0.2">
      <c r="B48" s="5" t="s">
        <v>68</v>
      </c>
      <c r="F48" s="5" t="s">
        <v>106</v>
      </c>
      <c r="J48" s="77"/>
      <c r="L48" s="82"/>
      <c r="M48" s="82"/>
      <c r="N48" s="82">
        <v>321.3461224489796</v>
      </c>
      <c r="O48" s="82"/>
      <c r="P48" s="82">
        <v>3</v>
      </c>
      <c r="Q48" s="82">
        <v>0</v>
      </c>
      <c r="R48" s="82"/>
      <c r="T48" s="5" t="s">
        <v>279</v>
      </c>
    </row>
    <row r="49" spans="2:20" x14ac:dyDescent="0.2">
      <c r="B49" s="5" t="s">
        <v>79</v>
      </c>
      <c r="F49" s="5" t="s">
        <v>106</v>
      </c>
      <c r="J49" s="77"/>
      <c r="L49" s="82"/>
      <c r="M49" s="82"/>
      <c r="N49" s="82">
        <v>873933.54097708501</v>
      </c>
      <c r="O49" s="82"/>
      <c r="P49" s="82">
        <v>16972.419999999998</v>
      </c>
      <c r="Q49" s="82">
        <v>0</v>
      </c>
      <c r="R49" s="82"/>
      <c r="T49" s="5" t="s">
        <v>279</v>
      </c>
    </row>
    <row r="50" spans="2:20" x14ac:dyDescent="0.2">
      <c r="B50" s="5" t="s">
        <v>70</v>
      </c>
      <c r="F50" s="5" t="s">
        <v>106</v>
      </c>
      <c r="J50" s="77"/>
      <c r="L50" s="82"/>
      <c r="M50" s="82"/>
      <c r="N50" s="82">
        <v>8312355.9713643016</v>
      </c>
      <c r="O50" s="82"/>
      <c r="P50" s="82">
        <v>154455</v>
      </c>
      <c r="Q50" s="82">
        <v>0</v>
      </c>
      <c r="R50" s="82"/>
      <c r="T50" s="5" t="s">
        <v>279</v>
      </c>
    </row>
    <row r="51" spans="2:20" x14ac:dyDescent="0.2">
      <c r="B51" s="5" t="s">
        <v>80</v>
      </c>
      <c r="F51" s="5" t="s">
        <v>106</v>
      </c>
      <c r="J51" s="77"/>
      <c r="L51" s="82"/>
      <c r="M51" s="82"/>
      <c r="N51" s="82">
        <v>3409607957.8131475</v>
      </c>
      <c r="O51" s="82"/>
      <c r="P51" s="82">
        <v>45844791</v>
      </c>
      <c r="Q51" s="82">
        <v>0</v>
      </c>
      <c r="R51" s="82"/>
      <c r="T51" s="5" t="s">
        <v>279</v>
      </c>
    </row>
    <row r="52" spans="2:20" x14ac:dyDescent="0.2">
      <c r="J52" s="77"/>
      <c r="L52" s="77"/>
      <c r="M52" s="77"/>
      <c r="N52" s="77"/>
      <c r="O52" s="77"/>
      <c r="P52" s="77"/>
      <c r="Q52" s="77"/>
      <c r="R52" s="77"/>
    </row>
    <row r="53" spans="2:20" x14ac:dyDescent="0.2">
      <c r="B53" s="5" t="s">
        <v>81</v>
      </c>
      <c r="J53" s="77"/>
      <c r="L53" s="77"/>
      <c r="M53" s="77"/>
      <c r="N53" s="77"/>
      <c r="O53" s="77"/>
      <c r="P53" s="77"/>
      <c r="Q53" s="77"/>
      <c r="R53" s="77"/>
    </row>
    <row r="54" spans="2:20" x14ac:dyDescent="0.2">
      <c r="B54" s="5" t="s">
        <v>68</v>
      </c>
      <c r="F54" s="5" t="s">
        <v>106</v>
      </c>
      <c r="J54" s="77"/>
      <c r="L54" s="82">
        <v>26</v>
      </c>
      <c r="M54" s="82">
        <v>387.7627437641724</v>
      </c>
      <c r="N54" s="82">
        <v>11412.296810966813</v>
      </c>
      <c r="O54" s="82">
        <v>8535</v>
      </c>
      <c r="P54" s="82">
        <v>14.67</v>
      </c>
      <c r="Q54" s="82">
        <v>3670.9166666666665</v>
      </c>
      <c r="R54" s="82">
        <v>309.54827664399096</v>
      </c>
      <c r="T54" s="5" t="s">
        <v>279</v>
      </c>
    </row>
    <row r="55" spans="2:20" x14ac:dyDescent="0.2">
      <c r="B55" s="5" t="s">
        <v>79</v>
      </c>
      <c r="F55" s="5" t="s">
        <v>106</v>
      </c>
      <c r="J55" s="77"/>
      <c r="L55" s="82">
        <v>38559</v>
      </c>
      <c r="M55" s="82">
        <v>204445.73879286696</v>
      </c>
      <c r="N55" s="82">
        <v>3089997.8427249785</v>
      </c>
      <c r="O55" s="82">
        <v>3180742.5055</v>
      </c>
      <c r="P55" s="82">
        <v>14578.08</v>
      </c>
      <c r="Q55" s="82">
        <v>1656826.8333333333</v>
      </c>
      <c r="R55" s="82">
        <v>354441.60453400499</v>
      </c>
      <c r="T55" s="5" t="s">
        <v>279</v>
      </c>
    </row>
    <row r="56" spans="2:20" x14ac:dyDescent="0.2">
      <c r="B56" s="5" t="s">
        <v>70</v>
      </c>
      <c r="F56" s="5" t="s">
        <v>106</v>
      </c>
      <c r="J56" s="77"/>
      <c r="L56" s="82">
        <v>330360</v>
      </c>
      <c r="M56" s="82">
        <v>1630888.2875817446</v>
      </c>
      <c r="N56" s="82">
        <v>26869226.160583936</v>
      </c>
      <c r="O56" s="82">
        <v>27624666.081696659</v>
      </c>
      <c r="P56" s="82">
        <v>141010</v>
      </c>
      <c r="Q56" s="82">
        <v>13827658</v>
      </c>
      <c r="R56" s="82">
        <v>3087692.6551724141</v>
      </c>
      <c r="T56" s="5" t="s">
        <v>279</v>
      </c>
    </row>
    <row r="57" spans="2:20" x14ac:dyDescent="0.2">
      <c r="B57" s="5" t="s">
        <v>80</v>
      </c>
      <c r="F57" s="5" t="s">
        <v>106</v>
      </c>
      <c r="J57" s="77"/>
      <c r="L57" s="82">
        <v>124869734</v>
      </c>
      <c r="M57" s="82">
        <v>523239703.75999707</v>
      </c>
      <c r="N57" s="82">
        <v>8390322873.9530087</v>
      </c>
      <c r="O57" s="82">
        <v>9080867412.4712734</v>
      </c>
      <c r="P57" s="82">
        <v>60366149</v>
      </c>
      <c r="Q57" s="82">
        <v>4533480463</v>
      </c>
      <c r="R57" s="82">
        <v>939875857.84313726</v>
      </c>
      <c r="T57" s="5" t="s">
        <v>279</v>
      </c>
    </row>
    <row r="58" spans="2:20" x14ac:dyDescent="0.2">
      <c r="J58" s="77"/>
      <c r="L58" s="77"/>
      <c r="M58" s="77"/>
      <c r="N58" s="77"/>
      <c r="O58" s="77"/>
      <c r="P58" s="77"/>
      <c r="Q58" s="77"/>
      <c r="R58" s="77"/>
    </row>
    <row r="59" spans="2:20" x14ac:dyDescent="0.2">
      <c r="B59" s="5" t="s">
        <v>82</v>
      </c>
      <c r="J59" s="77"/>
      <c r="L59" s="77"/>
      <c r="M59" s="77"/>
      <c r="N59" s="77"/>
      <c r="O59" s="77"/>
      <c r="P59" s="77"/>
      <c r="Q59" s="77"/>
      <c r="R59" s="77"/>
    </row>
    <row r="60" spans="2:20" x14ac:dyDescent="0.2">
      <c r="B60" s="5" t="s">
        <v>68</v>
      </c>
      <c r="F60" s="5" t="s">
        <v>106</v>
      </c>
      <c r="J60" s="77"/>
      <c r="L60" s="82">
        <v>243</v>
      </c>
      <c r="M60" s="82">
        <v>1644.1728344671208</v>
      </c>
      <c r="N60" s="82">
        <v>14017.424976293543</v>
      </c>
      <c r="O60" s="82">
        <v>15389</v>
      </c>
      <c r="P60" s="82">
        <v>133.33000000000001</v>
      </c>
      <c r="Q60" s="82">
        <v>10366.25</v>
      </c>
      <c r="R60" s="82">
        <v>830.14782312925161</v>
      </c>
      <c r="T60" s="5" t="s">
        <v>279</v>
      </c>
    </row>
    <row r="61" spans="2:20" x14ac:dyDescent="0.2">
      <c r="B61" s="5" t="s">
        <v>79</v>
      </c>
      <c r="F61" s="5" t="s">
        <v>106</v>
      </c>
      <c r="J61" s="77"/>
      <c r="L61" s="82">
        <v>51303</v>
      </c>
      <c r="M61" s="82">
        <v>165456.12586731723</v>
      </c>
      <c r="N61" s="82">
        <v>1026664.609311741</v>
      </c>
      <c r="O61" s="82">
        <v>1270570.7666666666</v>
      </c>
      <c r="P61" s="82">
        <v>22892.5</v>
      </c>
      <c r="Q61" s="82">
        <v>995699</v>
      </c>
      <c r="R61" s="82">
        <v>168221.50592718035</v>
      </c>
      <c r="T61" s="5" t="s">
        <v>279</v>
      </c>
    </row>
    <row r="62" spans="2:20" x14ac:dyDescent="0.2">
      <c r="B62" s="5" t="s">
        <v>70</v>
      </c>
      <c r="F62" s="5" t="s">
        <v>106</v>
      </c>
      <c r="J62" s="77"/>
      <c r="L62" s="82">
        <v>432702</v>
      </c>
      <c r="M62" s="82">
        <v>1167971.5882355117</v>
      </c>
      <c r="N62" s="82">
        <v>7939439.2919708006</v>
      </c>
      <c r="O62" s="82">
        <v>9946090.0166539047</v>
      </c>
      <c r="P62" s="82">
        <v>196976</v>
      </c>
      <c r="Q62" s="82">
        <v>7556220</v>
      </c>
      <c r="R62" s="82">
        <v>1392172.9931034483</v>
      </c>
      <c r="T62" s="5" t="s">
        <v>279</v>
      </c>
    </row>
    <row r="63" spans="2:20" x14ac:dyDescent="0.2">
      <c r="B63" s="5" t="s">
        <v>80</v>
      </c>
      <c r="F63" s="5" t="s">
        <v>106</v>
      </c>
      <c r="J63" s="77"/>
      <c r="L63" s="82">
        <v>127013297</v>
      </c>
      <c r="M63" s="82">
        <v>305194337.52999151</v>
      </c>
      <c r="N63" s="82">
        <v>2019879373.0337076</v>
      </c>
      <c r="O63" s="82">
        <v>2654395187.8037014</v>
      </c>
      <c r="P63" s="82">
        <v>56349887</v>
      </c>
      <c r="Q63" s="82">
        <v>2061872921.243</v>
      </c>
      <c r="R63" s="82">
        <v>383619195.09803915</v>
      </c>
      <c r="T63" s="5" t="s">
        <v>279</v>
      </c>
    </row>
    <row r="64" spans="2:20" x14ac:dyDescent="0.2">
      <c r="J64" s="77"/>
      <c r="L64" s="77"/>
      <c r="M64" s="77"/>
      <c r="N64" s="77"/>
      <c r="O64" s="77"/>
      <c r="P64" s="77"/>
      <c r="Q64" s="77"/>
      <c r="R64" s="77"/>
    </row>
    <row r="65" spans="2:20" x14ac:dyDescent="0.2">
      <c r="B65" s="35" t="s">
        <v>83</v>
      </c>
      <c r="J65" s="77"/>
      <c r="L65" s="77"/>
      <c r="M65" s="77"/>
      <c r="N65" s="77"/>
      <c r="O65" s="77"/>
      <c r="P65" s="77"/>
      <c r="Q65" s="77"/>
      <c r="R65" s="77"/>
    </row>
    <row r="66" spans="2:20" x14ac:dyDescent="0.2">
      <c r="B66" s="5" t="s">
        <v>84</v>
      </c>
      <c r="J66" s="77"/>
      <c r="L66" s="77"/>
      <c r="M66" s="77"/>
      <c r="N66" s="77"/>
      <c r="O66" s="77"/>
      <c r="P66" s="77"/>
      <c r="Q66" s="77"/>
      <c r="R66" s="77"/>
    </row>
    <row r="67" spans="2:20" x14ac:dyDescent="0.2">
      <c r="B67" s="5" t="s">
        <v>68</v>
      </c>
      <c r="F67" s="5" t="s">
        <v>106</v>
      </c>
      <c r="J67" s="77"/>
      <c r="L67" s="82">
        <v>323</v>
      </c>
      <c r="M67" s="82">
        <v>334.50999607923387</v>
      </c>
      <c r="N67" s="82">
        <v>5033.3157575757587</v>
      </c>
      <c r="O67" s="82">
        <v>7360</v>
      </c>
      <c r="P67" s="82">
        <v>152.71</v>
      </c>
      <c r="Q67" s="82">
        <v>6717.342583333334</v>
      </c>
      <c r="R67" s="82">
        <v>186.92944444444441</v>
      </c>
      <c r="T67" s="5" t="s">
        <v>279</v>
      </c>
    </row>
    <row r="68" spans="2:20" x14ac:dyDescent="0.2">
      <c r="B68" s="5" t="s">
        <v>79</v>
      </c>
      <c r="F68" s="5" t="s">
        <v>106</v>
      </c>
      <c r="J68" s="77"/>
      <c r="L68" s="82">
        <v>23208</v>
      </c>
      <c r="M68" s="82">
        <v>16628.532232655463</v>
      </c>
      <c r="N68" s="82">
        <v>167896.93637621021</v>
      </c>
      <c r="O68" s="82">
        <v>240306.97833333333</v>
      </c>
      <c r="P68" s="82">
        <v>9640.4599999999991</v>
      </c>
      <c r="Q68" s="82">
        <v>445984.2665101139</v>
      </c>
      <c r="R68" s="82">
        <v>5577.3756923076926</v>
      </c>
      <c r="T68" s="5" t="s">
        <v>279</v>
      </c>
    </row>
    <row r="69" spans="2:20" x14ac:dyDescent="0.2">
      <c r="B69" s="5" t="s">
        <v>85</v>
      </c>
      <c r="F69" s="5" t="s">
        <v>106</v>
      </c>
      <c r="J69" s="77"/>
      <c r="L69" s="82">
        <v>12677511</v>
      </c>
      <c r="M69" s="82">
        <v>6555287.6399999913</v>
      </c>
      <c r="N69" s="82">
        <v>99587159.615384609</v>
      </c>
      <c r="O69" s="82">
        <v>157734866.68115753</v>
      </c>
      <c r="P69" s="82">
        <v>7482155</v>
      </c>
      <c r="Q69" s="82">
        <v>279031137.06812334</v>
      </c>
      <c r="R69" s="82">
        <v>3810989.2045454546</v>
      </c>
      <c r="T69" s="5" t="s">
        <v>279</v>
      </c>
    </row>
    <row r="70" spans="2:20" x14ac:dyDescent="0.2">
      <c r="B70" s="5" t="s">
        <v>80</v>
      </c>
      <c r="F70" s="5" t="s">
        <v>106</v>
      </c>
      <c r="J70" s="77"/>
      <c r="L70" s="82">
        <v>24403934</v>
      </c>
      <c r="M70" s="82">
        <v>8856145.8199999966</v>
      </c>
      <c r="N70" s="82">
        <v>153018830.20134228</v>
      </c>
      <c r="O70" s="82">
        <v>231525622.99870044</v>
      </c>
      <c r="P70" s="82">
        <v>12353613</v>
      </c>
      <c r="Q70" s="82">
        <v>436166691.91986263</v>
      </c>
      <c r="R70" s="82">
        <v>4922787.3529411769</v>
      </c>
      <c r="T70" s="5" t="s">
        <v>279</v>
      </c>
    </row>
    <row r="71" spans="2:20" x14ac:dyDescent="0.2">
      <c r="J71" s="77"/>
      <c r="L71" s="77"/>
      <c r="M71" s="77"/>
      <c r="N71" s="77"/>
      <c r="O71" s="77"/>
      <c r="P71" s="77"/>
      <c r="Q71" s="77"/>
      <c r="R71" s="77"/>
    </row>
    <row r="72" spans="2:20" x14ac:dyDescent="0.2">
      <c r="B72" s="5" t="s">
        <v>86</v>
      </c>
      <c r="J72" s="77"/>
      <c r="L72" s="77"/>
      <c r="M72" s="77"/>
      <c r="N72" s="77"/>
      <c r="O72" s="77"/>
      <c r="P72" s="77"/>
      <c r="Q72" s="77"/>
      <c r="R72" s="77"/>
    </row>
    <row r="73" spans="2:20" x14ac:dyDescent="0.2">
      <c r="B73" s="5" t="s">
        <v>87</v>
      </c>
      <c r="F73" s="5" t="s">
        <v>106</v>
      </c>
      <c r="J73" s="77"/>
      <c r="L73" s="82">
        <v>25442</v>
      </c>
      <c r="M73" s="82">
        <v>88883.824074074073</v>
      </c>
      <c r="N73" s="82">
        <v>1191341.0745238096</v>
      </c>
      <c r="O73" s="82">
        <v>771738.48500326159</v>
      </c>
      <c r="P73" s="82">
        <v>18612</v>
      </c>
      <c r="Q73" s="82">
        <v>578603.38443272794</v>
      </c>
      <c r="R73" s="82">
        <v>26795.966885159902</v>
      </c>
      <c r="T73" s="5" t="s">
        <v>279</v>
      </c>
    </row>
    <row r="74" spans="2:20" x14ac:dyDescent="0.2">
      <c r="B74" s="5" t="s">
        <v>88</v>
      </c>
      <c r="F74" s="5" t="s">
        <v>106</v>
      </c>
      <c r="J74" s="77"/>
      <c r="L74" s="82">
        <v>53141</v>
      </c>
      <c r="M74" s="82">
        <v>211809.48897859183</v>
      </c>
      <c r="N74" s="82">
        <v>2721269.3876687395</v>
      </c>
      <c r="O74" s="82">
        <v>3121701.6647957247</v>
      </c>
      <c r="P74" s="82">
        <v>32493.7</v>
      </c>
      <c r="Q74" s="82">
        <v>2043880.8895060653</v>
      </c>
      <c r="R74" s="82">
        <v>58736.50434362379</v>
      </c>
      <c r="T74" s="5" t="s">
        <v>279</v>
      </c>
    </row>
    <row r="75" spans="2:20" x14ac:dyDescent="0.2">
      <c r="J75" s="77"/>
      <c r="L75" s="77"/>
      <c r="M75" s="77"/>
      <c r="N75" s="77"/>
      <c r="O75" s="77"/>
      <c r="P75" s="77"/>
      <c r="Q75" s="77"/>
      <c r="R75" s="77"/>
    </row>
    <row r="76" spans="2:20" x14ac:dyDescent="0.2">
      <c r="B76" s="5" t="s">
        <v>89</v>
      </c>
      <c r="J76" s="77"/>
      <c r="L76" s="77"/>
      <c r="M76" s="77"/>
      <c r="N76" s="77"/>
      <c r="O76" s="77"/>
      <c r="P76" s="77"/>
      <c r="Q76" s="77"/>
      <c r="R76" s="77"/>
    </row>
    <row r="77" spans="2:20" x14ac:dyDescent="0.2">
      <c r="B77" s="5" t="s">
        <v>90</v>
      </c>
      <c r="F77" s="5" t="s">
        <v>106</v>
      </c>
      <c r="J77" s="77"/>
      <c r="L77" s="82">
        <v>278</v>
      </c>
      <c r="M77" s="82">
        <v>1489.8400511182842</v>
      </c>
      <c r="N77" s="82">
        <v>21498.598792253484</v>
      </c>
      <c r="O77" s="82">
        <v>22092.383333333328</v>
      </c>
      <c r="P77" s="82">
        <v>182</v>
      </c>
      <c r="Q77" s="82">
        <v>10036.417752408881</v>
      </c>
      <c r="R77" s="82">
        <v>605.85092881603452</v>
      </c>
      <c r="T77" s="5" t="s">
        <v>279</v>
      </c>
    </row>
    <row r="78" spans="2:20" x14ac:dyDescent="0.2">
      <c r="B78" s="5" t="s">
        <v>91</v>
      </c>
      <c r="F78" s="5" t="s">
        <v>106</v>
      </c>
      <c r="J78" s="77"/>
      <c r="L78" s="82">
        <v>318</v>
      </c>
      <c r="M78" s="82">
        <v>1305.2870958737594</v>
      </c>
      <c r="N78" s="82">
        <v>23059.061781653596</v>
      </c>
      <c r="O78" s="82">
        <v>22582.418498592051</v>
      </c>
      <c r="P78" s="82">
        <v>223.45</v>
      </c>
      <c r="Q78" s="82">
        <v>14566.631475934459</v>
      </c>
      <c r="R78" s="82">
        <v>549.68307402030882</v>
      </c>
      <c r="T78" s="5" t="s">
        <v>279</v>
      </c>
    </row>
    <row r="79" spans="2:20" x14ac:dyDescent="0.2">
      <c r="B79" s="5" t="s">
        <v>92</v>
      </c>
      <c r="F79" s="5" t="s">
        <v>106</v>
      </c>
      <c r="J79" s="77"/>
      <c r="L79" s="82">
        <v>395</v>
      </c>
      <c r="M79" s="82">
        <v>1885.6850885198323</v>
      </c>
      <c r="N79" s="82">
        <v>25136.013038705511</v>
      </c>
      <c r="O79" s="82">
        <v>26464.317581722466</v>
      </c>
      <c r="P79" s="82">
        <v>292.39999999999998</v>
      </c>
      <c r="Q79" s="82">
        <v>14078.134999418146</v>
      </c>
      <c r="R79" s="82">
        <v>753.8733360108331</v>
      </c>
      <c r="T79" s="5" t="s">
        <v>279</v>
      </c>
    </row>
    <row r="80" spans="2:20" x14ac:dyDescent="0.2">
      <c r="B80" s="5" t="s">
        <v>93</v>
      </c>
      <c r="F80" s="5" t="s">
        <v>106</v>
      </c>
      <c r="J80" s="77"/>
      <c r="L80" s="82">
        <v>1004</v>
      </c>
      <c r="M80" s="82">
        <v>4158.3621690904329</v>
      </c>
      <c r="N80" s="82">
        <v>62696.581331416855</v>
      </c>
      <c r="O80" s="82">
        <v>59683.387225494604</v>
      </c>
      <c r="P80" s="82">
        <v>581.35</v>
      </c>
      <c r="Q80" s="82">
        <v>39028.51712982358</v>
      </c>
      <c r="R80" s="82">
        <v>1451.1780239453976</v>
      </c>
      <c r="T80" s="5" t="s">
        <v>279</v>
      </c>
    </row>
    <row r="81" spans="2:21" x14ac:dyDescent="0.2">
      <c r="B81" s="5" t="s">
        <v>94</v>
      </c>
      <c r="F81" s="5" t="s">
        <v>106</v>
      </c>
      <c r="J81" s="77"/>
      <c r="L81" s="82">
        <v>51146</v>
      </c>
      <c r="M81" s="82">
        <v>202912.12658998938</v>
      </c>
      <c r="N81" s="82">
        <v>2584241.9695766969</v>
      </c>
      <c r="O81" s="82">
        <v>2985843.490006031</v>
      </c>
      <c r="P81" s="82">
        <v>31212.7</v>
      </c>
      <c r="Q81" s="82">
        <v>1965644.6090139714</v>
      </c>
      <c r="R81" s="82">
        <v>55375.811028995478</v>
      </c>
      <c r="T81" s="5" t="s">
        <v>279</v>
      </c>
    </row>
    <row r="82" spans="2:21" x14ac:dyDescent="0.2">
      <c r="B82" s="5" t="s">
        <v>95</v>
      </c>
      <c r="F82" s="5" t="s">
        <v>106</v>
      </c>
      <c r="J82" s="77"/>
      <c r="L82" s="82">
        <v>0</v>
      </c>
      <c r="M82" s="82">
        <v>50.958452376250236</v>
      </c>
      <c r="N82" s="82">
        <v>4594.8277735690235</v>
      </c>
      <c r="O82" s="82">
        <v>4954.5997825830409</v>
      </c>
      <c r="P82" s="82">
        <v>1.8</v>
      </c>
      <c r="Q82" s="82">
        <v>526.5791345092166</v>
      </c>
      <c r="R82" s="82">
        <v>0.10795183573575461</v>
      </c>
      <c r="T82" s="5" t="s">
        <v>279</v>
      </c>
      <c r="U82" s="110" t="s">
        <v>231</v>
      </c>
    </row>
    <row r="83" spans="2:21" x14ac:dyDescent="0.2">
      <c r="B83" s="5" t="s">
        <v>96</v>
      </c>
      <c r="F83" s="5" t="s">
        <v>106</v>
      </c>
      <c r="J83" s="77"/>
      <c r="L83" s="82">
        <v>25442</v>
      </c>
      <c r="M83" s="82">
        <v>88883.811538461538</v>
      </c>
      <c r="N83" s="82">
        <v>1191341.0745238096</v>
      </c>
      <c r="O83" s="82">
        <v>771738.56954337901</v>
      </c>
      <c r="P83" s="82">
        <v>18612</v>
      </c>
      <c r="Q83" s="82">
        <v>578603.38443272794</v>
      </c>
      <c r="R83" s="82">
        <v>26795.966885159902</v>
      </c>
      <c r="T83" s="5" t="s">
        <v>279</v>
      </c>
    </row>
    <row r="84" spans="2:21" x14ac:dyDescent="0.2">
      <c r="J84" s="77"/>
      <c r="L84" s="77"/>
      <c r="M84" s="77"/>
      <c r="N84" s="77"/>
      <c r="O84" s="77"/>
      <c r="P84" s="77"/>
      <c r="Q84" s="77"/>
      <c r="R84" s="77"/>
    </row>
    <row r="85" spans="2:21" x14ac:dyDescent="0.2">
      <c r="B85" s="35" t="s">
        <v>97</v>
      </c>
      <c r="J85" s="77"/>
      <c r="L85" s="77"/>
      <c r="M85" s="77"/>
      <c r="N85" s="77"/>
      <c r="O85" s="77"/>
      <c r="P85" s="77"/>
      <c r="Q85" s="77"/>
      <c r="R85" s="77"/>
    </row>
    <row r="86" spans="2:21" x14ac:dyDescent="0.2">
      <c r="J86" s="77"/>
      <c r="L86" s="77"/>
      <c r="M86" s="77"/>
      <c r="N86" s="77"/>
      <c r="O86" s="77"/>
      <c r="P86" s="77"/>
      <c r="Q86" s="77"/>
      <c r="R86" s="77"/>
    </row>
    <row r="87" spans="2:21" x14ac:dyDescent="0.2">
      <c r="B87" s="5" t="s">
        <v>98</v>
      </c>
      <c r="F87" s="5" t="s">
        <v>106</v>
      </c>
      <c r="J87" s="77"/>
      <c r="L87" s="82">
        <v>3134901</v>
      </c>
      <c r="M87" s="82"/>
      <c r="N87" s="82">
        <v>262582034.75935829</v>
      </c>
      <c r="O87" s="82">
        <v>424303438</v>
      </c>
      <c r="P87" s="82">
        <v>3391009</v>
      </c>
      <c r="Q87" s="82">
        <v>236150739</v>
      </c>
      <c r="R87" s="82"/>
      <c r="T87" s="5" t="s">
        <v>279</v>
      </c>
    </row>
    <row r="88" spans="2:21" x14ac:dyDescent="0.2">
      <c r="B88" s="5" t="s">
        <v>99</v>
      </c>
      <c r="F88" s="5" t="s">
        <v>106</v>
      </c>
      <c r="J88" s="77"/>
      <c r="L88" s="82">
        <v>281074</v>
      </c>
      <c r="M88" s="82"/>
      <c r="N88" s="82">
        <v>10621212.834224598</v>
      </c>
      <c r="O88" s="82">
        <v>15962612</v>
      </c>
      <c r="P88" s="82">
        <v>161248</v>
      </c>
      <c r="Q88" s="82">
        <v>21173737.475663643</v>
      </c>
      <c r="R88" s="82"/>
      <c r="T88" s="5" t="s">
        <v>279</v>
      </c>
    </row>
    <row r="91" spans="2:21" s="43" customFormat="1" x14ac:dyDescent="0.2">
      <c r="B91" s="43" t="s">
        <v>241</v>
      </c>
    </row>
    <row r="93" spans="2:21" x14ac:dyDescent="0.2">
      <c r="B93" s="5" t="s">
        <v>90</v>
      </c>
      <c r="H93" s="82">
        <v>50</v>
      </c>
      <c r="T93" s="5" t="s">
        <v>242</v>
      </c>
    </row>
    <row r="94" spans="2:21" x14ac:dyDescent="0.2">
      <c r="B94" s="5" t="s">
        <v>91</v>
      </c>
      <c r="H94" s="82">
        <v>40</v>
      </c>
      <c r="T94" s="5" t="s">
        <v>242</v>
      </c>
    </row>
    <row r="95" spans="2:21" x14ac:dyDescent="0.2">
      <c r="B95" s="5" t="s">
        <v>92</v>
      </c>
      <c r="H95" s="82">
        <v>30</v>
      </c>
      <c r="T95" s="5" t="s">
        <v>242</v>
      </c>
    </row>
    <row r="96" spans="2:21" x14ac:dyDescent="0.2">
      <c r="B96" s="5" t="s">
        <v>93</v>
      </c>
      <c r="H96" s="82">
        <v>20</v>
      </c>
      <c r="T96" s="5" t="s">
        <v>242</v>
      </c>
    </row>
    <row r="97" spans="2:21" x14ac:dyDescent="0.2">
      <c r="B97" s="5" t="s">
        <v>94</v>
      </c>
      <c r="H97" s="82">
        <v>4</v>
      </c>
      <c r="T97" s="5" t="s">
        <v>242</v>
      </c>
    </row>
    <row r="98" spans="2:21" x14ac:dyDescent="0.2">
      <c r="B98" s="5" t="s">
        <v>95</v>
      </c>
      <c r="H98" s="115">
        <v>0.5</v>
      </c>
      <c r="T98" s="5" t="s">
        <v>242</v>
      </c>
      <c r="U98" s="110" t="s">
        <v>231</v>
      </c>
    </row>
    <row r="99" spans="2:21" x14ac:dyDescent="0.2">
      <c r="B99" s="5" t="s">
        <v>240</v>
      </c>
      <c r="H99" s="116">
        <v>0.05</v>
      </c>
      <c r="T99" s="5" t="s">
        <v>242</v>
      </c>
    </row>
    <row r="102" spans="2:21" s="43" customFormat="1" x14ac:dyDescent="0.2">
      <c r="B102" s="43" t="s">
        <v>202</v>
      </c>
    </row>
    <row r="105" spans="2:21" x14ac:dyDescent="0.2">
      <c r="B105" s="35" t="s">
        <v>66</v>
      </c>
    </row>
    <row r="106" spans="2:21" x14ac:dyDescent="0.2">
      <c r="B106" s="5" t="s">
        <v>67</v>
      </c>
    </row>
    <row r="107" spans="2:21" x14ac:dyDescent="0.2">
      <c r="B107" s="5" t="s">
        <v>68</v>
      </c>
      <c r="H107" s="114">
        <v>2760</v>
      </c>
      <c r="T107" s="5" t="s">
        <v>193</v>
      </c>
    </row>
    <row r="108" spans="2:21" x14ac:dyDescent="0.2">
      <c r="B108" s="5" t="s">
        <v>69</v>
      </c>
      <c r="H108" s="114">
        <v>9.4948222453776676</v>
      </c>
    </row>
    <row r="109" spans="2:21" x14ac:dyDescent="0.2">
      <c r="B109" s="5" t="s">
        <v>70</v>
      </c>
      <c r="H109" s="114">
        <v>0.86749881960779907</v>
      </c>
    </row>
    <row r="110" spans="2:21" x14ac:dyDescent="0.2">
      <c r="H110" s="37"/>
    </row>
    <row r="111" spans="2:21" x14ac:dyDescent="0.2">
      <c r="B111" s="5" t="s">
        <v>71</v>
      </c>
      <c r="H111" s="37"/>
    </row>
    <row r="112" spans="2:21" x14ac:dyDescent="0.2">
      <c r="B112" s="5" t="s">
        <v>68</v>
      </c>
      <c r="H112" s="114">
        <v>2760</v>
      </c>
    </row>
    <row r="113" spans="2:8" x14ac:dyDescent="0.2">
      <c r="B113" s="5" t="s">
        <v>69</v>
      </c>
      <c r="H113" s="114">
        <v>4.7474111226888338</v>
      </c>
    </row>
    <row r="114" spans="2:8" x14ac:dyDescent="0.2">
      <c r="B114" s="5" t="s">
        <v>72</v>
      </c>
      <c r="H114" s="114">
        <v>0.29552157591034911</v>
      </c>
    </row>
    <row r="115" spans="2:8" x14ac:dyDescent="0.2">
      <c r="H115" s="37"/>
    </row>
    <row r="116" spans="2:8" x14ac:dyDescent="0.2">
      <c r="B116" s="5" t="s">
        <v>73</v>
      </c>
      <c r="H116" s="37"/>
    </row>
    <row r="117" spans="2:8" x14ac:dyDescent="0.2">
      <c r="B117" s="5" t="s">
        <v>68</v>
      </c>
      <c r="H117" s="114">
        <v>2760</v>
      </c>
    </row>
    <row r="118" spans="2:8" x14ac:dyDescent="0.2">
      <c r="B118" s="5" t="s">
        <v>69</v>
      </c>
      <c r="H118" s="114">
        <v>19.521615858292201</v>
      </c>
    </row>
    <row r="119" spans="2:8" x14ac:dyDescent="0.2">
      <c r="B119" s="5" t="s">
        <v>70</v>
      </c>
      <c r="H119" s="114">
        <v>2.0461139514671816</v>
      </c>
    </row>
    <row r="120" spans="2:8" x14ac:dyDescent="0.2">
      <c r="H120" s="37"/>
    </row>
    <row r="121" spans="2:8" x14ac:dyDescent="0.2">
      <c r="B121" s="5" t="s">
        <v>74</v>
      </c>
      <c r="H121" s="37"/>
    </row>
    <row r="122" spans="2:8" x14ac:dyDescent="0.2">
      <c r="B122" s="5" t="s">
        <v>68</v>
      </c>
      <c r="H122" s="114">
        <v>2760</v>
      </c>
    </row>
    <row r="123" spans="2:8" x14ac:dyDescent="0.2">
      <c r="B123" s="5" t="s">
        <v>69</v>
      </c>
      <c r="H123" s="114">
        <v>9.7392584944830496</v>
      </c>
    </row>
    <row r="124" spans="2:8" x14ac:dyDescent="0.2">
      <c r="B124" s="5" t="s">
        <v>72</v>
      </c>
      <c r="H124" s="114">
        <v>0.69085489119423493</v>
      </c>
    </row>
    <row r="125" spans="2:8" x14ac:dyDescent="0.2">
      <c r="H125" s="37"/>
    </row>
    <row r="126" spans="2:8" x14ac:dyDescent="0.2">
      <c r="B126" s="5" t="s">
        <v>75</v>
      </c>
      <c r="H126" s="37"/>
    </row>
    <row r="127" spans="2:8" x14ac:dyDescent="0.2">
      <c r="B127" s="5" t="s">
        <v>68</v>
      </c>
      <c r="H127" s="114">
        <v>2760.0000095323721</v>
      </c>
    </row>
    <row r="128" spans="2:8" x14ac:dyDescent="0.2">
      <c r="B128" s="5" t="s">
        <v>69</v>
      </c>
      <c r="H128" s="114">
        <v>18.724337187363471</v>
      </c>
    </row>
    <row r="129" spans="2:8" x14ac:dyDescent="0.2">
      <c r="B129" s="5" t="s">
        <v>70</v>
      </c>
      <c r="H129" s="114">
        <v>1.8200963571196282</v>
      </c>
    </row>
    <row r="130" spans="2:8" x14ac:dyDescent="0.2">
      <c r="H130" s="37"/>
    </row>
    <row r="131" spans="2:8" x14ac:dyDescent="0.2">
      <c r="B131" s="5" t="s">
        <v>76</v>
      </c>
      <c r="H131" s="37"/>
    </row>
    <row r="132" spans="2:8" x14ac:dyDescent="0.2">
      <c r="B132" s="5" t="s">
        <v>68</v>
      </c>
      <c r="H132" s="114">
        <v>2760</v>
      </c>
    </row>
    <row r="133" spans="2:8" x14ac:dyDescent="0.2">
      <c r="B133" s="5" t="s">
        <v>69</v>
      </c>
      <c r="H133" s="114">
        <v>9.2975282565365358</v>
      </c>
    </row>
    <row r="134" spans="2:8" x14ac:dyDescent="0.2">
      <c r="B134" s="5" t="s">
        <v>72</v>
      </c>
      <c r="H134" s="114">
        <v>0.62436704343946403</v>
      </c>
    </row>
    <row r="135" spans="2:8" x14ac:dyDescent="0.2">
      <c r="H135" s="37"/>
    </row>
    <row r="136" spans="2:8" x14ac:dyDescent="0.2">
      <c r="B136" s="35" t="s">
        <v>77</v>
      </c>
      <c r="H136" s="37"/>
    </row>
    <row r="137" spans="2:8" x14ac:dyDescent="0.2">
      <c r="B137" s="5" t="s">
        <v>78</v>
      </c>
      <c r="H137" s="37"/>
    </row>
    <row r="138" spans="2:8" x14ac:dyDescent="0.2">
      <c r="B138" s="5" t="s">
        <v>68</v>
      </c>
      <c r="H138" s="114">
        <v>440.99987203758326</v>
      </c>
    </row>
    <row r="139" spans="2:8" x14ac:dyDescent="0.2">
      <c r="B139" s="5" t="s">
        <v>79</v>
      </c>
      <c r="H139" s="114">
        <v>12.257992289662035</v>
      </c>
    </row>
    <row r="140" spans="2:8" x14ac:dyDescent="0.2">
      <c r="B140" s="5" t="s">
        <v>70</v>
      </c>
      <c r="H140" s="114">
        <v>1.1849781918526729</v>
      </c>
    </row>
    <row r="141" spans="2:8" x14ac:dyDescent="0.2">
      <c r="B141" s="5" t="s">
        <v>80</v>
      </c>
      <c r="H141" s="114">
        <v>4.6142533707005332E-3</v>
      </c>
    </row>
    <row r="142" spans="2:8" x14ac:dyDescent="0.2">
      <c r="H142" s="37"/>
    </row>
    <row r="143" spans="2:8" x14ac:dyDescent="0.2">
      <c r="B143" s="5" t="s">
        <v>81</v>
      </c>
      <c r="H143" s="37"/>
    </row>
    <row r="144" spans="2:8" x14ac:dyDescent="0.2">
      <c r="B144" s="5" t="s">
        <v>68</v>
      </c>
      <c r="H144" s="114">
        <v>440.9998526611127</v>
      </c>
    </row>
    <row r="145" spans="2:8" x14ac:dyDescent="0.2">
      <c r="B145" s="5" t="s">
        <v>79</v>
      </c>
      <c r="H145" s="114">
        <v>13.239367153353371</v>
      </c>
    </row>
    <row r="146" spans="2:8" x14ac:dyDescent="0.2">
      <c r="B146" s="5" t="s">
        <v>70</v>
      </c>
      <c r="H146" s="114">
        <v>1.4195950834573756</v>
      </c>
    </row>
    <row r="147" spans="2:8" x14ac:dyDescent="0.2">
      <c r="B147" s="5" t="s">
        <v>80</v>
      </c>
      <c r="H147" s="114">
        <v>8.5139546906911022E-3</v>
      </c>
    </row>
    <row r="148" spans="2:8" x14ac:dyDescent="0.2">
      <c r="H148" s="37"/>
    </row>
    <row r="149" spans="2:8" x14ac:dyDescent="0.2">
      <c r="B149" s="5" t="s">
        <v>82</v>
      </c>
      <c r="H149" s="37"/>
    </row>
    <row r="150" spans="2:8" x14ac:dyDescent="0.2">
      <c r="B150" s="5" t="s">
        <v>68</v>
      </c>
      <c r="H150" s="114">
        <v>440.99988877216367</v>
      </c>
    </row>
    <row r="151" spans="2:8" x14ac:dyDescent="0.2">
      <c r="B151" s="5" t="s">
        <v>79</v>
      </c>
      <c r="H151" s="114">
        <v>21.195541504945453</v>
      </c>
    </row>
    <row r="152" spans="2:8" x14ac:dyDescent="0.2">
      <c r="B152" s="5" t="s">
        <v>70</v>
      </c>
      <c r="H152" s="114">
        <v>1.4936146385940685</v>
      </c>
    </row>
    <row r="153" spans="2:8" x14ac:dyDescent="0.2">
      <c r="B153" s="5" t="s">
        <v>80</v>
      </c>
      <c r="H153" s="114">
        <v>9.0117392062365256E-3</v>
      </c>
    </row>
    <row r="154" spans="2:8" x14ac:dyDescent="0.2">
      <c r="H154" s="37"/>
    </row>
    <row r="155" spans="2:8" x14ac:dyDescent="0.2">
      <c r="B155" s="35" t="s">
        <v>83</v>
      </c>
      <c r="H155" s="37"/>
    </row>
    <row r="156" spans="2:8" x14ac:dyDescent="0.2">
      <c r="B156" s="5" t="s">
        <v>84</v>
      </c>
      <c r="H156" s="37"/>
    </row>
    <row r="157" spans="2:8" x14ac:dyDescent="0.2">
      <c r="B157" s="5" t="s">
        <v>68</v>
      </c>
      <c r="H157" s="114">
        <v>18</v>
      </c>
    </row>
    <row r="158" spans="2:8" x14ac:dyDescent="0.2">
      <c r="B158" s="5" t="s">
        <v>79</v>
      </c>
      <c r="H158" s="114">
        <v>5.1741270458117752</v>
      </c>
    </row>
    <row r="159" spans="2:8" x14ac:dyDescent="0.2">
      <c r="B159" s="5" t="s">
        <v>85</v>
      </c>
      <c r="H159" s="114">
        <v>1.7241925490291118E-2</v>
      </c>
    </row>
    <row r="160" spans="2:8" x14ac:dyDescent="0.2">
      <c r="B160" s="5" t="s">
        <v>80</v>
      </c>
      <c r="H160" s="114">
        <v>3.492353619340953E-2</v>
      </c>
    </row>
    <row r="161" spans="2:8" x14ac:dyDescent="0.2">
      <c r="H161" s="37"/>
    </row>
    <row r="162" spans="2:8" x14ac:dyDescent="0.2">
      <c r="B162" s="5" t="s">
        <v>86</v>
      </c>
      <c r="H162" s="37"/>
    </row>
    <row r="163" spans="2:8" x14ac:dyDescent="0.2">
      <c r="B163" s="5" t="s">
        <v>87</v>
      </c>
      <c r="H163" s="114">
        <v>0.53160589279892634</v>
      </c>
    </row>
    <row r="164" spans="2:8" x14ac:dyDescent="0.2">
      <c r="B164" s="5" t="s">
        <v>88</v>
      </c>
      <c r="H164" s="114">
        <v>18.002811090194772</v>
      </c>
    </row>
    <row r="165" spans="2:8" x14ac:dyDescent="0.2">
      <c r="H165" s="37"/>
    </row>
    <row r="166" spans="2:8" x14ac:dyDescent="0.2">
      <c r="B166" s="5" t="s">
        <v>89</v>
      </c>
      <c r="H166" s="37"/>
    </row>
    <row r="167" spans="2:8" x14ac:dyDescent="0.2">
      <c r="B167" s="5" t="s">
        <v>90</v>
      </c>
      <c r="H167" s="114">
        <v>1602.9465940011446</v>
      </c>
    </row>
    <row r="168" spans="2:8" x14ac:dyDescent="0.2">
      <c r="B168" s="5" t="s">
        <v>91</v>
      </c>
      <c r="H168" s="114">
        <v>1280.0836399705247</v>
      </c>
    </row>
    <row r="169" spans="2:8" x14ac:dyDescent="0.2">
      <c r="B169" s="5" t="s">
        <v>92</v>
      </c>
      <c r="H169" s="114">
        <v>961.95706838615649</v>
      </c>
    </row>
    <row r="170" spans="2:8" x14ac:dyDescent="0.2">
      <c r="B170" s="5" t="s">
        <v>93</v>
      </c>
      <c r="H170" s="114">
        <v>640.62710550102452</v>
      </c>
    </row>
    <row r="171" spans="2:8" x14ac:dyDescent="0.2">
      <c r="B171" s="5" t="s">
        <v>107</v>
      </c>
      <c r="H171" s="114">
        <v>128.32397078568854</v>
      </c>
    </row>
    <row r="172" spans="2:8" x14ac:dyDescent="0.2">
      <c r="B172" s="5" t="s">
        <v>232</v>
      </c>
      <c r="H172" s="117">
        <f>SUM(H171,H173)/SUM(H97,H99)*H98</f>
        <v>16.039731192403099</v>
      </c>
    </row>
    <row r="173" spans="2:8" x14ac:dyDescent="0.2">
      <c r="B173" s="5" t="s">
        <v>96</v>
      </c>
      <c r="H173" s="114">
        <v>1.5978518727765336</v>
      </c>
    </row>
    <row r="174" spans="2:8" x14ac:dyDescent="0.2">
      <c r="H174" s="37"/>
    </row>
    <row r="175" spans="2:8" x14ac:dyDescent="0.2">
      <c r="B175" s="35" t="s">
        <v>97</v>
      </c>
      <c r="H175" s="37"/>
    </row>
    <row r="176" spans="2:8" x14ac:dyDescent="0.2">
      <c r="H176" s="37"/>
    </row>
    <row r="177" spans="2:18" x14ac:dyDescent="0.2">
      <c r="B177" s="5" t="s">
        <v>98</v>
      </c>
      <c r="H177" s="114">
        <v>4.0002702897273517E-3</v>
      </c>
    </row>
    <row r="178" spans="2:18" x14ac:dyDescent="0.2">
      <c r="B178" s="5" t="s">
        <v>99</v>
      </c>
      <c r="H178" s="114">
        <v>4.6156279342688808E-3</v>
      </c>
    </row>
    <row r="181" spans="2:18" s="43" customFormat="1" x14ac:dyDescent="0.2">
      <c r="B181" s="43" t="s">
        <v>108</v>
      </c>
    </row>
    <row r="183" spans="2:18" x14ac:dyDescent="0.2">
      <c r="B183" s="35" t="s">
        <v>281</v>
      </c>
    </row>
    <row r="184" spans="2:18" x14ac:dyDescent="0.2">
      <c r="B184" s="5" t="s">
        <v>109</v>
      </c>
      <c r="L184" s="50">
        <f>SUMPRODUCT($H$107:$H$178,L17:L88)</f>
        <v>15700094.594148817</v>
      </c>
      <c r="M184" s="50">
        <f t="shared" ref="M184:R184" si="0">SUMPRODUCT($H$107:$H$178,M17:M88)</f>
        <v>61849451.062034018</v>
      </c>
      <c r="N184" s="50">
        <f t="shared" si="0"/>
        <v>818165813.91753411</v>
      </c>
      <c r="O184" s="50">
        <f t="shared" si="0"/>
        <v>893174750.21368194</v>
      </c>
      <c r="P184" s="50">
        <f t="shared" si="0"/>
        <v>9352407.2717518285</v>
      </c>
      <c r="Q184" s="50">
        <f t="shared" si="0"/>
        <v>571864065.15003884</v>
      </c>
      <c r="R184" s="50">
        <f t="shared" si="0"/>
        <v>39915301.635512888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3.xml><?xml version="1.0" encoding="utf-8"?>
<ds:datastoreItem xmlns:ds="http://schemas.openxmlformats.org/officeDocument/2006/customXml" ds:itemID="{73303CBC-8EFC-425B-87A9-CE6D57C748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17</vt:i4>
      </vt:variant>
    </vt:vector>
  </HeadingPairs>
  <TitlesOfParts>
    <vt:vector size="17" baseType="lpstr">
      <vt:lpstr>Titelblad</vt:lpstr>
      <vt:lpstr>Toelichting</vt:lpstr>
      <vt:lpstr>Bronnen en toepassingen</vt:lpstr>
      <vt:lpstr>TI-berekening 2020</vt:lpstr>
      <vt:lpstr>Input --&gt;</vt:lpstr>
      <vt:lpstr>Input x-factor, begininkomsten</vt:lpstr>
      <vt:lpstr>Input parameters</vt:lpstr>
      <vt:lpstr>Input lokale heffingen 2018</vt:lpstr>
      <vt:lpstr>Input SO transportdienst 2018</vt:lpstr>
      <vt:lpstr>Input inkoopkn Transport 2018</vt:lpstr>
      <vt:lpstr>Input faillissement Flexenergie</vt:lpstr>
      <vt:lpstr>Berekeningen --&gt;</vt:lpstr>
      <vt:lpstr>Parameters</vt:lpstr>
      <vt:lpstr>Lokale heffingen 2018</vt:lpstr>
      <vt:lpstr>Inkoopkosten Transport 2018</vt:lpstr>
      <vt:lpstr>Overdracht Weert</vt:lpstr>
      <vt:lpstr>Faillissement Flexenergie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Tol, Ilona</cp:lastModifiedBy>
  <dcterms:created xsi:type="dcterms:W3CDTF">2018-05-15T11:27:11Z</dcterms:created>
  <dcterms:modified xsi:type="dcterms:W3CDTF">2019-11-25T12:52:48Z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