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980" windowHeight="7560"/>
  </bookViews>
  <sheets>
    <sheet name="Tab 1_Titelblad" sheetId="9" r:id="rId1"/>
    <sheet name="Tab 2_Toelichting" sheetId="10" r:id="rId2"/>
    <sheet name="Tab 3_Bronnen en toepassingen" sheetId="11" r:id="rId3"/>
    <sheet name="Resultaat --&gt;" sheetId="60" r:id="rId4"/>
    <sheet name="Tab 4_Totale inkomsten 2020" sheetId="25" r:id="rId5"/>
    <sheet name="Tab 5_Tarieven en RV 2020" sheetId="49" r:id="rId6"/>
    <sheet name="Input (Dataverzoek TenneT) --&gt;" sheetId="13" r:id="rId7"/>
    <sheet name="Tab 6_Correcties en prognoses" sheetId="31" r:id="rId8"/>
    <sheet name="Tab 7_Toevoeging kosten RCR" sheetId="33" r:id="rId9"/>
    <sheet name="Tab 8_Voorstel tarieven en RV" sheetId="45" r:id="rId10"/>
    <sheet name="Input (Data door ACM) --&gt;" sheetId="59" r:id="rId11"/>
    <sheet name="Tab 9_Parameters" sheetId="52" r:id="rId12"/>
    <sheet name="Tab 10_Brondata" sheetId="32" r:id="rId13"/>
    <sheet name="Tab 11_Tarieven, RV en omzet" sheetId="47" r:id="rId14"/>
    <sheet name="Berekeningen --&gt;" sheetId="15" r:id="rId15"/>
    <sheet name="Tab 12_Berekening parameters" sheetId="53" r:id="rId16"/>
    <sheet name="Tab 13_Wettelijke formule" sheetId="54" r:id="rId17"/>
    <sheet name="Tab 14_Budget systeemtaken" sheetId="29" r:id="rId18"/>
    <sheet name="Tab 15_Nacalculatie IKE&amp;V" sheetId="63" r:id="rId19"/>
    <sheet name="Tab 16_Prognoses IKTNN" sheetId="55" r:id="rId20"/>
    <sheet name="Tab 17_Correcties OA&amp;M en IKTNN" sheetId="37" r:id="rId21"/>
    <sheet name="Tab 18_Overige correcties" sheetId="51" r:id="rId22"/>
    <sheet name="Tab 19_Omzetcorrectie" sheetId="40" r:id="rId23"/>
    <sheet name="Tab 20_ Inzet veilinggelden" sheetId="46" r:id="rId24"/>
    <sheet name="Tab 21_Controle rekenvolumina" sheetId="61" r:id="rId25"/>
    <sheet name="Tab 22_Controle tarieven" sheetId="44" r:id="rId26"/>
  </sheets>
  <definedNames>
    <definedName name="_xlnm.Print_Area" localSheetId="15">'Tab 12_Berekening parameters'!$A$1:$X$76</definedName>
    <definedName name="_xlnm.Print_Area" localSheetId="24">'Tab 21_Controle rekenvolumina'!$A$1:$P$45</definedName>
  </definedNames>
  <calcPr calcId="145621"/>
</workbook>
</file>

<file path=xl/calcChain.xml><?xml version="1.0" encoding="utf-8"?>
<calcChain xmlns="http://schemas.openxmlformats.org/spreadsheetml/2006/main">
  <c r="U126" i="63" l="1"/>
  <c r="N13" i="44" l="1"/>
  <c r="M17" i="44"/>
  <c r="M13" i="44"/>
  <c r="N17" i="44"/>
  <c r="R34" i="29" l="1"/>
  <c r="S34" i="29"/>
  <c r="T34" i="29"/>
  <c r="U34" i="29"/>
  <c r="V34" i="29"/>
  <c r="Q34" i="29"/>
  <c r="S56" i="29" l="1"/>
  <c r="S55" i="29"/>
  <c r="T52" i="51"/>
  <c r="T51" i="51"/>
  <c r="S46" i="51"/>
  <c r="S48" i="51"/>
  <c r="S49" i="51"/>
  <c r="S45" i="51"/>
  <c r="R43" i="51"/>
  <c r="R40" i="51"/>
  <c r="R42" i="51"/>
  <c r="R39" i="51"/>
  <c r="T50" i="29"/>
  <c r="B77" i="10" l="1"/>
  <c r="B65" i="10"/>
  <c r="B66" i="10" s="1"/>
  <c r="B67" i="10" l="1"/>
  <c r="B71" i="10" s="1"/>
  <c r="B72" i="10"/>
  <c r="K35" i="25" l="1"/>
  <c r="K36" i="25" l="1"/>
  <c r="H36" i="25" s="1"/>
  <c r="H32" i="63" l="1"/>
  <c r="H18" i="29" l="1"/>
  <c r="Q40" i="29"/>
  <c r="V41" i="29"/>
  <c r="R42" i="29"/>
  <c r="S42" i="29"/>
  <c r="T42" i="29"/>
  <c r="Q50" i="29"/>
  <c r="R50" i="29"/>
  <c r="S50" i="29"/>
  <c r="R52" i="29"/>
  <c r="S52" i="29"/>
  <c r="T52" i="29"/>
  <c r="Q55" i="29"/>
  <c r="R55" i="29"/>
  <c r="Q56" i="29"/>
  <c r="R56" i="29"/>
  <c r="Q57" i="29"/>
  <c r="R57" i="29"/>
  <c r="S57" i="29"/>
  <c r="R59" i="29"/>
  <c r="S59" i="29"/>
  <c r="T59" i="29"/>
  <c r="P55" i="29"/>
  <c r="P56" i="29"/>
  <c r="P57" i="29"/>
  <c r="P85" i="29" l="1"/>
  <c r="Q66" i="29"/>
  <c r="H63" i="29"/>
  <c r="H64" i="29" s="1"/>
  <c r="S85" i="29" l="1"/>
  <c r="R85" i="29"/>
  <c r="Q85" i="29"/>
  <c r="S35" i="54" l="1"/>
  <c r="T35" i="54"/>
  <c r="S36" i="54"/>
  <c r="T36" i="54"/>
  <c r="S37" i="54"/>
  <c r="T37" i="54"/>
  <c r="S38" i="54"/>
  <c r="T38" i="54"/>
  <c r="S39" i="54"/>
  <c r="T39" i="54"/>
  <c r="R36" i="54"/>
  <c r="R37" i="54"/>
  <c r="R38" i="54"/>
  <c r="R39" i="54"/>
  <c r="R35" i="54"/>
  <c r="U21" i="53" l="1"/>
  <c r="U20" i="53"/>
  <c r="T22" i="53"/>
  <c r="T23" i="53"/>
  <c r="U49" i="53" l="1"/>
  <c r="U60" i="53" l="1"/>
  <c r="H31" i="29" s="1"/>
  <c r="U27" i="29"/>
  <c r="S31" i="51"/>
  <c r="S30" i="51"/>
  <c r="S27" i="51"/>
  <c r="S24" i="46"/>
  <c r="H24" i="51" l="1"/>
  <c r="H25" i="54"/>
  <c r="P25" i="61"/>
  <c r="O25" i="61"/>
  <c r="N25" i="61"/>
  <c r="M25" i="61"/>
  <c r="L25" i="61"/>
  <c r="P24" i="61"/>
  <c r="O24" i="61"/>
  <c r="N24" i="61"/>
  <c r="M24" i="61"/>
  <c r="L24" i="61"/>
  <c r="P23" i="61"/>
  <c r="O23" i="61"/>
  <c r="N23" i="61"/>
  <c r="M23" i="61"/>
  <c r="L23" i="61"/>
  <c r="P22" i="61"/>
  <c r="O22" i="61"/>
  <c r="N22" i="61"/>
  <c r="M22" i="61"/>
  <c r="L22" i="61"/>
  <c r="P19" i="61"/>
  <c r="O19" i="61"/>
  <c r="N19" i="61"/>
  <c r="M19" i="61"/>
  <c r="L19" i="61"/>
  <c r="P18" i="61"/>
  <c r="O18" i="61"/>
  <c r="N18" i="61"/>
  <c r="M18" i="61"/>
  <c r="L18" i="61"/>
  <c r="P17" i="61"/>
  <c r="O17" i="61"/>
  <c r="N17" i="61"/>
  <c r="M17" i="61"/>
  <c r="L17" i="61"/>
  <c r="P16" i="61"/>
  <c r="O16" i="61"/>
  <c r="N16" i="61"/>
  <c r="M16" i="61"/>
  <c r="L16" i="61"/>
  <c r="N32" i="61" l="1"/>
  <c r="O31" i="61"/>
  <c r="M31" i="61"/>
  <c r="H41" i="61"/>
  <c r="O32" i="61"/>
  <c r="L32" i="61"/>
  <c r="P32" i="61"/>
  <c r="M32" i="61"/>
  <c r="H38" i="61"/>
  <c r="N31" i="61"/>
  <c r="L31" i="61"/>
  <c r="P31" i="61"/>
  <c r="H37" i="61"/>
  <c r="H42" i="61"/>
  <c r="T26" i="52"/>
  <c r="T27" i="52"/>
  <c r="H43" i="61" l="1"/>
  <c r="H34" i="61"/>
  <c r="F14" i="45" s="1"/>
  <c r="H39" i="61"/>
  <c r="H45" i="61" l="1"/>
  <c r="H46" i="61" s="1"/>
  <c r="H49" i="61" s="1"/>
  <c r="F14" i="49" s="1"/>
  <c r="L51" i="61" l="1"/>
  <c r="L23" i="49" s="1"/>
  <c r="O51" i="61"/>
  <c r="O23" i="49" s="1"/>
  <c r="N51" i="61"/>
  <c r="N23" i="49" s="1"/>
  <c r="M52" i="61"/>
  <c r="M27" i="49" s="1"/>
  <c r="O52" i="61"/>
  <c r="O27" i="49" s="1"/>
  <c r="M51" i="61"/>
  <c r="M23" i="49" s="1"/>
  <c r="L52" i="61"/>
  <c r="L27" i="49" s="1"/>
  <c r="N52" i="61"/>
  <c r="N27" i="49" s="1"/>
  <c r="P51" i="61"/>
  <c r="P23" i="49" s="1"/>
  <c r="P52" i="61"/>
  <c r="P27" i="49" s="1"/>
  <c r="R31" i="51"/>
  <c r="L31" i="51"/>
  <c r="M31" i="51"/>
  <c r="N31" i="51"/>
  <c r="O31" i="51"/>
  <c r="P31" i="51"/>
  <c r="Q31" i="51"/>
  <c r="T35" i="51" l="1"/>
  <c r="T36" i="51"/>
  <c r="T21" i="53" l="1"/>
  <c r="T20" i="53"/>
  <c r="H62" i="53" s="1"/>
  <c r="U17" i="53" l="1"/>
  <c r="V17" i="53"/>
  <c r="V19" i="29" l="1"/>
  <c r="V19" i="63"/>
  <c r="U19" i="29"/>
  <c r="U19" i="63"/>
  <c r="U43" i="53"/>
  <c r="H26" i="46"/>
  <c r="T38" i="46" s="1"/>
  <c r="U20" i="46"/>
  <c r="U36" i="46" s="1"/>
  <c r="T20" i="46"/>
  <c r="T34" i="46" s="1"/>
  <c r="S20" i="46"/>
  <c r="S32" i="46" s="1"/>
  <c r="S38" i="46" l="1"/>
  <c r="S36" i="46"/>
  <c r="H57" i="52"/>
  <c r="M34" i="51" l="1"/>
  <c r="N34" i="51"/>
  <c r="O34" i="51"/>
  <c r="S35" i="51"/>
  <c r="S36" i="51"/>
  <c r="R24" i="46" l="1"/>
  <c r="R38" i="46" l="1"/>
  <c r="R34" i="46"/>
  <c r="R36" i="46"/>
  <c r="H27" i="53"/>
  <c r="H26" i="53"/>
  <c r="Q71" i="53" s="1"/>
  <c r="Q37" i="29" s="1"/>
  <c r="H20" i="54"/>
  <c r="V76" i="53" l="1"/>
  <c r="V37" i="29" s="1"/>
  <c r="R71" i="53"/>
  <c r="S71" i="53" s="1"/>
  <c r="T71" i="53" s="1"/>
  <c r="U71" i="53" s="1"/>
  <c r="V71" i="53" s="1"/>
  <c r="P70" i="53"/>
  <c r="S73" i="53"/>
  <c r="T74" i="53"/>
  <c r="U75" i="53"/>
  <c r="R72" i="53"/>
  <c r="V22" i="46"/>
  <c r="V38" i="46" s="1"/>
  <c r="R20" i="46"/>
  <c r="R30" i="46" s="1"/>
  <c r="H32" i="40"/>
  <c r="H31" i="40"/>
  <c r="H25" i="40"/>
  <c r="H24" i="40"/>
  <c r="S72" i="53" l="1"/>
  <c r="T72" i="53" s="1"/>
  <c r="U72" i="53" s="1"/>
  <c r="V72" i="53" s="1"/>
  <c r="R37" i="29"/>
  <c r="Q70" i="53"/>
  <c r="R70" i="53" s="1"/>
  <c r="S70" i="53" s="1"/>
  <c r="T70" i="53" s="1"/>
  <c r="U70" i="53" s="1"/>
  <c r="V70" i="53" s="1"/>
  <c r="P37" i="29"/>
  <c r="V75" i="53"/>
  <c r="U37" i="29"/>
  <c r="U74" i="53"/>
  <c r="V74" i="53" s="1"/>
  <c r="T37" i="29"/>
  <c r="T73" i="53"/>
  <c r="U73" i="53" s="1"/>
  <c r="V73" i="53" s="1"/>
  <c r="S37" i="29"/>
  <c r="H37" i="40"/>
  <c r="H36" i="40"/>
  <c r="L29" i="55" l="1"/>
  <c r="L28" i="55"/>
  <c r="L27" i="55"/>
  <c r="M24" i="55"/>
  <c r="M23" i="55"/>
  <c r="M22" i="55"/>
  <c r="S18" i="54" l="1"/>
  <c r="T18" i="54"/>
  <c r="U18" i="54"/>
  <c r="V18" i="54"/>
  <c r="Q31" i="54"/>
  <c r="Q30" i="54"/>
  <c r="Q29" i="54"/>
  <c r="Q28" i="54"/>
  <c r="Q32" i="54"/>
  <c r="R18" i="54"/>
  <c r="R46" i="54" l="1"/>
  <c r="R47" i="54"/>
  <c r="R48" i="54"/>
  <c r="R45" i="54"/>
  <c r="R44" i="54"/>
  <c r="S45" i="54" l="1"/>
  <c r="R54" i="54"/>
  <c r="S48" i="54"/>
  <c r="R57" i="54"/>
  <c r="S47" i="54"/>
  <c r="R56" i="54"/>
  <c r="S44" i="54"/>
  <c r="R53" i="54"/>
  <c r="S46" i="54"/>
  <c r="R55" i="54"/>
  <c r="M29" i="40"/>
  <c r="N29" i="40"/>
  <c r="O29" i="40"/>
  <c r="P29" i="40"/>
  <c r="L29" i="40"/>
  <c r="M22" i="40"/>
  <c r="N22" i="40"/>
  <c r="O22" i="40"/>
  <c r="P22" i="40"/>
  <c r="L22" i="40"/>
  <c r="T44" i="54" l="1"/>
  <c r="S53" i="54"/>
  <c r="T48" i="54"/>
  <c r="S57" i="54"/>
  <c r="T46" i="54"/>
  <c r="S55" i="54"/>
  <c r="T47" i="54"/>
  <c r="S56" i="54"/>
  <c r="T45" i="54"/>
  <c r="S54" i="54"/>
  <c r="H29" i="44"/>
  <c r="H28" i="44"/>
  <c r="H25" i="44"/>
  <c r="H24" i="44"/>
  <c r="U47" i="54" l="1"/>
  <c r="T56" i="54"/>
  <c r="T57" i="54"/>
  <c r="U48" i="54"/>
  <c r="U45" i="54"/>
  <c r="T54" i="54"/>
  <c r="T55" i="54"/>
  <c r="U46" i="54"/>
  <c r="T53" i="54"/>
  <c r="U44" i="54"/>
  <c r="V44" i="54" l="1"/>
  <c r="J22" i="25"/>
  <c r="V45" i="54"/>
  <c r="V47" i="54"/>
  <c r="K22" i="25"/>
  <c r="V46" i="54"/>
  <c r="V48" i="54"/>
  <c r="L21" i="53"/>
  <c r="M21" i="53"/>
  <c r="N21" i="53"/>
  <c r="O21" i="53"/>
  <c r="P21" i="53"/>
  <c r="Q21" i="53"/>
  <c r="R21" i="53"/>
  <c r="S21" i="53"/>
  <c r="L22" i="53"/>
  <c r="M22" i="53"/>
  <c r="N22" i="53"/>
  <c r="O22" i="53"/>
  <c r="P22" i="53"/>
  <c r="Q22" i="53"/>
  <c r="R22" i="53"/>
  <c r="S22" i="53"/>
  <c r="L23" i="53"/>
  <c r="M23" i="53"/>
  <c r="N23" i="53"/>
  <c r="O23" i="53"/>
  <c r="P23" i="53"/>
  <c r="Q23" i="53"/>
  <c r="R23" i="53"/>
  <c r="S23" i="53"/>
  <c r="M20" i="53"/>
  <c r="N20" i="53"/>
  <c r="O20" i="53"/>
  <c r="P20" i="53"/>
  <c r="Q20" i="53"/>
  <c r="R20" i="53"/>
  <c r="S20" i="53"/>
  <c r="L20" i="53"/>
  <c r="H22" i="25" l="1"/>
  <c r="H18" i="40"/>
  <c r="T49" i="53"/>
  <c r="T27" i="29" s="1"/>
  <c r="M17" i="53"/>
  <c r="N17" i="53"/>
  <c r="O17" i="53"/>
  <c r="P17" i="53"/>
  <c r="Q17" i="53"/>
  <c r="R17" i="53"/>
  <c r="S17" i="53"/>
  <c r="T17" i="53"/>
  <c r="L17" i="53"/>
  <c r="V67" i="53"/>
  <c r="U67" i="53"/>
  <c r="T67" i="53"/>
  <c r="S67" i="53"/>
  <c r="R67" i="53"/>
  <c r="Q67" i="53"/>
  <c r="P67" i="53"/>
  <c r="O67" i="53"/>
  <c r="T48" i="53"/>
  <c r="S48" i="53"/>
  <c r="R48" i="53"/>
  <c r="Q48" i="53"/>
  <c r="P48" i="53"/>
  <c r="O48" i="53"/>
  <c r="N48" i="53"/>
  <c r="M48" i="53"/>
  <c r="S32" i="53"/>
  <c r="R32" i="53"/>
  <c r="Q32" i="53"/>
  <c r="P32" i="53"/>
  <c r="O32" i="53"/>
  <c r="N32" i="53"/>
  <c r="M32" i="53"/>
  <c r="L32" i="53"/>
  <c r="O69" i="53"/>
  <c r="Q49" i="53"/>
  <c r="P49" i="53"/>
  <c r="M49" i="53"/>
  <c r="M52" i="53" l="1"/>
  <c r="M27" i="29"/>
  <c r="L34" i="53"/>
  <c r="M34" i="53" s="1"/>
  <c r="N34" i="53" s="1"/>
  <c r="O34" i="53" s="1"/>
  <c r="P34" i="53" s="1"/>
  <c r="Q34" i="53" s="1"/>
  <c r="R34" i="53" s="1"/>
  <c r="S34" i="53" s="1"/>
  <c r="T34" i="53" s="1"/>
  <c r="U34" i="53" s="1"/>
  <c r="L19" i="29"/>
  <c r="Q39" i="53"/>
  <c r="H23" i="63" s="1"/>
  <c r="Q19" i="29"/>
  <c r="Q19" i="63"/>
  <c r="M35" i="53"/>
  <c r="N35" i="53" s="1"/>
  <c r="O35" i="53" s="1"/>
  <c r="P35" i="53" s="1"/>
  <c r="Q35" i="53" s="1"/>
  <c r="R35" i="53" s="1"/>
  <c r="S35" i="53" s="1"/>
  <c r="T35" i="53" s="1"/>
  <c r="U35" i="53" s="1"/>
  <c r="M19" i="29"/>
  <c r="P55" i="53"/>
  <c r="P27" i="29"/>
  <c r="T19" i="29"/>
  <c r="T19" i="63"/>
  <c r="P38" i="53"/>
  <c r="P19" i="29"/>
  <c r="P19" i="63"/>
  <c r="T59" i="53"/>
  <c r="U59" i="53" s="1"/>
  <c r="H30" i="29" s="1"/>
  <c r="Q56" i="53"/>
  <c r="Q27" i="29"/>
  <c r="S19" i="29"/>
  <c r="S19" i="63"/>
  <c r="O37" i="53"/>
  <c r="P37" i="53" s="1"/>
  <c r="Q37" i="53" s="1"/>
  <c r="O19" i="29"/>
  <c r="O19" i="63"/>
  <c r="P69" i="53"/>
  <c r="Q69" i="53" s="1"/>
  <c r="R69" i="53" s="1"/>
  <c r="S69" i="53" s="1"/>
  <c r="T69" i="53" s="1"/>
  <c r="U69" i="53" s="1"/>
  <c r="V69" i="53" s="1"/>
  <c r="O37" i="29"/>
  <c r="R40" i="53"/>
  <c r="S40" i="53" s="1"/>
  <c r="R19" i="29"/>
  <c r="R66" i="29" s="1"/>
  <c r="R19" i="63"/>
  <c r="N36" i="53"/>
  <c r="N19" i="29"/>
  <c r="N19" i="63"/>
  <c r="H29" i="63"/>
  <c r="Q55" i="53"/>
  <c r="O36" i="53"/>
  <c r="P36" i="53" s="1"/>
  <c r="Q36" i="53" s="1"/>
  <c r="R36" i="53" s="1"/>
  <c r="S36" i="53" s="1"/>
  <c r="T36" i="53" s="1"/>
  <c r="U36" i="53" s="1"/>
  <c r="Q38" i="53"/>
  <c r="S41" i="53"/>
  <c r="T41" i="53" s="1"/>
  <c r="H23" i="29" s="1"/>
  <c r="T42" i="53"/>
  <c r="U42" i="53" s="1"/>
  <c r="H24" i="29" s="1"/>
  <c r="O49" i="53"/>
  <c r="S49" i="53"/>
  <c r="N49" i="53"/>
  <c r="R49" i="53"/>
  <c r="R39" i="53"/>
  <c r="K23" i="25"/>
  <c r="H23" i="25" s="1"/>
  <c r="H23" i="51" l="1"/>
  <c r="H16" i="37"/>
  <c r="H24" i="54"/>
  <c r="R37" i="53"/>
  <c r="S37" i="53" s="1"/>
  <c r="T37" i="53" s="1"/>
  <c r="H21" i="63"/>
  <c r="S39" i="53"/>
  <c r="T39" i="53" s="1"/>
  <c r="U39" i="53" s="1"/>
  <c r="H19" i="55" s="1"/>
  <c r="H21" i="29"/>
  <c r="H24" i="63"/>
  <c r="S58" i="53"/>
  <c r="T58" i="53" s="1"/>
  <c r="U58" i="53" s="1"/>
  <c r="H29" i="29" s="1"/>
  <c r="S27" i="29"/>
  <c r="T86" i="29"/>
  <c r="T88" i="29" s="1"/>
  <c r="T40" i="53"/>
  <c r="U40" i="53" s="1"/>
  <c r="H22" i="29"/>
  <c r="H25" i="63"/>
  <c r="O54" i="53"/>
  <c r="P54" i="53" s="1"/>
  <c r="Q54" i="53" s="1"/>
  <c r="R54" i="53" s="1"/>
  <c r="S54" i="53" s="1"/>
  <c r="T54" i="53" s="1"/>
  <c r="O27" i="29"/>
  <c r="R57" i="53"/>
  <c r="S57" i="53" s="1"/>
  <c r="T57" i="53" s="1"/>
  <c r="R27" i="29"/>
  <c r="R38" i="53"/>
  <c r="S38" i="53" s="1"/>
  <c r="T38" i="53" s="1"/>
  <c r="U38" i="53" s="1"/>
  <c r="H18" i="55" s="1"/>
  <c r="H22" i="63"/>
  <c r="N53" i="53"/>
  <c r="O53" i="53" s="1"/>
  <c r="P53" i="53" s="1"/>
  <c r="Q53" i="53" s="1"/>
  <c r="R53" i="53" s="1"/>
  <c r="S53" i="53" s="1"/>
  <c r="T53" i="53" s="1"/>
  <c r="N27" i="29"/>
  <c r="U86" i="29"/>
  <c r="U95" i="29" s="1"/>
  <c r="S66" i="29"/>
  <c r="R68" i="29"/>
  <c r="H28" i="63"/>
  <c r="H23" i="54"/>
  <c r="U60" i="54" s="1"/>
  <c r="U37" i="53"/>
  <c r="H17" i="55" s="1"/>
  <c r="U41" i="53"/>
  <c r="R55" i="53"/>
  <c r="S55" i="53" s="1"/>
  <c r="T55" i="53" s="1"/>
  <c r="R56" i="53"/>
  <c r="S56" i="53" s="1"/>
  <c r="T56" i="53" s="1"/>
  <c r="N52" i="53"/>
  <c r="O52" i="53" s="1"/>
  <c r="P52" i="53" s="1"/>
  <c r="Q52" i="53" s="1"/>
  <c r="R52" i="53" s="1"/>
  <c r="S52" i="53" s="1"/>
  <c r="T52" i="53" s="1"/>
  <c r="L35" i="55" l="1"/>
  <c r="J35" i="55" s="1"/>
  <c r="M33" i="55"/>
  <c r="J33" i="55" s="1"/>
  <c r="U94" i="29"/>
  <c r="R86" i="29"/>
  <c r="R88" i="29" s="1"/>
  <c r="S86" i="29"/>
  <c r="S88" i="29" s="1"/>
  <c r="T80" i="29"/>
  <c r="H22" i="51"/>
  <c r="T66" i="29"/>
  <c r="S68" i="29"/>
  <c r="U62" i="54"/>
  <c r="U64" i="54"/>
  <c r="U61" i="54"/>
  <c r="U63" i="54"/>
  <c r="U57" i="53"/>
  <c r="H21" i="51" s="1"/>
  <c r="U52" i="53"/>
  <c r="H16" i="51" s="1"/>
  <c r="U56" i="53"/>
  <c r="H20" i="51" s="1"/>
  <c r="U53" i="53"/>
  <c r="H17" i="51" s="1"/>
  <c r="U55" i="53"/>
  <c r="H19" i="51" s="1"/>
  <c r="U54" i="53"/>
  <c r="H18" i="51" s="1"/>
  <c r="J28" i="25"/>
  <c r="H28" i="25" s="1"/>
  <c r="K38" i="25"/>
  <c r="J38" i="25"/>
  <c r="K27" i="25" l="1"/>
  <c r="H27" i="25" s="1"/>
  <c r="U73" i="51"/>
  <c r="K49" i="25" s="1"/>
  <c r="U81" i="51"/>
  <c r="J52" i="25" s="1"/>
  <c r="U70" i="51"/>
  <c r="K48" i="25" s="1"/>
  <c r="U79" i="51"/>
  <c r="K51" i="25" s="1"/>
  <c r="U75" i="51"/>
  <c r="J50" i="25" s="1"/>
  <c r="U72" i="51"/>
  <c r="J49" i="25" s="1"/>
  <c r="U78" i="51"/>
  <c r="J51" i="25" s="1"/>
  <c r="U76" i="51"/>
  <c r="K50" i="25" s="1"/>
  <c r="U69" i="51"/>
  <c r="J48" i="25" s="1"/>
  <c r="U82" i="51"/>
  <c r="K52" i="25" s="1"/>
  <c r="U66" i="51"/>
  <c r="J47" i="25" s="1"/>
  <c r="U65" i="51"/>
  <c r="J46" i="25" s="1"/>
  <c r="H46" i="25" s="1"/>
  <c r="U61" i="51"/>
  <c r="K44" i="25" s="1"/>
  <c r="S80" i="29"/>
  <c r="U66" i="29"/>
  <c r="U93" i="29" s="1"/>
  <c r="U96" i="29" s="1"/>
  <c r="J26" i="25" s="1"/>
  <c r="T68" i="29"/>
  <c r="U69" i="29" s="1"/>
  <c r="U100" i="29" s="1"/>
  <c r="U89" i="29"/>
  <c r="U102" i="29" s="1"/>
  <c r="R80" i="29"/>
  <c r="J39" i="25"/>
  <c r="K39" i="25"/>
  <c r="H38" i="25"/>
  <c r="M30" i="51"/>
  <c r="N30" i="51"/>
  <c r="O30" i="51"/>
  <c r="P30" i="51"/>
  <c r="Q30" i="51"/>
  <c r="R30" i="51"/>
  <c r="L30" i="51"/>
  <c r="M27" i="51"/>
  <c r="N27" i="51"/>
  <c r="O27" i="51"/>
  <c r="P27" i="51"/>
  <c r="Q27" i="51"/>
  <c r="R27" i="51"/>
  <c r="L34" i="51"/>
  <c r="U64" i="51" s="1"/>
  <c r="J45" i="25" s="1"/>
  <c r="L27" i="51"/>
  <c r="M22" i="37"/>
  <c r="M23" i="37"/>
  <c r="M19" i="37"/>
  <c r="M32" i="37" s="1"/>
  <c r="L19" i="37"/>
  <c r="L32" i="37" s="1"/>
  <c r="L27" i="37"/>
  <c r="L26" i="37"/>
  <c r="J35" i="25"/>
  <c r="J25" i="25"/>
  <c r="K25" i="25"/>
  <c r="K24" i="25"/>
  <c r="J24" i="25"/>
  <c r="H51" i="25" l="1"/>
  <c r="H49" i="25"/>
  <c r="H52" i="25"/>
  <c r="H48" i="25"/>
  <c r="H50" i="25"/>
  <c r="U60" i="51"/>
  <c r="K43" i="25" s="1"/>
  <c r="U81" i="29"/>
  <c r="U101" i="29" s="1"/>
  <c r="U103" i="29" s="1"/>
  <c r="J40" i="25" s="1"/>
  <c r="H40" i="25" s="1"/>
  <c r="U57" i="51"/>
  <c r="J43" i="25" s="1"/>
  <c r="H39" i="25"/>
  <c r="H35" i="25"/>
  <c r="H25" i="25"/>
  <c r="H24" i="25"/>
  <c r="H47" i="25"/>
  <c r="M35" i="37"/>
  <c r="M36" i="37" s="1"/>
  <c r="L39" i="37"/>
  <c r="U157" i="63" l="1"/>
  <c r="J42" i="25" s="1"/>
  <c r="H42" i="25" s="1"/>
  <c r="J35" i="37"/>
  <c r="J39" i="37"/>
  <c r="K41" i="25" l="1"/>
  <c r="U102" i="63"/>
  <c r="J41" i="25" s="1"/>
  <c r="O24" i="46"/>
  <c r="P24" i="46"/>
  <c r="Q24" i="46"/>
  <c r="N24" i="46"/>
  <c r="N30" i="46" s="1"/>
  <c r="H41" i="25" l="1"/>
  <c r="Q34" i="46"/>
  <c r="Q36" i="46"/>
  <c r="J36" i="46" s="1"/>
  <c r="J58" i="25" s="1"/>
  <c r="Q32" i="46"/>
  <c r="P32" i="46"/>
  <c r="P30" i="46"/>
  <c r="P34" i="46"/>
  <c r="O32" i="46"/>
  <c r="O30" i="46"/>
  <c r="M28" i="40"/>
  <c r="N28" i="40"/>
  <c r="O28" i="40"/>
  <c r="P28" i="40"/>
  <c r="L28" i="40"/>
  <c r="M21" i="40"/>
  <c r="N21" i="40"/>
  <c r="O21" i="40"/>
  <c r="P21" i="40"/>
  <c r="L21" i="40"/>
  <c r="J30" i="46" l="1"/>
  <c r="J32" i="46"/>
  <c r="J34" i="46"/>
  <c r="O45" i="40"/>
  <c r="N45" i="40"/>
  <c r="M45" i="40"/>
  <c r="P40" i="40"/>
  <c r="N40" i="40"/>
  <c r="M40" i="40"/>
  <c r="L40" i="40"/>
  <c r="O18" i="44" l="1"/>
  <c r="L14" i="44"/>
  <c r="P14" i="44"/>
  <c r="O17" i="44"/>
  <c r="N18" i="44"/>
  <c r="P17" i="44"/>
  <c r="M14" i="44"/>
  <c r="O13" i="44"/>
  <c r="L18" i="44"/>
  <c r="P18" i="44"/>
  <c r="L17" i="44"/>
  <c r="L70" i="44" s="1"/>
  <c r="L73" i="44" s="1"/>
  <c r="N14" i="44"/>
  <c r="L13" i="44"/>
  <c r="P13" i="44"/>
  <c r="O14" i="44"/>
  <c r="M18" i="44"/>
  <c r="O40" i="40"/>
  <c r="J40" i="40" s="1"/>
  <c r="H41" i="40" s="1"/>
  <c r="L45" i="40"/>
  <c r="P45" i="40"/>
  <c r="L52" i="44" l="1"/>
  <c r="H37" i="44"/>
  <c r="H58" i="25"/>
  <c r="H42" i="40"/>
  <c r="L74" i="44"/>
  <c r="H34" i="44"/>
  <c r="L71" i="44"/>
  <c r="J45" i="40"/>
  <c r="H46" i="40" s="1"/>
  <c r="H44" i="44"/>
  <c r="H61" i="44"/>
  <c r="L55" i="44" l="1"/>
  <c r="L56" i="44" s="1"/>
  <c r="L53" i="44"/>
  <c r="H47" i="40"/>
  <c r="K57" i="25" s="1"/>
  <c r="J37" i="25"/>
  <c r="K37" i="25"/>
  <c r="L40" i="37"/>
  <c r="K30" i="25"/>
  <c r="H37" i="25" l="1"/>
  <c r="J57" i="25"/>
  <c r="H57" i="25" s="1"/>
  <c r="J36" i="37"/>
  <c r="K55" i="25"/>
  <c r="H55" i="25" s="1"/>
  <c r="J40" i="37"/>
  <c r="J56" i="25"/>
  <c r="H56" i="25" s="1"/>
  <c r="J32" i="37"/>
  <c r="H44" i="25" l="1"/>
  <c r="H45" i="25"/>
  <c r="K60" i="25" l="1"/>
  <c r="K64" i="25" s="1"/>
  <c r="H21" i="44" s="1"/>
  <c r="H62" i="44" s="1"/>
  <c r="H43" i="25"/>
  <c r="J60" i="25"/>
  <c r="H60" i="25" l="1"/>
  <c r="J30" i="25" l="1"/>
  <c r="H30" i="25" s="1"/>
  <c r="H26" i="25"/>
  <c r="J64" i="25" l="1"/>
  <c r="H20" i="44" s="1"/>
  <c r="H38" i="44" s="1"/>
  <c r="H39" i="44" s="1"/>
  <c r="H40" i="44" s="1"/>
  <c r="H84" i="44" s="1"/>
  <c r="H64" i="25" l="1"/>
  <c r="H45" i="44"/>
  <c r="H64" i="44" s="1"/>
  <c r="H65" i="44" s="1"/>
  <c r="H47" i="44" l="1"/>
  <c r="H50" i="44" s="1"/>
  <c r="N52" i="44" s="1"/>
  <c r="H68" i="44"/>
  <c r="N70" i="44" s="1"/>
  <c r="N73" i="44" s="1"/>
  <c r="H67" i="44"/>
  <c r="M70" i="44" s="1"/>
  <c r="M73" i="44" s="1"/>
  <c r="H49" i="44" l="1"/>
  <c r="M52" i="44" s="1"/>
  <c r="N55" i="44"/>
  <c r="P52" i="44"/>
  <c r="N53" i="44"/>
  <c r="O70" i="44"/>
  <c r="O73" i="44" s="1"/>
  <c r="M71" i="44"/>
  <c r="P70" i="44"/>
  <c r="N71" i="44"/>
  <c r="M55" i="44" l="1"/>
  <c r="M56" i="44" s="1"/>
  <c r="O52" i="44"/>
  <c r="O55" i="44" s="1"/>
  <c r="M53" i="44"/>
  <c r="N74" i="44"/>
  <c r="N56" i="44"/>
  <c r="P73" i="44"/>
  <c r="P71" i="44"/>
  <c r="O71" i="44"/>
  <c r="M74" i="44"/>
  <c r="P53" i="44"/>
  <c r="P55" i="44"/>
  <c r="O53" i="44" l="1"/>
  <c r="J53" i="44" s="1"/>
  <c r="O74" i="44"/>
  <c r="J71" i="44"/>
  <c r="P56" i="44"/>
  <c r="O56" i="44"/>
  <c r="P74" i="44"/>
  <c r="H79" i="44" l="1"/>
  <c r="J56" i="44"/>
  <c r="J74" i="44"/>
  <c r="H75" i="44" s="1"/>
  <c r="H57" i="44" l="1"/>
  <c r="H80" i="44"/>
  <c r="H81" i="44" s="1"/>
  <c r="F15" i="45" l="1"/>
  <c r="F13" i="49"/>
  <c r="M87" i="44"/>
  <c r="M26" i="49" s="1"/>
  <c r="M86" i="44"/>
  <c r="M22" i="49" s="1"/>
  <c r="L87" i="44"/>
  <c r="L26" i="49" s="1"/>
  <c r="O87" i="44"/>
  <c r="O26" i="49" s="1"/>
  <c r="O86" i="44"/>
  <c r="O22" i="49" s="1"/>
  <c r="P86" i="44"/>
  <c r="P22" i="49" s="1"/>
  <c r="N87" i="44"/>
  <c r="N26" i="49" s="1"/>
  <c r="N86" i="44"/>
  <c r="N22" i="49" s="1"/>
  <c r="L86" i="44"/>
  <c r="L22" i="49" s="1"/>
  <c r="P87" i="44"/>
  <c r="P26" i="49" s="1"/>
</calcChain>
</file>

<file path=xl/comments1.xml><?xml version="1.0" encoding="utf-8"?>
<comments xmlns="http://schemas.openxmlformats.org/spreadsheetml/2006/main">
  <authors>
    <author>Auteur</author>
  </authors>
  <commentList>
    <comment ref="B71"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<sst xmlns="http://schemas.openxmlformats.org/spreadsheetml/2006/main" count="1828" uniqueCount="927">
  <si>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</si>
  <si>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</si>
  <si>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</si>
  <si>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</si>
  <si>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</si>
  <si>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</si>
  <si>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</si>
  <si>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</si>
  <si>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</si>
  <si>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</si>
  <si>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Publicatie? (j/n)</t>
  </si>
  <si>
    <t>Juridisch integraal onderdeel van bovenstaande besluit(en) (j/n)?</t>
  </si>
  <si>
    <t>Opmerkingen openbare versiegeschiedenis</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</si>
  <si>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</si>
  <si>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</si>
  <si>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</si>
  <si>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</si>
  <si>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</si>
  <si>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</si>
  <si>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</si>
  <si>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</si>
  <si>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</si>
  <si>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</si>
  <si>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</si>
  <si>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Laatst gebruikt/ingeladen</t>
  </si>
  <si>
    <t>Exacte bestandsnaam</t>
  </si>
  <si>
    <t>Datum versie</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</si>
  <si>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</si>
  <si>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</si>
  <si>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</si>
  <si>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</si>
  <si>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</si>
  <si>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</si>
  <si>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</si>
  <si>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</si>
  <si>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</si>
  <si>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</si>
  <si>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</si>
  <si>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</si>
  <si>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</si>
  <si>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</si>
  <si>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</si>
  <si>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</si>
  <si>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</si>
  <si>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</si>
  <si>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</si>
  <si>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</si>
  <si>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</si>
  <si>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</si>
  <si>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</si>
  <si>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</si>
  <si>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</si>
  <si>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</si>
  <si>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</si>
  <si>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</si>
  <si>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Zoals gebruikt in dit bestand, evt. incl. nummering</t>
  </si>
  <si>
    <t>Naam bestand extern</t>
  </si>
  <si>
    <t>Beschrijving berekening</t>
  </si>
  <si>
    <t>Naam bestand INTERN</t>
  </si>
  <si>
    <t>Exacte bestandsnaam, in gebruik binnen ACM</t>
  </si>
  <si>
    <t>Schematische weergave en/of inhoudsopgave van de werking van dit model</t>
  </si>
  <si>
    <t>Berekening inzet veilinggelden</t>
  </si>
  <si>
    <t>CPI</t>
  </si>
  <si>
    <t>%</t>
  </si>
  <si>
    <t>Toelichting vaststelling jaarlijks CPI-percentage</t>
  </si>
  <si>
    <t>in de zestiende maand voorafgaande aan het jaar t, zoals deze maandelijks wordt vastgesteld door het CBS.</t>
  </si>
  <si>
    <t>Toelichting gegevens rentepercentage tariefcorrecties</t>
  </si>
  <si>
    <t xml:space="preserve">De heffingsrente of belastingrente is een rentepercentage dat door de Nederlandse overheid wordt vastgesteld en dient als een schatting van de tijdwaarde van geld. </t>
  </si>
  <si>
    <t>De heffingsrente is in 2012 vervangen door de belastingrente, maar wordt op een vergelijkbare wijze vastgesteld. ACM noemt dit percentage in het vervolg "rentepercentage tariefcorrecties".</t>
  </si>
  <si>
    <t xml:space="preserve">De nacalculaties waarop het rentepercentage tariefcorrecties wordt toegepast kunnen zowel positief als negatief zijn; ACM past het rentepercentage tariefcorrecties symmetrisch toe. </t>
  </si>
  <si>
    <t>Rentepercentage tariefcorrecties</t>
  </si>
  <si>
    <t>Eerste kwartaal</t>
  </si>
  <si>
    <t>Tweede kwartaal</t>
  </si>
  <si>
    <t>Derde kwartaal</t>
  </si>
  <si>
    <t>Vierde kwartaal</t>
  </si>
  <si>
    <t>Frontier shift TenneT</t>
  </si>
  <si>
    <t>X-factor TenneT</t>
  </si>
  <si>
    <t>X-factor methodebesluit 2017-2021</t>
  </si>
  <si>
    <t>Overige parameters</t>
  </si>
  <si>
    <t>Vastrecht</t>
  </si>
  <si>
    <t>kW
gecontracteerd
per jaar</t>
  </si>
  <si>
    <t>kW max
per maand</t>
  </si>
  <si>
    <t>kW
gecontracteerd
per jaar
(max 600 uur)</t>
  </si>
  <si>
    <t>EHS</t>
  </si>
  <si>
    <t>#</t>
  </si>
  <si>
    <t>HS</t>
  </si>
  <si>
    <t>Berekening CPI mutatie over meerdere jaren</t>
  </si>
  <si>
    <t>Mutatie van bedrag in oorspronkelijk prijspeil naar boekjaar</t>
  </si>
  <si>
    <t>Voor bedragen oorspronkelijk in prijspeil 2010</t>
  </si>
  <si>
    <t>Voor bedragen oorspronkelijk in prijspeil 2011</t>
  </si>
  <si>
    <t>Voor bedragen oorspronkelijk in prijspeil 2012</t>
  </si>
  <si>
    <t>Voor bedragen oorspronkelijk in prijspeil 2013</t>
  </si>
  <si>
    <t>Voor bedragen oorspronkelijk in prijspeil 2014</t>
  </si>
  <si>
    <t>Voor bedragen oorspronkelijk in prijspeil 2015</t>
  </si>
  <si>
    <t>Voor bedragen oorspronkelijk in prijspeil 2016</t>
  </si>
  <si>
    <t>Voor bedragen oorspronkelijk in prijspeil 2017</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</si>
  <si>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</si>
  <si>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</si>
  <si>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</si>
  <si>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</si>
  <si>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Berekening mutatie frontier shift over meerdere jaren</t>
  </si>
  <si>
    <t>Mutatie van bedrag in oorspronkelijk efficiëntieniveau naar efficiëntieniveau van boekjaar</t>
  </si>
  <si>
    <t>Boekjaar waarvoor mutatie frontier shift berekend wordt:</t>
  </si>
  <si>
    <t>Voor bedragen oorspronkelijk in efficiëntieniveau 2014</t>
  </si>
  <si>
    <t>Voor bedragen oorspronkelijk in efficiëntieniveau 2015</t>
  </si>
  <si>
    <t>Voor bedragen oorspronkelijk in efficiëntieniveau 2016</t>
  </si>
  <si>
    <t>Voor bedragen oorspronkelijk in efficiëntieniveau 2017</t>
  </si>
  <si>
    <t>Voor bedragen oorspronkelijk in efficiëntieniveau 2018</t>
  </si>
  <si>
    <t>Voor bedragen oorspronkelijk in efficiëntieniveau 2019</t>
  </si>
  <si>
    <t>Voor bedragen oorspronkelijk in efficiëntieniveau 2020</t>
  </si>
  <si>
    <t>Dekking kosten door tariefdragers TAVT:</t>
  </si>
  <si>
    <t>kW gecontracteerd (min/max 600)</t>
  </si>
  <si>
    <t>kW max (per maand/week)</t>
  </si>
  <si>
    <t>Verhouding tarieven TAVT:</t>
  </si>
  <si>
    <t>kW max per week : kW max per maand</t>
  </si>
  <si>
    <t>Kostentoerekening EHS aan HS</t>
  </si>
  <si>
    <t>(Afname van HS af EHS) / (Afname van HS af EHS + Afname verbruikers op EHS);</t>
  </si>
  <si>
    <t>Verschil</t>
  </si>
  <si>
    <t>Tariefinkomsten EHS volgens de TarievenCode</t>
  </si>
  <si>
    <t>Tarieven EHS volgens de TarievenCode afgerond</t>
  </si>
  <si>
    <t>Tariefinkomsten EHS  volgens de TarievenCode</t>
  </si>
  <si>
    <t>Verschil door afronden tarieven</t>
  </si>
  <si>
    <t>50% kW max per maand/week</t>
  </si>
  <si>
    <t>Tariefinkomsten HS volgens de TarievenCode</t>
  </si>
  <si>
    <t>Tarieven HS volgens de TarievenCode afgerond</t>
  </si>
  <si>
    <t>Verschil niet en wel afronden tarieven</t>
  </si>
  <si>
    <t>EUR, pp 2017</t>
  </si>
  <si>
    <t>EUR, pp 2018</t>
  </si>
  <si>
    <t>EUR, pp 2019</t>
  </si>
  <si>
    <t>Correctie omzet aansluitdienst en meterhuur</t>
  </si>
  <si>
    <t>Data ten behoeve van inzet veilinggelden</t>
  </si>
  <si>
    <t>Inkoopkosten</t>
  </si>
  <si>
    <t>Uitvoeringskosten</t>
  </si>
  <si>
    <t>InterTSO compensation</t>
  </si>
  <si>
    <t>Netto ontvangen veilinggelden per jaar</t>
  </si>
  <si>
    <t>Efficiënte begininkomsten</t>
  </si>
  <si>
    <t>- onderdeel transporttaken: beheerkosten EHS-netten</t>
  </si>
  <si>
    <t>- onderdeel transporttaken: schatting energie en vermogen transport EHS-netten</t>
  </si>
  <si>
    <t>- onderdeel transporttaken: beheerkosten HS-netten</t>
  </si>
  <si>
    <t>- onderdeel transporttaken: schatting energie en vermogen transport HS-netten</t>
  </si>
  <si>
    <t>kW max per maand</t>
  </si>
  <si>
    <t>kW gecontracteerd per jaar (max 600 uur)</t>
  </si>
  <si>
    <t>Beheerkosten</t>
  </si>
  <si>
    <t>Voor bedragen oorspronkelijk in prijspeil 2018</t>
  </si>
  <si>
    <t>Voor bedragen oorspronkelijk in efficiëntieniveau 2013</t>
  </si>
  <si>
    <t xml:space="preserve">Berekening totale inkomsten </t>
  </si>
  <si>
    <t>Stap 1: Totale inkomsten exclusief tariefcorrecties</t>
  </si>
  <si>
    <t>Stap 2: Tariefcorrecties</t>
  </si>
  <si>
    <t xml:space="preserve">Stap 3: Totale inkomsten </t>
  </si>
  <si>
    <t>Correcties op grond van de algemene bevoegdheid</t>
  </si>
  <si>
    <t>Correcties op grond van een specifieke wettelijke bevoegdheid</t>
  </si>
  <si>
    <t>Correctie InterTSO compensation</t>
  </si>
  <si>
    <t>Correctie inkomsten transportdiensten EHS</t>
  </si>
  <si>
    <t>Correctie inkomsten transportdiensten HS</t>
  </si>
  <si>
    <t>Omzet aansluitdienst en meterhuur</t>
  </si>
  <si>
    <t>Controle tarieven</t>
  </si>
  <si>
    <t>Berekening van correcties</t>
  </si>
  <si>
    <t>Inkoopkosten transport bij regionale netbeheerder(s)</t>
  </si>
  <si>
    <t>Correctie inkoopkosten transport bij regionale netbeheerder(s)</t>
  </si>
  <si>
    <t>Berekening omzetcorrectie</t>
  </si>
  <si>
    <t>Toevoegingen RCR-investeringen</t>
  </si>
  <si>
    <t>Consumenten Prijs Index</t>
  </si>
  <si>
    <t>CPI als jaarlijks percentage</t>
  </si>
  <si>
    <t xml:space="preserve">ACM gebruikt dit rentepercentage voor de vergoeding van de tijdwaarde van geld in het geval van het toekennen van correcties in de tarieven die volgen uit nacalculaties over eerdere jaren. </t>
  </si>
  <si>
    <t>Zowel de heffingsrente als de belastingrente werden/worden per kwartaal vastgesteld. ACM berekent de jaarlijkse percentages van 1 juli tot 1 juli in het volgende jaar.</t>
  </si>
  <si>
    <t>Dekking kosten door tariefdragers TAVT</t>
  </si>
  <si>
    <t>Verhouding tarieven TAVT</t>
  </si>
  <si>
    <t>kW gecontracteerd max 600: kW gecontracteerd min 600</t>
  </si>
  <si>
    <t>kW max per week: kW max per maand</t>
  </si>
  <si>
    <t>Inzet veilinggelden in 2017</t>
  </si>
  <si>
    <t>Inzet veilinggelden in 2018</t>
  </si>
  <si>
    <t>Inzet veilinggelden in 2019</t>
  </si>
  <si>
    <t>Inzet veilinggelden in 2020</t>
  </si>
  <si>
    <t>Inzet veilinggelden in 2021</t>
  </si>
  <si>
    <t>kW max
per week
(max 600 uur)</t>
  </si>
  <si>
    <t>kW max per week 
(max 600 uur)</t>
  </si>
  <si>
    <t>Uitkomst</t>
  </si>
  <si>
    <t>Berekening van prognoses</t>
  </si>
  <si>
    <t>Totale inkomsten op basis van wettelijke formule</t>
  </si>
  <si>
    <t>Realisatie inkoopkosten transport bij regionale netbeheerder(s) 2013</t>
  </si>
  <si>
    <t>Realisatie inkoopkosten transport bij regionale netbeheerder(s) 2014</t>
  </si>
  <si>
    <t>Realisatie inkoopkosten transport bij regionale netbeheerder(s) 2015</t>
  </si>
  <si>
    <t>Realisatie InterTSO compensation 2013</t>
  </si>
  <si>
    <t>Realisatie InterTSO compensation 2014</t>
  </si>
  <si>
    <t>Realisatie InterTSO compensation 2015</t>
  </si>
  <si>
    <t>EUR, pp 2013</t>
  </si>
  <si>
    <t>EUR, pp 2014</t>
  </si>
  <si>
    <t>EUR, pp 2015</t>
  </si>
  <si>
    <t>Realisatie inkoopkosten transport bij regionale netbeheerder(s)</t>
  </si>
  <si>
    <t>Realisatie InterTSO compensation</t>
  </si>
  <si>
    <t>Verschil tussen toegestane tariefinkomsten en gerealiseerde tariefinkomsten</t>
  </si>
  <si>
    <t>Boekjaar waarvoor CPI-mutatie berekend wordt:</t>
  </si>
  <si>
    <t>CBS Statline</t>
  </si>
  <si>
    <t>Hyperlink</t>
  </si>
  <si>
    <t>Belastingdienst</t>
  </si>
  <si>
    <t>Frontier shift methodebesluit 2014-2016</t>
  </si>
  <si>
    <t>Frontier shift methodebesluit 2017-2021</t>
  </si>
  <si>
    <t>2e Wijziging Methodebesluit TenneT 2014-2016 Transport</t>
  </si>
  <si>
    <t>Tarievencode elektriciteit</t>
  </si>
  <si>
    <t>RCR-module</t>
  </si>
  <si>
    <t>Rekenmodule HS-installatie Deltius</t>
  </si>
  <si>
    <t>Berekening tariefcorrectie Deltius op invulmodule TS-OD(i)-16-10</t>
  </si>
  <si>
    <t>Rekenmodule RCR-investeringen</t>
  </si>
  <si>
    <t xml:space="preserve">Inkomstenberekening tarieven TenneT elektriciteit 2017 </t>
  </si>
  <si>
    <t>Omzetcorrectie EHS</t>
  </si>
  <si>
    <t>Omzetcorrectie HS</t>
  </si>
  <si>
    <t xml:space="preserve">Bevoegdhedenovereenkomst ACM en TenneT veilingmiddelen </t>
  </si>
  <si>
    <t>Bevoegdhedenovereenkomst veilingmiddelen</t>
  </si>
  <si>
    <t>EUR, pp boekjaar</t>
  </si>
  <si>
    <t>EUR, pp 2020</t>
  </si>
  <si>
    <t>EUR, pp 2021</t>
  </si>
  <si>
    <t>kW gecontracteerd per jaar</t>
  </si>
  <si>
    <t>N.v.t.</t>
  </si>
  <si>
    <t>Transporttaak</t>
  </si>
  <si>
    <t>Systeemtaak</t>
  </si>
  <si>
    <t>Restitutie systeemdienstentarieven n.a.v. DOW-uitspraak: claimperiode vóór 1-7-2011</t>
  </si>
  <si>
    <t>Restitutie systeemdienstentarieven n.a.v. DOW-uitspraak: claimperiode na 1-7-2011</t>
  </si>
  <si>
    <t>Correctie inkomsten systeemdiensten 2011-2014</t>
  </si>
  <si>
    <t>kW gecontracteerd (min/max 600 uur)</t>
  </si>
  <si>
    <t>kW gecontracteerd max 600 uur : kWgecontracteerd min 600 uur</t>
  </si>
  <si>
    <t>50% kW gecontracteerd</t>
  </si>
  <si>
    <t>50% kW max per maand</t>
  </si>
  <si>
    <t>Totale inkomsten EHS TOVT</t>
  </si>
  <si>
    <t>Totale inkomsten EHS TAVT</t>
  </si>
  <si>
    <t>Totale inkomsten EHS TAVT uit EHS</t>
  </si>
  <si>
    <t>Totale inkomsten HS TOVT</t>
  </si>
  <si>
    <t>Totale inkomsten HS TAVT (zonder EHS)</t>
  </si>
  <si>
    <t>Totale inkomsten HS TAVT (met EHS)</t>
  </si>
  <si>
    <t>Tarieven EHS volgens de TarievenCode</t>
  </si>
  <si>
    <t xml:space="preserve">Tarieven HS volgens de TarievenCode </t>
  </si>
  <si>
    <t>Voldoet het tarievenvoorstel van TenneT?</t>
  </si>
  <si>
    <t>Overige opmerkingen</t>
  </si>
  <si>
    <t>Inputs</t>
  </si>
  <si>
    <t>Berekeningen</t>
  </si>
  <si>
    <t>Resultaten</t>
  </si>
  <si>
    <t>Hulpberekeningen</t>
  </si>
  <si>
    <t>Tabblad 1 - Titelblad</t>
  </si>
  <si>
    <t>Tabblad 2 - Toelichting bij dit bestand</t>
  </si>
  <si>
    <t>Tabblad 3 - Bronnenoverzicht en specifieke toepassingen</t>
  </si>
  <si>
    <t>Tabblad 6 - Correcties en prognoses</t>
  </si>
  <si>
    <t>Tabblad 7 - Toevoeging geschatte kosten RCR-investeringen</t>
  </si>
  <si>
    <t>Tabblad 12 - Berekening op basis van parameters</t>
  </si>
  <si>
    <t>Tabblad 13 - Inkomsten op basis van wettelijke formule</t>
  </si>
  <si>
    <t>Tabblad 14 - Budget systeemtaken</t>
  </si>
  <si>
    <t>Postbus 16326</t>
  </si>
  <si>
    <t>2500 BH DEN HAAG</t>
  </si>
  <si>
    <t>Tab 6_Correcties en prognoses</t>
  </si>
  <si>
    <t>Tab 7_Toevoegingen kosten RCR</t>
  </si>
  <si>
    <t>Tab 8_Voorstel tarieven en RV</t>
  </si>
  <si>
    <t>Tab 12_Berekening parameters</t>
  </si>
  <si>
    <t>Tab 13_Wettelijke formule</t>
  </si>
  <si>
    <t>Tab 14_Budget systeemtaken</t>
  </si>
  <si>
    <t>Tab 9_Parameters</t>
  </si>
  <si>
    <t>Tab 10_Brondata</t>
  </si>
  <si>
    <t>Tab 11_Tarieven, RV en omzet</t>
  </si>
  <si>
    <t xml:space="preserve">Tabblad 9 - Parameters </t>
  </si>
  <si>
    <t>Tabblad 10 - Brondata</t>
  </si>
  <si>
    <t>Netto veilinggelden</t>
  </si>
  <si>
    <t>Zijn de tarieven conform voorstel TenneT?</t>
  </si>
  <si>
    <t>Voldoet het voorstel voor de tarieven?</t>
  </si>
  <si>
    <t>ja/nee</t>
  </si>
  <si>
    <t>kW gecontracteerd
per jaar
(max 600 uur)</t>
  </si>
  <si>
    <t>kW gecontracteerd
per jaar</t>
  </si>
  <si>
    <t>Reële WACC vóór belastingen bestaand vermogen</t>
  </si>
  <si>
    <t>WACC</t>
  </si>
  <si>
    <t xml:space="preserve">Bedrag is inclusief belastingrente. </t>
  </si>
  <si>
    <t>Controles</t>
  </si>
  <si>
    <t>Controle 2: veroorzaken de verwachte volumina een wijziging van meer dan 1% in de inkomsten?</t>
  </si>
  <si>
    <t>Toevoeging als bedoeld in artikel 41b, eerste en derde lid, van de E-wet</t>
  </si>
  <si>
    <t>Deze correctie verrekent de inkomsten op het EHS netvlak als gevolgd van wijzigingen in de inkomsten van de transportdiensten in afgelopen jaren. Wijzigingen kunnen bijvoorbeeld plaatsvinden door het wijzigen van een factuur of als gevolg van een geschilprocedure.</t>
  </si>
  <si>
    <t>Deze correctie verrekent de inkomsten als gevolg van de afrekening van voorschotten over de periode 2011-2014, waarbij meetdata pas laat is ontvangen van de klanten.</t>
  </si>
  <si>
    <t xml:space="preserve">In het methodebesluit systeemtaken 2014-2016 heeft de ACM geconcludeerd dat, ten gevolge van de uitspraak van het CBb van 23 juli 2012 inzake DOW Benelux B.V. bepaalde afnemers in het verleden onverschuldigde systeemdiensten hebben betaald. Deze correctie verrekent de wijzigingen in inkomsten uit de systeemdienstentarieven omdat TenneT deze afnemers dient te restitueren. </t>
  </si>
  <si>
    <t>Tabblad 8 - Voorstel tarieven en rekenvolumina</t>
  </si>
  <si>
    <t>Controle en berekening rekenvolumina 2019</t>
  </si>
  <si>
    <t>Zijn de verwachte tariefinkomsten minder of gelijk aan de toegestane tariefinkomsten?</t>
  </si>
  <si>
    <t xml:space="preserve">minder of gelijk aan de toegestane tariefinkomsten? </t>
  </si>
  <si>
    <t>Tariefinkomsten op basis van niet-afgeronde tarieven</t>
  </si>
  <si>
    <t>Tariefinkomsten op basis van afgeronde tarieven</t>
  </si>
  <si>
    <t>Frontier shift periode 2014-2016</t>
  </si>
  <si>
    <t>Frontier shift periode 2017-2021</t>
  </si>
  <si>
    <t>X-factor periode 2017-2021</t>
  </si>
  <si>
    <t>Tarievencode elektricteit, artikel 3.7.5 a</t>
  </si>
  <si>
    <t>Tarievencode elektricteit, artikel 3.7.5 b</t>
  </si>
  <si>
    <t>Tarievencode elektricteit, artikel 3.7.5a a</t>
  </si>
  <si>
    <t>Tarievencode elektriciteit, artikel 3.7.5a b</t>
  </si>
  <si>
    <r>
      <rPr>
        <b/>
        <sz val="10"/>
        <rFont val="Arial"/>
        <family val="2"/>
      </rPr>
      <t>Beschrijving berekening</t>
    </r>
    <r>
      <rPr>
        <sz val="10"/>
        <rFont val="Arial"/>
        <family val="2"/>
      </rPr>
      <t xml:space="preserve">
Op dit tabblad berekent de ACM samengestelde percentages voor de toepassing van de CPI, het rentepercentage tariefcorrecties en de frontier shift. Percentages worden weergegeven met één decimaal, maar kunnen uit meer decimalen bestaan. Bij de toepassing van deze samengestelde percentages wordt niet tussentijds afgerond. </t>
    </r>
  </si>
  <si>
    <t>Aantal jaren waarover netto veilinggelden worden verdeeld</t>
  </si>
  <si>
    <t>Bevoegdhedenovereenkomst veilingmiddelen, p. 5, rnnr. 2.6</t>
  </si>
  <si>
    <t>Bevoegdhedenovereenkomsten veilingmiddelen, p. 4, rnnr 2.5</t>
  </si>
  <si>
    <t>Beschikbaar voor teruggave in 2017-2020 per jaar</t>
  </si>
  <si>
    <t>Beschikbaar voor teruggave in 2021-2024 per jaar</t>
  </si>
  <si>
    <t>De bedragen voor 2022-2024 zijn niet opgenomen</t>
  </si>
  <si>
    <t>Verschil in de inkomsten groter dan 1%?</t>
  </si>
  <si>
    <t>Tarievencode Elektriciteit 3.6.3 a</t>
  </si>
  <si>
    <t>Als de verwachte tariefinkomsten hoger zijn dan de toegestane tariefinkomsten, dan voldoet het voorstel niet.</t>
  </si>
  <si>
    <t>In deze rij wordt voor elke tariefdrager het tarief afgeleid uit het vastrechttarief en de tarievencodebepalingen. De formule verschilt per tariefdrager.</t>
  </si>
  <si>
    <t>Dit getal mag niet positief zijn, indien dit wel het geval, dan handmatig een afgerond tarief aanpassen.</t>
  </si>
  <si>
    <t>Berekening b: wat zijn de HS-tarieven volgens de TarievenCode?</t>
  </si>
  <si>
    <t xml:space="preserve">Controle berekening: zijn de tariefinkomsten op basis van de tarieven volgens de TarievenCode </t>
  </si>
  <si>
    <t>Rekenvolumina 2019</t>
  </si>
  <si>
    <t>Zijn de rekenvolumina conform voorstel TenneT?</t>
  </si>
  <si>
    <t>Berekening a: wat zijn de EHS-tarieven volgens de TarievenCode?</t>
  </si>
  <si>
    <t>Controle: verwachte tariefinkomsten minder of gelijk aan toegestane inkomsten?</t>
  </si>
  <si>
    <r>
      <rPr>
        <b/>
        <sz val="10"/>
        <rFont val="Arial"/>
        <family val="2"/>
      </rPr>
      <t>Beschrijving gegevens</t>
    </r>
    <r>
      <rPr>
        <sz val="10"/>
        <rFont val="Arial"/>
        <family val="2"/>
      </rPr>
      <t xml:space="preserve">
Op dit blad staan inputgegevens voor relevante parameters in de berekening van de totale inkomsten en de tarieven. Deze parameters betreffen achtereenvolgens: CPI, rentepercentage tariefcorrecties, WACC, frontier shift, x-factoren en overige parameters.</t>
    </r>
  </si>
  <si>
    <t>Tabblad 11 - Tarieven, rekenvolumina en omzet</t>
  </si>
  <si>
    <t>Rekenmodule RCR-investeringen, Rekenmodule HS-installatie Deltius</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</si>
  <si>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</si>
  <si>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</si>
  <si>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Voor de toepassing van dit CPI-percentage in de wettelijke formule moet dit getal nog vermenigvuldigd worden met 100.</t>
  </si>
  <si>
    <t>De zachtroze cellen betreffen voorlopige CPI-cijfers voor 2020 en 2021 zoals gehanteerd in het X-factorbesluit 2017-2021.</t>
  </si>
  <si>
    <t>Stelt de ACM de rekenvolumina gewijzigd vast?</t>
  </si>
  <si>
    <t>e-mail : DE-tarievenbesluiten@acm.nl</t>
  </si>
  <si>
    <t>Rekenmodule netbeheerder van het landelijke hoogspanningsnet 2020</t>
  </si>
  <si>
    <t>Tarievenbesluit TenneT TSO B.V. 2020</t>
  </si>
  <si>
    <t>Nee</t>
  </si>
  <si>
    <t>ACM/19/035592</t>
  </si>
  <si>
    <t>Disclaimer</t>
  </si>
  <si>
    <t>Dit bestand is bedoeld ter verduidelijking van de berekeningen door ACM. Aan dit bestand kunnen geen rechten worden ontleend.</t>
  </si>
  <si>
    <t>Deze rekenmodule wordt gebruikt bij het vaststellen van het Tarievenbesluit TenneT 2020.</t>
  </si>
  <si>
    <t>Deze rekenmodule bevat alle gegevens die nodig zijn om de tarieven voor het landelijk hoogspanningsnet te berekenen voor het jaar 2020.</t>
  </si>
  <si>
    <t>Tab 4_Totale inkomsten 2020</t>
  </si>
  <si>
    <t>Tab 5_Tarieven en RV 2020</t>
  </si>
  <si>
    <t>Tabblad 4 - Totale inkomsten TenneT 2020</t>
  </si>
  <si>
    <r>
      <rPr>
        <b/>
        <sz val="10"/>
        <rFont val="Arial"/>
        <family val="2"/>
      </rPr>
      <t>Beschrijving resultaat</t>
    </r>
    <r>
      <rPr>
        <sz val="10"/>
        <rFont val="Arial"/>
        <family val="2"/>
      </rPr>
      <t xml:space="preserve">
Dit tabblad is een overzicht van de totale inkomsten 2020 van de beheerder van het landelijke hoogspanningsnet, TenneT TSO B.V. De ACM bepaalt de totale inkomsten inclusief tariefcorrecties in drie stappen:
1: de ACM berekent de totale inkomsten exclusief tariefcorrecties;
2: de ACM bepaalt de tariefcorrecties;
3: de berekening van de totale inkomsten inclusief tariefcorrecties.
</t>
    </r>
    <r>
      <rPr>
        <i/>
        <sz val="10"/>
        <rFont val="Arial"/>
        <family val="2"/>
      </rPr>
      <t xml:space="preserve">
Toelichting bij bijzonderheden</t>
    </r>
    <r>
      <rPr>
        <sz val="10"/>
        <rFont val="Arial"/>
        <family val="2"/>
      </rPr>
      <t xml:space="preserve">
Bedragen zijn inclusief het rentepercentage voor tariefcorrecties.
</t>
    </r>
  </si>
  <si>
    <t>Totale inkomsten op basis van wettelijke formule 2020</t>
  </si>
  <si>
    <t>Toevoeging HS-installatie Deltius 2020</t>
  </si>
  <si>
    <t>Toevoeging vermogenskosten RCR-investeringen 2020</t>
  </si>
  <si>
    <t>Toevoeging totale kosten RCR-investeringen 2020</t>
  </si>
  <si>
    <t>Budget systeemtaken 2020</t>
  </si>
  <si>
    <r>
      <rPr>
        <b/>
        <sz val="10"/>
        <rFont val="Arial"/>
        <family val="2"/>
      </rPr>
      <t>Beschrijving gegevens</t>
    </r>
    <r>
      <rPr>
        <sz val="10"/>
        <rFont val="Arial"/>
        <family val="2"/>
      </rPr>
      <t xml:space="preserve">
Op dit tabblad vult TenneT de gerealiseerde volumina 2018 in en de voorgestelde tarieven en rekenvolumina voor 2020. De rekenvolumina representeren de afzet die in een jaar te verwachten is. 
De controles hieronder gaan na of de getallen die TenneT invult voor respectievelijk de tarieven en de rekenvolumina voldoen aan de Tarievencode Elektriciteit en de bepalingen in het methodebesluit 2017-2021.
</t>
    </r>
  </si>
  <si>
    <t>Zijn de voorgestelde volumina gelijk aan de realisaties 2018?</t>
  </si>
  <si>
    <t>Realisatie volumina 2018</t>
  </si>
  <si>
    <t>Realisatie volumina EHS 2018</t>
  </si>
  <si>
    <t>Realisatie volumina HS 2018</t>
  </si>
  <si>
    <t>Voorstel tarieven en rekenvolumina 2020</t>
  </si>
  <si>
    <t>Voorstel tarieven 2020</t>
  </si>
  <si>
    <t>Voorstel rekenvolumina 2020</t>
  </si>
  <si>
    <r>
      <rPr>
        <b/>
        <sz val="10"/>
        <rFont val="Arial"/>
        <family val="2"/>
      </rPr>
      <t>Beschrijving gegevens</t>
    </r>
    <r>
      <rPr>
        <sz val="10"/>
        <rFont val="Arial"/>
        <family val="2"/>
      </rPr>
      <t xml:space="preserve">
Op dit tabblad vult TenneT gegevens in ten behoeve van de berekening van de totale inkomsten in 2020.
De ACM schrijft een aantal correcties en prognoses voor die TenneT in moet vullen. In de groene cellen is er ruimte voor TenneT om hier extra correcties en/of prognoses aan toe te voegen.</t>
    </r>
  </si>
  <si>
    <t>Correctie omzet aansluitdienst en meterhuur EHS 2018</t>
  </si>
  <si>
    <t>Prognose omzet aansluitdienst en meterhuur EHS 2020</t>
  </si>
  <si>
    <t>Deze correctie verrekent de inkomsten op het EHS netvlak als gevolg van een verschil tussen de realisatie en de prognose van de aansluitdienst en meterhuur in 2018.</t>
  </si>
  <si>
    <t>Correctie omzet aansluitdienst en meterhuur HS 2018</t>
  </si>
  <si>
    <t>Prognose omzet aansluitdienst en meterhuur HS 2020</t>
  </si>
  <si>
    <t>Deze correctie verrekent de inkomsten op het HS netvlak als gevolg van een verschil tussen de realisatie en de prognose van de aansluitdienst en meterhuur in 2018.</t>
  </si>
  <si>
    <t>Vrijval saldo onbalans 2019</t>
  </si>
  <si>
    <t>CPI 2018 → 2020</t>
  </si>
  <si>
    <t>Rentepercentage tariefcorrecties 2019→ 2020</t>
  </si>
  <si>
    <t>Toevoeging budget systeemtaken 2020</t>
  </si>
  <si>
    <t>Toevoeging prognose inkoopkosten transport bij regionale netbeheerder(s) 2020</t>
  </si>
  <si>
    <t>Toevoeging prognose InterTSO compensation 2020</t>
  </si>
  <si>
    <t>Totale inkomsten exclusief tariefcorrecties 2020</t>
  </si>
  <si>
    <t>Correctie omzet aansluitdienst en meterhuur 2018 in 2020</t>
  </si>
  <si>
    <t>Prognose omzet aansluitdienst en meterhuur 2020</t>
  </si>
  <si>
    <t>Prognose inkoopkosten transport bij regionale netbeheerders 2020</t>
  </si>
  <si>
    <t>Prognose InterTSO compensation 2020</t>
  </si>
  <si>
    <t>Op dit tabblad staan per jaar de gegevens die de ACM gebruikt voor de berekening van de totale inkomsten van TenneT in 2020. Bij elk gegeven is een bron aangegeven.</t>
  </si>
  <si>
    <t>Prognose inkoopkosten transport bij regionale netbeheerder(s) 2018</t>
  </si>
  <si>
    <t>Realisatie inkoopkosten transport bij regionale netbeheerder(s) 2018</t>
  </si>
  <si>
    <t>Prognose InterTSO compensation 2018</t>
  </si>
  <si>
    <t>Realisatie InterTSO compensation 2018</t>
  </si>
  <si>
    <t>InterTSO compensation 2018</t>
  </si>
  <si>
    <t>CPI 2013 → 2020</t>
  </si>
  <si>
    <t>CPI 2014 → 2020</t>
  </si>
  <si>
    <t>CPI 2015 → 2020</t>
  </si>
  <si>
    <r>
      <rPr>
        <b/>
        <sz val="10"/>
        <rFont val="Arial"/>
        <family val="2"/>
      </rPr>
      <t>Beschrijving berekening</t>
    </r>
    <r>
      <rPr>
        <sz val="10"/>
        <rFont val="Arial"/>
        <family val="2"/>
      </rPr>
      <t xml:space="preserve">
Op dit tabblad berekent de ACM hoeveel veilinggelden TenneT moet inzetten ter verlaging van de transporttarieven in 2020. Het bedrag aan netto ontvangen veilinggelden wordt over een aantal jaren verdeeld om tariefschommelingen te beperken.
</t>
    </r>
    <r>
      <rPr>
        <i/>
        <sz val="10"/>
        <rFont val="Arial"/>
        <family val="2"/>
      </rPr>
      <t xml:space="preserve">
Toelichting bij bijzonderheden</t>
    </r>
    <r>
      <rPr>
        <sz val="10"/>
        <rFont val="Arial"/>
        <family val="2"/>
      </rPr>
      <t xml:space="preserve">
Op de inzet veilinggelden wordt niet het rentepercentage voor tariefcorrecties toegepast omdat de netto ontvangen veilinggelden al inclusief de netto rentebaten zijn.</t>
    </r>
  </si>
  <si>
    <t>Totale inkomsten 2020</t>
  </si>
  <si>
    <t>Totaal tariefcorrecties 2020</t>
  </si>
  <si>
    <t>Inzet veilinggelden 2020</t>
  </si>
  <si>
    <t>Omzetcorrectie op basis van volumeverschillen 2018 in 2020</t>
  </si>
  <si>
    <t>Correctie InterTSO compensation 2018 in 2020</t>
  </si>
  <si>
    <t>Correctie inkoopkosten transport bij regionale netbeheerders(s) 2018 in 2020</t>
  </si>
  <si>
    <t>Correctie systeemdienstentarieven n.a.v. DOW-uitspraak: claimperiode na 1-7-2011 in 2020</t>
  </si>
  <si>
    <t>Correctie systeemdienstentarieven n.a.v. DOW-uitspraak: claimperiode vóór 1-7-2011 in 2020</t>
  </si>
  <si>
    <t>Correctie inkomsten systeemdiensten 2011-2014 in 2020</t>
  </si>
  <si>
    <t>Correctie omzet aansluitdienst en meterhuur 2018</t>
  </si>
  <si>
    <t>Rentepercentage tariefcorrecties 2018 → 2020</t>
  </si>
  <si>
    <t>EUR, 2020</t>
  </si>
  <si>
    <t>De inkomsten voor 2021 betreffen een schatting bedoeld ter indicatie.</t>
  </si>
  <si>
    <t>Verschil tussen realisatie en prognose 2018</t>
  </si>
  <si>
    <t>EUR, 2018</t>
  </si>
  <si>
    <r>
      <rPr>
        <b/>
        <sz val="10"/>
        <rFont val="Arial"/>
        <family val="2"/>
      </rPr>
      <t>Beschrijving berekening</t>
    </r>
    <r>
      <rPr>
        <sz val="10"/>
        <rFont val="Arial"/>
        <family val="2"/>
      </rPr>
      <t xml:space="preserve">
Op dit tabblad berekent de ACM de correcties voor de omzet aansluitdienst en meterhuur 2018 en voor de inkoopkosten transport naastgelegen netten 2018. Die laatste categorie omvat de inkoopkosten transport bij regionale netbeheerder(s) en de InterTSO compensation. De ACM berekent telkens het verschil tussen de realisatie en de prognose, vervolgens wordt dit bedrag met het rentepercentage tariefcorrecties aangepast.
</t>
    </r>
    <r>
      <rPr>
        <i/>
        <sz val="10"/>
        <rFont val="Arial"/>
        <family val="2"/>
      </rPr>
      <t xml:space="preserve">
Toelichting bij bijzonderheden</t>
    </r>
    <r>
      <rPr>
        <sz val="10"/>
        <rFont val="Arial"/>
        <family val="2"/>
      </rPr>
      <t xml:space="preserve">
Bedragen in de berekening zijn inclusief het rentepercentage voor tariefcorrecties.</t>
    </r>
  </si>
  <si>
    <r>
      <t>Correctie omzet aansluitdienst en meterhuur</t>
    </r>
    <r>
      <rPr>
        <sz val="10"/>
        <color rgb="FFFF0000"/>
        <rFont val="Arial"/>
        <family val="2"/>
      </rPr>
      <t xml:space="preserve"> </t>
    </r>
    <r>
      <rPr>
        <sz val="10"/>
        <rFont val="Arial"/>
        <family val="2"/>
      </rPr>
      <t>HS</t>
    </r>
  </si>
  <si>
    <t>Rentepercentage tariefcorrecties 2011 → 2020</t>
  </si>
  <si>
    <t>Rentepercentage tariefcorrecties 2012 → 2020</t>
  </si>
  <si>
    <t>Rentepercentage tariefcorrecties 2013 → 2020</t>
  </si>
  <si>
    <t>Rentepercentage tariefcorrecties 2014 → 2020</t>
  </si>
  <si>
    <t>Rentepercentage tariefcorrecties 2015 → 2020</t>
  </si>
  <si>
    <t>Rentepercentage tariefcorrecties 2016 → 2020</t>
  </si>
  <si>
    <t>Rentepercentage tariefcorrecties 2017 → 2020</t>
  </si>
  <si>
    <t>Rentepercentage tariefcorrecties 2019 → 2020</t>
  </si>
  <si>
    <t>Correctie omzet aansluitdienst en meterhuur HS</t>
  </si>
  <si>
    <t>Correctie inkomsten transportdiensten EHS in 2020</t>
  </si>
  <si>
    <t>Correctie inkomsten transportdiensten HS in 2020</t>
  </si>
  <si>
    <t>Correctie omzet aansluitdienst en meterhuur HS in 2020</t>
  </si>
  <si>
    <t>Tabblad 5 - Tarieven en rekenvolumina 2020</t>
  </si>
  <si>
    <r>
      <rPr>
        <b/>
        <sz val="10"/>
        <rFont val="Arial"/>
        <family val="2"/>
      </rPr>
      <t>Beschrijving resultaat</t>
    </r>
    <r>
      <rPr>
        <sz val="10"/>
        <rFont val="Arial"/>
        <family val="2"/>
      </rPr>
      <t xml:space="preserve">
Op dit tabblad geeft de ACM de tarieven en rekenvolumina per tariefdrager voor 2020 weer.
De controles hieronder gaan na of de tarieven en rekenvolumina die in dit resultaat worden weergegeven gelijk zijn aan de tarieven en rekenvolumina die TenneT heeft voorgesteld.</t>
    </r>
  </si>
  <si>
    <t>Voorstel Tennet voor 2020</t>
  </si>
  <si>
    <t>Tarieven 2020</t>
  </si>
  <si>
    <t>Rekenvolumina 2020</t>
  </si>
  <si>
    <r>
      <rPr>
        <b/>
        <sz val="10"/>
        <rFont val="Arial"/>
        <family val="2"/>
      </rPr>
      <t>Beschrijving berekening</t>
    </r>
    <r>
      <rPr>
        <sz val="10"/>
        <rFont val="Arial"/>
        <family val="2"/>
      </rPr>
      <t xml:space="preserve">
Op dit tabblad staan per tariefdrager de tarieven 2018, rekenvolumina 2019 en totale inkomsten 2018, uitgesplitst voor de netvlakken EHS en HS. Bij elk gegeven is een bron aangegeven.</t>
    </r>
  </si>
  <si>
    <t>Tarieven 2018</t>
  </si>
  <si>
    <t>Totale inkomsten EHS TOVT 2018</t>
  </si>
  <si>
    <t>Totale inkomsten EHS TAVT 2018, afname EHS</t>
  </si>
  <si>
    <t>Totale inkomsten HS TOVT 2018</t>
  </si>
  <si>
    <t>Totale inkomsten HS TAVT 2018</t>
  </si>
  <si>
    <r>
      <rPr>
        <b/>
        <sz val="10"/>
        <rFont val="Arial"/>
        <family val="2"/>
      </rPr>
      <t>Beschrijving berekening</t>
    </r>
    <r>
      <rPr>
        <sz val="10"/>
        <rFont val="Arial"/>
        <family val="2"/>
      </rPr>
      <t xml:space="preserve">
Op dit tabblad berekent de ACM de omzet van TenneT in 2018 op basis van daadwerkelijk gefactureerde volumina. De ACM berekent vervolgens de correctie op de omzet 2018, door het verschil te nemen tussen de toegestane tariefinkomsten (op basis van de rekenvolumina 2018) en de gerealiseerde tariefinkomsten (op basis van de daadwerkelijk gefactureerde volumina). Op deze tariefcorrectie wordt nog het rentepercentage voor tariefcorrecties toegepast. </t>
    </r>
  </si>
  <si>
    <t>Toegestane tariefinkomsten EHS 2018</t>
  </si>
  <si>
    <t>Toegestane tariefinkomsten HS 2018</t>
  </si>
  <si>
    <t>Realisatie tariefinkomsten EHS 2018</t>
  </si>
  <si>
    <t>Realisatie tariefinkomsten HS 2018</t>
  </si>
  <si>
    <t>Omzetcorrectie op basis van volumeverschillen HS 2018 in 2020</t>
  </si>
  <si>
    <t>Omzetcorrectie op basis van volumeverschillen EHS 2018 in 2020</t>
  </si>
  <si>
    <t>TenneT mag een voorstel doen tot wijziging van de rekenvolumima. Op dit tabblad controleert de ACM de voorgestelde rekenvolumina 2020.  Eerst controleert de ACM of de voorgestelde rekenvolumina 2020 overeenkomen met de realisaties 2018. Daarna controleert de ACM of de verwachte volumina een wijziging van meer dan 1% van de inkomsten van TenneT in 2020 veroorzaken. Indien dit het geval is, is de ACM voornemens om de rekenvolumina aan te passen aan de actuele verwachtingen van TenneT. (Bron: MB Tennet 2017-2021 Transport, p. 8)</t>
  </si>
  <si>
    <t>Controle 1: zijn de rekenvolumina 2020 gelijk aan de realisaties 2018?</t>
  </si>
  <si>
    <t>Verschil rekenvolumina 2020 en realisaties 2018 EHS</t>
  </si>
  <si>
    <t>Verschil rekenvolumina 2020 en realisaties 2018 HS</t>
  </si>
  <si>
    <t>Zijn de rekenvolumina 2020 gelijk aan de realisaties 2018?</t>
  </si>
  <si>
    <t>Verwachte omzet 2020 obv voorstel rekenvolumina 2020 EHS</t>
  </si>
  <si>
    <t>Verwachte omzet 2020 obv voorstel rekenvolumina 2020 HS</t>
  </si>
  <si>
    <t>Verwachte omzet 2020 obv voorstel rekenvolumina 2020 Totaal</t>
  </si>
  <si>
    <t>Verwachte omzet 2020 obv rekenvolumina 2019 EHS</t>
  </si>
  <si>
    <t>Verwachte omzet 2020 obv rekenvolumina 2019 HS</t>
  </si>
  <si>
    <t>Verwachte omzet 2020 obv rekenvolumina 2019 Totaal</t>
  </si>
  <si>
    <t>Verschil omzet 2019 obv voorstel rekenvolumina 2020 en rekenvolumina 2019</t>
  </si>
  <si>
    <t>Rekenvolumina 2020 EHS</t>
  </si>
  <si>
    <t>Rekenvolumina 2020 HS</t>
  </si>
  <si>
    <t>Tennet doet een voorstel voor de tarieven 2020. Op dit tabblad controleert de ACM het voorstel voor de tarieven van TenneT. Eerst berekent de ACM of de voorgestelde tarieven voldoen aan de toegestane inkomsten. Daarna berekent ACM zelf de tarieven aan de hand van de Tarievencode Elektriciteit. Indien het voorstel van TenneT niet voldoet, dan stelt de ACM de tarieven vast op basis van de zelf berekende tarieven.</t>
  </si>
  <si>
    <t>Toegestane tariefinkomsten transporttarieven voor 2020 EHS</t>
  </si>
  <si>
    <t>Toegestane tariefinkomsten transporttarieven voor 2020 HS</t>
  </si>
  <si>
    <t>Verwachte tariefinkomsten met tarievenvoorstel 2020</t>
  </si>
  <si>
    <t>Toegestane tariefinkomsten uit transporttarieven 2020</t>
  </si>
  <si>
    <t>Tarieven 2020 EHS</t>
  </si>
  <si>
    <t>Tarieven 2020 HS</t>
  </si>
  <si>
    <t>Voor bedragen oorspronkelijk in prijspeil 2019</t>
  </si>
  <si>
    <t>Rentepercentage tariefcorrecties van 31/12/2018 tot 1/7/2020</t>
  </si>
  <si>
    <t>Realisatie netverliezen HS</t>
  </si>
  <si>
    <t>Realisatie blindvermogen HS</t>
  </si>
  <si>
    <t>Realisatie oplossen transportbeperkingen HS</t>
  </si>
  <si>
    <t>Realisatie netverliezen EHS</t>
  </si>
  <si>
    <t>Realisatie blindvermogen EHS</t>
  </si>
  <si>
    <t>Realisatie noodvermogen</t>
  </si>
  <si>
    <t>Realisatie primaire reserve</t>
  </si>
  <si>
    <t>Realisatie herstelvoorzieningen</t>
  </si>
  <si>
    <t>CPI 2013 --&gt; CPI 2016</t>
  </si>
  <si>
    <t>CPI 2014 --&gt; CPI 2016</t>
  </si>
  <si>
    <t>CPI 2015 --&gt; CPI 2016</t>
  </si>
  <si>
    <t>CPI 2015 --&gt; CPI 2017</t>
  </si>
  <si>
    <t>Berekening prognose per product</t>
  </si>
  <si>
    <t>Prognose regel- en reservevermogen</t>
  </si>
  <si>
    <t>Prognose noodvermogen</t>
  </si>
  <si>
    <t>Prognose primaire reserve</t>
  </si>
  <si>
    <t>Prognose herstelvoorzieningen</t>
  </si>
  <si>
    <t>Realisatie oplossen transportbeperkingen EHS</t>
  </si>
  <si>
    <t>Prognose netverliezen EHS</t>
  </si>
  <si>
    <t>Prognose blindvermogen EHS</t>
  </si>
  <si>
    <t>Prognose netverliezen HS</t>
  </si>
  <si>
    <t>Prognose blindvermogen HS</t>
  </si>
  <si>
    <t>CPI 2016 --&gt; CPI 2018</t>
  </si>
  <si>
    <t>Verschil tussen realisatie en prognose</t>
  </si>
  <si>
    <t>Risico van TenneT (25% van verschil)</t>
  </si>
  <si>
    <t>Maximum risico van TenneT (25%*20% van prognose)</t>
  </si>
  <si>
    <t>Netto risico van TenneT</t>
  </si>
  <si>
    <t>Nacalculatie</t>
  </si>
  <si>
    <t>Prognose oplossen transportbeperkingen EHS</t>
  </si>
  <si>
    <t>Prognose oplossen transportbeperkingen HS</t>
  </si>
  <si>
    <t>Correctie inkoopkosten energie en vermogen systeemtaak 2017 en 2018 in 2020</t>
  </si>
  <si>
    <t>Correctie inkoopkosten energie en vermogen transporttaak 2017 en 2018 in 2020</t>
  </si>
  <si>
    <t>De gegevens zijn afkomstig van de Belastingdienst, zie: https://belastingdienst.nl/wps/wcm/connect/bldcontentnl/standaard_functies/prive/contact/rechten_en_plichten_bij_de_belastingdienst/belastingrente/overzicht_percentages_belastingrente.</t>
  </si>
  <si>
    <t>Voor de eerste twee kwartalen van 2020 hanteert de ACM de meest recent vastgestelde belastingrente.</t>
  </si>
  <si>
    <t>y-factor 2017,…,2021 (onafgerond)</t>
  </si>
  <si>
    <t>Rentepercentage tariefcorrecties 2017→ 2020</t>
  </si>
  <si>
    <t>Rentepercentage tariefcorrecties 2018→ 2020</t>
  </si>
  <si>
    <t>Correctie geschatte beheerkosten 2017 t/m 2019 in 2020</t>
  </si>
  <si>
    <t>GAW ultimo jaar t</t>
  </si>
  <si>
    <t>Afschrijvingen jaar t</t>
  </si>
  <si>
    <t>Operationele kosten jaar t</t>
  </si>
  <si>
    <t>Verschil geschatte beheerkosten nieuw en oud</t>
  </si>
  <si>
    <t>Verschil geschatte uitvoeringskosten nieuw en oud</t>
  </si>
  <si>
    <t>Correctie geschatte uitvoeringskosten 2017 t/m 2019 in 2020</t>
  </si>
  <si>
    <t>Berekening budget systeemtaken 2020</t>
  </si>
  <si>
    <t>Geschatte beheerkosten 2020</t>
  </si>
  <si>
    <t>Geschatte inkoopkosten 2020</t>
  </si>
  <si>
    <t>Geschatte uitvoeringskosten 2020</t>
  </si>
  <si>
    <t>CPI 2015 → 2017</t>
  </si>
  <si>
    <t>CPI 2016 → 2018</t>
  </si>
  <si>
    <t>CPI 2017 → 2019</t>
  </si>
  <si>
    <t>Frontier shift in jaar t</t>
  </si>
  <si>
    <t>Herstel formules bij MB TenneT Systeemtaken 2017-2021, formule 6</t>
  </si>
  <si>
    <t>Herstel formules bij MB TenneT Systeemtaken 2017-2021, formule 7</t>
  </si>
  <si>
    <t>Herstel formules bij MB TenneT Systeemtaken 2017-2021, formule 11</t>
  </si>
  <si>
    <t>Herstel formules bij MB TenneT Systeemtaken 2017-2021, formule 12</t>
  </si>
  <si>
    <t>Correctie geschatte inkoopkosten 2017 t/m 2019 in 2020</t>
  </si>
  <si>
    <t>Vrijval saldo onbalans</t>
  </si>
  <si>
    <t>Herstel formules bij MB TenneT Systeemtaken 2017-2021, formule 8</t>
  </si>
  <si>
    <t>Herstel formules bij MB TenneT Systeemtaken 2017-2021, formule 9</t>
  </si>
  <si>
    <t>Verschil geschatte inkoopkosten nieuw en oud</t>
  </si>
  <si>
    <t>Herstel formules bij MB TenneT Systeemtaken 2017-2021, formule 13</t>
  </si>
  <si>
    <t>y-factor 2017,…,2021 (afgerond op twee decimalen)</t>
  </si>
  <si>
    <t>Frontier shift</t>
  </si>
  <si>
    <t>Geschatte begininkomsten 2016</t>
  </si>
  <si>
    <t>Geschatte efficiënte kosten 2021</t>
  </si>
  <si>
    <t>Correctie budget systeemtaken 2017 t/m 2019 in 2020</t>
  </si>
  <si>
    <t>Berekening nacalculatie per product met bonus/malus-regeling</t>
  </si>
  <si>
    <t>CPI^2017,…,2021</t>
  </si>
  <si>
    <t>2011</t>
  </si>
  <si>
    <t>2012</t>
  </si>
  <si>
    <t>Berekening correctie budget systeemtaken 2017 t/m 2019</t>
  </si>
  <si>
    <t>GAW ultimo</t>
  </si>
  <si>
    <t>Afschrijvingen</t>
  </si>
  <si>
    <t>Operationele kosten</t>
  </si>
  <si>
    <t>Data ten behoeve van nacalculatie inkoopkosten energie en vermogen 2017 en 2018</t>
  </si>
  <si>
    <t>Realisatie regel- en reservevermogen</t>
  </si>
  <si>
    <t>Inkoopkosten transporttaak EHS</t>
  </si>
  <si>
    <t>Inkoopkosten transporttaak HS</t>
  </si>
  <si>
    <t>Inkoopkosten systeemtaak</t>
  </si>
  <si>
    <t>Gemiddelde inkoopkosten netverliezen EHS</t>
  </si>
  <si>
    <t>Gemiddelde inkoopkosten blindvermogen EHS</t>
  </si>
  <si>
    <t>Gemiddelde inkoopkosten oplossen transportbeperkingen EHS</t>
  </si>
  <si>
    <t>Gemiddelde inkoopkosten netverliezen HS</t>
  </si>
  <si>
    <t>Gemiddelde inkoopkosten blindvermogen HS</t>
  </si>
  <si>
    <t>Gemiddelde inkoopkosten oplossen transportbeperkingen HS</t>
  </si>
  <si>
    <t>Prognose inkoopkosten per product transporttaak EHS</t>
  </si>
  <si>
    <t>Gemiddelde inkoopkosten per product transporttaak EHS in 2016</t>
  </si>
  <si>
    <t>Gemiddelde inkoopkosten per product transporttaak HS in 2016</t>
  </si>
  <si>
    <t>Prognose inkoopkosten per product transporttaak HS</t>
  </si>
  <si>
    <t>Correctie inkoopkosten transporttaak EHS 2017 en 2018 in 2020</t>
  </si>
  <si>
    <t>Correctie inkoopkosten transporttaak HS 2017 en 2018 in 2020</t>
  </si>
  <si>
    <t>Correctie inkoopkosten systeemtaak 2017 en 2018 in 2020</t>
  </si>
  <si>
    <t>Let op: deze bedragen worden opgehaald op tab 14 'Budget systeemtaken'.</t>
  </si>
  <si>
    <t>Correctie op de inkomsten 2017 t/m 2019 in 2020</t>
  </si>
  <si>
    <t>Correctie totale inkomsten op basis van wettelijke formule 2017 t/m 2019 in 2020</t>
  </si>
  <si>
    <r>
      <rPr>
        <b/>
        <sz val="10"/>
        <rFont val="Arial"/>
        <family val="2"/>
      </rPr>
      <t>Beschrijving berekening</t>
    </r>
    <r>
      <rPr>
        <sz val="10"/>
        <rFont val="Arial"/>
        <family val="2"/>
      </rPr>
      <t xml:space="preserve">
Op dit tabblad berekent de ACM de prognoses voor de inkoopkosten transport naastgelegen netten 2020. Deze bestaan uit de inkoopkosten transport bij regionale netbeheerders en de InterTSO compensation. ACM schat deze kosten aan de hand van het gemiddelde over 2013 t/m 2015 met toepassing van een inflatiecorrectie. (Bron: MB TenneT 2017-2021 Transport, p. 90, rnnr. 324)</t>
    </r>
  </si>
  <si>
    <t>Transporttaak EHS</t>
  </si>
  <si>
    <t>Transporttaak HS</t>
  </si>
  <si>
    <r>
      <t xml:space="preserve">Op dit tabblad berekent de ACM de overige correcties. </t>
    </r>
    <r>
      <rPr>
        <sz val="10"/>
        <rFont val="Arial"/>
        <family val="2"/>
      </rPr>
      <t xml:space="preserve">
</t>
    </r>
    <r>
      <rPr>
        <i/>
        <sz val="10"/>
        <rFont val="Arial"/>
        <family val="2"/>
      </rPr>
      <t>Toelichting bij bijzonderheden</t>
    </r>
    <r>
      <rPr>
        <sz val="10"/>
        <rFont val="Arial"/>
        <family val="2"/>
      </rPr>
      <t xml:space="preserve">
Bedragen in de berekening zijn inclusief het rentepercentage voor tariefcorrecties.</t>
    </r>
  </si>
  <si>
    <t>Tarieven, rekenvolumina en inkomsten</t>
  </si>
  <si>
    <t>Het overige gedeelte van EHS TAVT wordt door toedoen van het cascade-beginsel afgenomen door HS.</t>
  </si>
  <si>
    <t>Realisatie inkoopkosten overdracht HS-Stedin</t>
  </si>
  <si>
    <t>Let op: de inkoopkosten overdracht HS-Stedin worden hierna toegerekend aan het product netverliezen.</t>
  </si>
  <si>
    <t xml:space="preserve">Let op: formule op deze regel kan niet worden doorgetrokken. </t>
  </si>
  <si>
    <t>Data ten behoeve van (correctie op) inkomsten o.b.v. wettelijke formule</t>
  </si>
  <si>
    <t>Data ten behoeve van (correctie op) toevoeging HS-installatie Deltius</t>
  </si>
  <si>
    <t>Correctie toevoeging HS-installatie Deltius 2017 t/m 2019 in 2020</t>
  </si>
  <si>
    <t>Data ten behoeve van inkoopkosten transport naastgelegen netten</t>
  </si>
  <si>
    <t xml:space="preserve">TenneT heeft deze prognose opgegeven in haar tarievenvoorstel 2018 en volgt uit de realisatie in 2016. </t>
  </si>
  <si>
    <t>TenneT heeft deze prognose opgegeven in haar tarievenvoorstel 2018 en is gebaseerd op de gerealiseerde baten in 2016 gecorrigeerd voor inflatie.</t>
  </si>
  <si>
    <t>Verschil nieuw en oud</t>
  </si>
  <si>
    <t>Deze correctie verrekent de inkomsten op het EHS netvlak als gevolg van wijzigingen in de inkomsten van de transportdiensten in afgelopen jaren. Wijzigingen kunnen bijvoorbeeld plaatsvinden door het wijzigen van een factuur of als gevolg van een geschilprocedure.</t>
  </si>
  <si>
    <t>Deze correctie verrekent de inkomsten op het HS netvlak als gevolg van wijzigingen in de inkomsten van de transportdiensten in afgelopen jaren. Wijzigingen kunnen bijvoorbeeld plaatsvinden door het wijzigen van een factuur of als gevolg van een geschilprocedure.</t>
  </si>
  <si>
    <r>
      <rPr>
        <b/>
        <sz val="10"/>
        <rFont val="Arial"/>
        <family val="2"/>
      </rPr>
      <t>Beschrijving gegevens</t>
    </r>
    <r>
      <rPr>
        <sz val="10"/>
        <rFont val="Arial"/>
        <family val="2"/>
      </rPr>
      <t xml:space="preserve">
Op dit tabblad vult TenneT voor de RCR-investeringen de geschatte vermogenskosten (voor investeringen in aanbouw) en de geschatte totale kosten (voor investeringen in gebruik) in 2020 in. De omvang van deze kosten wordt berekend in een aparte rekenmodule. </t>
    </r>
  </si>
  <si>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</si>
  <si>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</si>
  <si>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</si>
  <si>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</si>
  <si>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</si>
  <si>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</si>
  <si>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Gestandaardiseerde tabbladen, omvat tenminste: 'Titelblad', 'Toelichting' en 'Bronnen en toepassingen' (kleur: ACM-lichtpaars)</t>
  </si>
  <si>
    <t>X-factor berekend op basis van nieuwe WACC en frontier shift.</t>
  </si>
  <si>
    <t>WACC vastgesteld in herstelde methode voor 2017-2021</t>
  </si>
  <si>
    <t>Correctie toevoeging vermogenskosten RCR-investeringen EHS 2018 in 2020</t>
  </si>
  <si>
    <t>Correctie toevoeging vermogenskosten RCR-investeringen HS 2018 in 2020</t>
  </si>
  <si>
    <t>Rekenmodule RCR-investeringen, tab 4, cel L63</t>
  </si>
  <si>
    <t>Rekenmodule RCR-investeringen, tab 4, cel L64</t>
  </si>
  <si>
    <t>Geschatte begininkomsten voor systeemtaken 2016</t>
  </si>
  <si>
    <t>Geschatte efficiënte kosten voor systeemtaken 2021</t>
  </si>
  <si>
    <t>Realisatie inkoopkosten per product</t>
  </si>
  <si>
    <t>Correctie toevoeging vermogenskosten RCR-investeringen EHS 2016 en 2017 in 2020</t>
  </si>
  <si>
    <t>Correctie toevoeging vermogenskosten RCR-investeringen HS 2016 en 2017 in 2020</t>
  </si>
  <si>
    <t>Correctie toevoeging totale kosten RCR-investeringen EHS 2016 en 2017 in 2020</t>
  </si>
  <si>
    <t>Correctie toevoeging totale kosten RCR-investeringen HS 2016 en 2017 in 2020</t>
  </si>
  <si>
    <t>Correctie toevoeging totale kosten RCR-investeringen EHS 2018 in 2020</t>
  </si>
  <si>
    <t>Correctie toevoeging totale kosten RCR-investeringen HS  2018 in 2020</t>
  </si>
  <si>
    <t>Correctie toevoeging totale kosten RCR-investeringen EHS 2019 in 2020</t>
  </si>
  <si>
    <t>Correctie toevoeging totale kosten RCR-investeringen HS  2019 in 2020</t>
  </si>
  <si>
    <t>Correctie op correctie toevoeging vermogenskosten RCR-investeringen EHS 2017 in 2019 in 2020</t>
  </si>
  <si>
    <t>Correctie op correctie toevoeging vermogenskosten RCR-investeringen HS 2017 in 2019 in 2020</t>
  </si>
  <si>
    <t>Data ten behoeve van (correctie op) correctie op toevoegingen RCR-investeringen</t>
  </si>
  <si>
    <t>Rekenmodule RCR-investeringen, tab 4, cel AC15</t>
  </si>
  <si>
    <t>Rekenmodule RCR-investeringen, tab 4, cel AC20</t>
  </si>
  <si>
    <t>Rekenmodule RCR-investeringen, tab 4, cel AC28</t>
  </si>
  <si>
    <t>Rekenmodule RCR-investeringen, tab 4, cel AE15</t>
  </si>
  <si>
    <t>Rekenmodule RCR-investeringen, tab 4, cel AE20</t>
  </si>
  <si>
    <t>Rekenmodule RCR-investeringen, tab 4, cel AE28</t>
  </si>
  <si>
    <t>Rekenmodule RCR-investeringen, tab 4, cel AC45</t>
  </si>
  <si>
    <t>Rekenmodule RCR-investeringen, tab 4, cel AE45</t>
  </si>
  <si>
    <t>Rekenmodule RCR-investeringen, tab 4, cel AC51</t>
  </si>
  <si>
    <t>Rekenmodule RCR-investeringen, tab 4, cel AE51</t>
  </si>
  <si>
    <t>Correcties op eerdere toevoegingen</t>
  </si>
  <si>
    <t>Correctie toevoeging vermogenskosten RCR-investeringen EHS 2016 en 2017 in 2017</t>
  </si>
  <si>
    <t>Correctie toevoeging vermogenskosten RCR-investeringen HS 2016 en 2017 in 2017</t>
  </si>
  <si>
    <t>Correctie toevoeging totale kosten RCR-investeringen EHS 2016 en 2017 in 2017</t>
  </si>
  <si>
    <t>Correctie toevoeging totale kosten RCR-investeringen HS 2016 en 2017 in 2017</t>
  </si>
  <si>
    <t>Correctie toevoeging totale kosten RCR-investeringen EHS 2018</t>
  </si>
  <si>
    <t>Correctie toevoeging totale kosten RCR-investeringen HS  2018</t>
  </si>
  <si>
    <t>Correctie toevoeging totale kosten RCR-investeringen EHS 2019</t>
  </si>
  <si>
    <t>Correctie toevoeging totale kosten RCR-investeringen HS  2019</t>
  </si>
  <si>
    <t>Correctie op correctie toevoeging vermogenskosten RCR-investeringen EHS 2017 in 2019</t>
  </si>
  <si>
    <t>Correctie op correctie toevoeging vermogenskosten RCR-investeringen HS 2017 in 2019</t>
  </si>
  <si>
    <t>Data ten behoeve van (correctie op) budget systeemtaken</t>
  </si>
  <si>
    <t>Correctie toevoeging totale kosten RCR-investeringen HS 2018</t>
  </si>
  <si>
    <t>Correctie toevoeging totale kosten RCR-investeringen HS 2019</t>
  </si>
  <si>
    <t>Correctie toevoeging vermogenskosten RCR-investeringen 2016 en 2017 in 2020</t>
  </si>
  <si>
    <t>Correctie toevoeging totale kosten RCR-investeringen 2016 en 2017 in 2020</t>
  </si>
  <si>
    <t>Correctie toevoeging totale kosten RCR-investeringen 2018 in 2020</t>
  </si>
  <si>
    <t>Correctie toevoeging totale kosten RCR-investeringen 2019 in 2020</t>
  </si>
  <si>
    <t>Correctie op correctie toevoeging vermogenskosten RCR-investeringen 2017 in 2019 in 2020</t>
  </si>
  <si>
    <t>Tabblad 15 - Nacalculatie inkoopkosten energie en vermogen</t>
  </si>
  <si>
    <t>Tabblad 16 - Prognoses inkoopkosten transport naastgelegen netten</t>
  </si>
  <si>
    <t>Tabblad 17 - Correcties omzet aansluitdienst &amp; meterhuur en inkoopkosten transport naastgelegen netten</t>
  </si>
  <si>
    <t>Tabblad 18 - Overige correcties</t>
  </si>
  <si>
    <t>Tabblad 19 - Omzetcorrectie op basis van volumeverschillen</t>
  </si>
  <si>
    <t>Tabblad 20 - Inzet veilinggelden</t>
  </si>
  <si>
    <t>Tabblad 21 - Controle rekenvolumina</t>
  </si>
  <si>
    <t>Tabblad 22 - Controle tarieven</t>
  </si>
  <si>
    <t xml:space="preserve">De totale inkomsten die hier berekend zijn, worden op Tab_22 Controle tarieven gebruikt om het tarievenvoorstel van TenneT te controleren. </t>
  </si>
  <si>
    <t>Nacalculatie netverliezen transporttaak EHS</t>
  </si>
  <si>
    <t>Nacalculatie blindvermogen transporttaak EHS</t>
  </si>
  <si>
    <t>Nacalculatie oplossen transportbeperkingen transporttaak EHS</t>
  </si>
  <si>
    <t>Totale nacalculatie inkoopkosten transporttaak EHS</t>
  </si>
  <si>
    <t>Nacalculatie netverliezen transporttaak HS</t>
  </si>
  <si>
    <t>Nacalculatie blindvermogen transporttaak HS</t>
  </si>
  <si>
    <t>Nacalculatie oplossen transportbeperkingen transporttaak HS</t>
  </si>
  <si>
    <t>Totale nacalculatie inkoopkosten transporttaak HS</t>
  </si>
  <si>
    <t>Nacalculatie regel- en reservevermogen systeemtaak</t>
  </si>
  <si>
    <t>Nacalculatie noodvermogen systeemtaak</t>
  </si>
  <si>
    <t>Nacalculatie primaire reserve systeemtaak</t>
  </si>
  <si>
    <t>Nacalculatie herstelvoorzieningen systeemtaak</t>
  </si>
  <si>
    <t>Totale nacalculatie inkoopkosten systeemtaak</t>
  </si>
  <si>
    <t xml:space="preserve">De ACM heeft de rekenvolumina (de afzet die in een jaar te verwachten is) voor de reguleringsperiode 2017-2021 in het Tarievenbesluit 2019 bijgesteld. De ACM hanteert niet langer als uitgangspunt de gerealiseerde volumina in 2016, zoals randnummer 290 van het methodebesluit voorschrijft, maar de door TenneT voorgestelde rekenvolumina 2019 op basis van de gerealiseerde volumina in 2017. </t>
  </si>
  <si>
    <t>Tab 15_Nacalculatie IK&amp;EV</t>
  </si>
  <si>
    <t>Tab 16_Prognoses IKTNN</t>
  </si>
  <si>
    <t>Tab 17_Correcties OA&amp;M en IKTNN</t>
  </si>
  <si>
    <t>Tab 18_Overige correcties</t>
  </si>
  <si>
    <t>Tab 19_Omzetcorrectie</t>
  </si>
  <si>
    <t>Tab 20_Inzet veilinggelden</t>
  </si>
  <si>
    <t>Tab 21_Controle rekenvolume</t>
  </si>
  <si>
    <t>Tab 22_Controle tarieven</t>
  </si>
  <si>
    <t>Rekenmodule HS-installatie Deltius, tab 2, cel D62</t>
  </si>
  <si>
    <t>Rekenmodule HS-installatie Deltius, tab X, cel G62</t>
  </si>
  <si>
    <t>Frontier shift en X-factor</t>
  </si>
  <si>
    <t>Percentage in tussenliggende jaren wordt berekend op basis van onafgeronde percentages in begin- en eindjaar en lineaire ingroei.</t>
  </si>
  <si>
    <t>Methodebesluit TenneT 2014-2016 Transport, p.73, rnnr. 196</t>
  </si>
  <si>
    <t>Voorlopige bron: x-factorberekening bij tweede herstel XB TenneT 2017-2021 d.d. XX-XX-2019, tab Overzicht paramaters, cel D30</t>
  </si>
  <si>
    <t>Voorlopige bron: x-factorberekening bij tweede herstel x-factorbesluit TenneT 2017-2021 d.d. XX-XX-2019, tab reguleringsparameters, cel C33</t>
  </si>
  <si>
    <t>Gewijzigd methodebesluit TenneT Transporttaken 2017-2021 d.d. 24-01-2019, p.70, rn. 244</t>
  </si>
  <si>
    <t>Rekenmodule Tarievenbesluit TenneT 2019, tab 13, cel R31 t/m S31</t>
  </si>
  <si>
    <t>Rekenmodule Tarievenbesluit TenneT 2019, tab 13, cel R32 t/m S32</t>
  </si>
  <si>
    <t>Rekenmodule Tarievenbesluit TenneT 2019, tab 13, cel R33 t/m S33</t>
  </si>
  <si>
    <t>Rekenmodule Tarievenbesluit TenneT 2019, tab 13, cel R34 t/m S34</t>
  </si>
  <si>
    <t>Rekenmodule Tarievenbesluit TenneT 2019, tab 13, cel R35 t/m S35</t>
  </si>
  <si>
    <t>Voorlopige bron: x-factorberekening bij tweede herstel x-factorbesluit TenneT 2017-2021 d.d. XX-XX-2019, tab eff kosten 2021, cel M164</t>
  </si>
  <si>
    <t>Voorlopige bron: x-factorberekening bij tweede herstel x-factorbesluit TenneT 2017-2021 d.d. XX-XX-2019, tab Overzicht paramaters, cel D23</t>
  </si>
  <si>
    <t>Voorlopige bron: x-factorberekening bij tweede herstel x-factorbesluit TenneT 2017-2021 d.d. XX-XX-2019, tab Overzicht paramaters, cel D24</t>
  </si>
  <si>
    <t>Voorlopige bron: x-factorberekening bij tweede herstel x-factorbesluit TenneT 2017-2021 d.d. XX-XX-2019, tab Overzicht paramaters, cel D25</t>
  </si>
  <si>
    <t>Voorlopige bron: x-factorberekening bij tweede herstel x-factorbesluit TenneT 2017-2021 d.d. XX-XX-2019, tab Overzicht paramaters, cel D26</t>
  </si>
  <si>
    <t>Voorlopige bron: x-factorberekening bij tweede herstel x-factorbesluit TenneT 2017-2021 d.d. XX-XX-2019, tab Overzicht paramaters, cel D21</t>
  </si>
  <si>
    <t>Voorlopige bron: x-factorberekening bij tweede herstel x-factorbesluit TenneT 2017-2021 d.d. XX-XX-2019, tab toetsen, cel D47</t>
  </si>
  <si>
    <t>Rekenmodule Tarievenbesluit TenneT 2017, tab 11, cel M31; Rekenmodule Tarievenbesluit TenneT 2018, tab Kosten systeemtaken, cel F37; Rekenmodule Tarievenbesluit TenneT 2019, tab 6, cel S29</t>
  </si>
  <si>
    <t>Rekenmodule Tarievenbesluit TenneT 2017, tab 11, cel R22; Rekenmodule Tarievenbesluit TenneT 2018, tab Kosten systeemtaken, cel F63; Rekenmodule Tarievenbesluit TenneT 2019; tab 14; cel L52</t>
  </si>
  <si>
    <t>Rekenmodule Tarievenbesluit TenneT 2017, tab 11, cel R21; Rekenmodule Tarievenbesluit TenneT 18, tab Kosten systeemtaken, cel F64; Rekenmodule Tarievenbesluit TenneT 19, tab 14, cel L56</t>
  </si>
  <si>
    <t>Reguleringsdata 2015, Tabel 11, cel D28; Reguleringsdata 2016, Tabel 12, cel D30; Reguleringsdata 2017, Tabel 12, cel D32; Reguleringsdata 2018, Tabel 2A, cel K53</t>
  </si>
  <si>
    <t>Rekenmodule Tarievenbesluit TenneT 2018, tab Uitkomsten stap 1, cel F9</t>
  </si>
  <si>
    <t>Rekenmodule Tarievenbesluit TenneT 2018, tab Uitkomsten stap 1, cel E10</t>
  </si>
  <si>
    <t>Reguleringsdata TenneT 2013 (tab 8, cel D13), 2014 (tab 8, cel D13), 2015 (tab 10, cel D11) en 2018 (tab 2A, cel J32)</t>
  </si>
  <si>
    <t>Reguleringsdata TenneT 2013 (tab 7, cel D13), 2014 (tab 7, cel D13), 2015 (tab 9, cel D11) en 2018 (tab 2A, cel I30)</t>
  </si>
  <si>
    <t>Rekenmodule Tarievenbesluit TenneT 2017, tab 3, rij 55</t>
  </si>
  <si>
    <t>Rekenmodule Tarievenbesluit TenneT 2017, tab 3, rij 24; Rekenmodule Tarievenbesluit TenneT 2018, tab Inzet Veilinggelden, E23, rij 55; Verslag veilingopbrengsten TenneT 2017/2018, tab 2, cel J44; Verslag veilingopbrengsten TenneT 2018/2019, tab 2, cel J44 (voorlopig cijfer)</t>
  </si>
  <si>
    <t>hier</t>
  </si>
  <si>
    <t>Herstel uitwerking van de methode voor de WACC</t>
  </si>
  <si>
    <t>Gewijzigd methodebesluit TenneT Transporttaken 2017-2021 d.d. 24-01-2019</t>
  </si>
  <si>
    <t>Rekenmodule Tarievenbesluit TenneT 2019</t>
  </si>
  <si>
    <t>Rekenmodule Tarievenbesluit TenneT 2017, tab systeemtaken, cel G46; Rekenmodule Tarievenbesluit TenneT  2018, tab kosten systeemtaken, cel F25; Rekenmoduule Tarievenbesluit TenneT 2019, tab 14, cel L48</t>
  </si>
  <si>
    <t>Rekenmodule Tarievenbesluit TenneT 2017</t>
  </si>
  <si>
    <t>Rekenmodule Tarievenbesluit TenneT 2018</t>
  </si>
  <si>
    <t>Reguleringsdata TenneT 2016</t>
  </si>
  <si>
    <t>Reguleringsdata TenneT 2017</t>
  </si>
  <si>
    <t>Reguleringsdata TenneT 2018</t>
  </si>
  <si>
    <t>Reguleringsdata TenneT 2015</t>
  </si>
  <si>
    <t>Reguleringsdata TenneT 2013</t>
  </si>
  <si>
    <t>Reguleringsdata TenneT 2014</t>
  </si>
  <si>
    <t>Rekenmodule Tarievenbesluit TenneT 2018, tab 'uitkomsten', kolom F</t>
  </si>
  <si>
    <t>Rekenmodule Tarievenbesluit TenneT 2019, tab 5, rij 23</t>
  </si>
  <si>
    <t>Rekenmodule Tarievenbesluit TenneT 2018, tab 'controle tarieven', cel C46</t>
  </si>
  <si>
    <t>Rekenmodule Tarievenbesluit TenneT 2018, tab 'controle tarieven', cel C49</t>
  </si>
  <si>
    <t>Rekenmodule Tarievenbesluit TenneT 2019, tab 5, rij 27</t>
  </si>
  <si>
    <t>Rekenmodule Tarievenbesluit TenneT 2018, tab 'controle tarieven', cel C66</t>
  </si>
  <si>
    <t>Rekenmodule Tarievebensluit TenneT 2018, tab 'controle tarieven', cel C70</t>
  </si>
  <si>
    <t>Verslag veilingopbrengsten TenneT 2018/2019</t>
  </si>
  <si>
    <t>Verslag veilingopbrengsten TenneT 2017/2018</t>
  </si>
  <si>
    <t>X-factorberekening bij tweede herstel x-factorbesluit TenneT 2017-2021 d.d. XX-XX-2019</t>
  </si>
  <si>
    <t xml:space="preserve">Bijlage 1 rekenmodule tarievenbesluit TenneT 2018 </t>
  </si>
  <si>
    <t>Herstel formules bij methodebesluit systeemtaken TenneT 2017-2021</t>
  </si>
  <si>
    <t>TenneT - V03 - 05. 2013 Invulmodule TS-RD(i)-14-03 (foutherstel 2017) - 20190128 (FINAL)</t>
  </si>
  <si>
    <t>V02 - TENN - 08. 2014 Invulmodule TS-RD(i)-15-03 aanp. nav ACM sept 15 (foutherstel 2017) - 20190128 (FINAL)</t>
  </si>
  <si>
    <t>TENN - V02 - 09. 2015 Invulmodule TS-RD(i)-16-04 (foutherstel 2017) -20190128 (FINAL)</t>
  </si>
  <si>
    <t>TENN - V04 - 10. 2016 Invulmodule TS-RD(i)-17-04 (foutherstel 2017) - 20190128 (FINAL)</t>
  </si>
  <si>
    <t>TENN - V04 - Invulmodule TS-RD(i)-18-03 (CODATA 2017) - 20180924 (FINAL TV 2019 ACM - REV)</t>
  </si>
  <si>
    <t>TENN - V01 - Invulmodule reguleringsdata TenneT 2018 TS-RD(i)-19-04 (CODATA 2018) - 20190529 (FINAL)</t>
  </si>
  <si>
    <r>
      <rPr>
        <b/>
        <sz val="10"/>
        <rFont val="Arial"/>
        <family val="2"/>
      </rPr>
      <t>Beschrijving berekening</t>
    </r>
    <r>
      <rPr>
        <sz val="10"/>
        <rFont val="Arial"/>
        <family val="2"/>
      </rPr>
      <t xml:space="preserve">
Op dit tabblad berekent de ACM de toegestane inkomsten van TenneT voor de algemene transporttaken op basis van de wettelijke formule. Dit is de formule in artikel 41b, eerste lid, onderdeel d, van de E-wet waarmee de ACM de x-factor en de rekenvolumina toepast op de totale inkomsten. Tevens berekent de ACM de correctie op de eerder berekende inkomsten voor 2017 t/m 2019 als gevolg van het gewijzigde methodebesluit d.d. 24-01-2019.
</t>
    </r>
    <r>
      <rPr>
        <i/>
        <sz val="10"/>
        <rFont val="Arial"/>
        <family val="2"/>
      </rPr>
      <t xml:space="preserve">
Toelichting bij bijzonderheden
</t>
    </r>
    <r>
      <rPr>
        <sz val="10"/>
        <rFont val="Arial"/>
        <family val="2"/>
      </rPr>
      <t>De inkomsten voor 2021 betreffen een schatting bedoeld ter indicatie.</t>
    </r>
  </si>
  <si>
    <t>Begininkomsten o.b.v. gewijzigd methodebesluit d.d. 24-01-2019</t>
  </si>
  <si>
    <t>WACC-methode Gewijzigd methodebesluit TenneT Transporttaken 2017-2021 d.d. 24-01-2019</t>
  </si>
  <si>
    <t>Methodebesluit TenneT 2014-2016 Transport</t>
  </si>
  <si>
    <t>Inkomsten op basis van wettelijke formule o.b.v. herstelmethodebesluit d.d. 14-04-2017</t>
  </si>
  <si>
    <t>Correcties op eerdere toevoegingen en correcties als gevolg van gewijzigd methodebesluit d.d. 24-01-2019</t>
  </si>
  <si>
    <t>Geschatte beheerkosten o.b.v. herstelmethodebesluit d.d. 14-04-2017</t>
  </si>
  <si>
    <t>Geschatte totale inkoopkosten o.b.v. herstelmethodebesluit d.d. 14-04-2017 (na aftrek vrijval saldo onbalans)</t>
  </si>
  <si>
    <t>Geschatte uitvoeringskosten o.b.v. herstel methodebesluit d.d. 14-04-2017</t>
  </si>
  <si>
    <t>Inkomsten op basis van wettelijke formule o.b.v. gewijzigd methodebesluit d.d. 24-01-2019</t>
  </si>
  <si>
    <t>Berekening inkomsten op basis van wettelijke formule o.b.v. gewijzigd methodebesluit d.d. 24-01-2019</t>
  </si>
  <si>
    <t>Berekening correctie op de inkomsten 2017 t/m 2019 na gewijzigd methodebesluit d.d. 24-01-2019</t>
  </si>
  <si>
    <r>
      <rPr>
        <b/>
        <sz val="10"/>
        <rFont val="Arial"/>
        <family val="2"/>
      </rPr>
      <t>Beschrijving berekening</t>
    </r>
    <r>
      <rPr>
        <sz val="10"/>
        <rFont val="Arial"/>
        <family val="2"/>
      </rPr>
      <t xml:space="preserve">
Op dit tabblad berekent de ACM het budget dat TenneT in 2020 ter beschikking krijgt voor het uitvoeren van de systeemtaken. Het budget voor systeemtaken bestaat uit beheerkosten, inkoopkosten en uitvoeringskosten. De wijze van berekening is omgeschreven in het Methodebesluit TenneT 2017-2021 Systeem en de bijbehorende formulebijlage. Tevens berekent de ACM de correctie op de eerder berekende inkomsten voor de syteemtaken in 2017 t/m 2019 als gevolg van het gewijzigde methodebesluit d.d. 24-01-2019.</t>
    </r>
  </si>
  <si>
    <t>Geschatte beheerkosten na gewijzigd methodebesluit d.d. 24-01-2019</t>
  </si>
  <si>
    <t>Berekening (correctie) beheerkosten na gewijzigd methodebesluit d.d. 24-01-2019</t>
  </si>
  <si>
    <t>Berekening (correctie) inkoopkoosten na gewijzigd methodebesluit d.d. 24-01-2019</t>
  </si>
  <si>
    <t>Geschatte inkoopkosten na gewijzigd methodebesluit d.d. 24-01-2019 (na aftrek vrijval saldo onbalans)</t>
  </si>
  <si>
    <t>Berekening (correctie) uitvoeringskosten na gewijzigd methodebesluit d.d. 24-01-2019</t>
  </si>
  <si>
    <t>Uitvoeringskosten in jaar t-2 na gewijzigd methodebesluit d.d. 24-01-2019</t>
  </si>
  <si>
    <t>Geschatte uitvoeringskosten in jaar t na gewijzigd methodebesluit d.d. 24-01-2019</t>
  </si>
  <si>
    <r>
      <t xml:space="preserve">Op dit tabblad berekent de ACM de nacalculatie op de inkoopkosten energie en vermogen. Met ingang van het gewijzigde methodebesluit d.d. 24-01-2019 calculeert de ACM deze kosten na. Dit betekent dat de ACM ook met terugwerkende kracht een correctie voor 2017 moet opnemen. Het gaat niet om een volledige nacalculatie van het verschil tussen prognose en realisatie, maar om een gedeeltelijk nacalculatie op basis van een bonus-malusregeling. Een kwart van het verschil tussen prognose en realisatie is voor rekening van TenneT, tot een maximum van 20% afwijking op de prognose. De prognose voor de inkoopkosten energie en vermogen binnen de transporttaak is gebaseerd op de realisatie in de jaren 2013 t/m 2015; de prognose voor de inkoopkosten energie en vermogen binnen de systeemtaak is gebaseerd op de realisatie in het jaar t-2. 
</t>
    </r>
    <r>
      <rPr>
        <i/>
        <sz val="10"/>
        <rFont val="Arial"/>
        <family val="2"/>
      </rPr>
      <t>Toelichting bij bijzonderheden</t>
    </r>
    <r>
      <rPr>
        <sz val="10"/>
        <rFont val="Arial"/>
        <family val="2"/>
      </rPr>
      <t xml:space="preserve">
Bedragen in de berekening zijn inclusief het rentepercentage voor tariefcorrecties.</t>
    </r>
  </si>
  <si>
    <t>Correcties op eerdere toevoegingen en correcties als gevolg gewijzigd methodebesluit d.d. 24-01-2019</t>
  </si>
  <si>
    <t>Herstel methodebesluit GTS 2017-2021</t>
  </si>
  <si>
    <t>Gewijzigd methodebesluit GTS 2017-2021 d.d. 24-01-2019</t>
  </si>
  <si>
    <t>Herstel methodebesluit TenneT transport 2017-2021</t>
  </si>
  <si>
    <t>Geschatte uitvoeringskosten o.b.v. herstelmethodebesluit d.d. 14-04-2017</t>
  </si>
  <si>
    <t>Herstel uitwerking van de methode voor de WACC 2017-2021, p. 27, rn 97a; Gewijzigd methodebesluit GTS d.d. 24-01-2019, p. 43, voetnoot 46 (cel R37 t/m U37)</t>
  </si>
  <si>
    <t>Correctie toevoeging vermogenskosten RCR-investeringen 2018 in 2020</t>
  </si>
  <si>
    <t>Rekenmodule Tarievenbesluit TenneT 2017, tab 11, cel E22; Rekenmodule Tarievenbesluit TenneT 2018, tab 'kosten systeemtaken', cel L5; Rekenmodule Tarievenbesluit TenneT 2019, tab 14, cel L41</t>
  </si>
  <si>
    <t>Rekenmodule Tarievenbesluit TenneT 2017, tab 11, cel E23; Rekenmodule Tarievenbesluit TenneT 2018, tab 'kosten systeemtaken', cel L6; Rekenmodule Tarievenbesluit TenneT 2019, tab 14, cel L42</t>
  </si>
  <si>
    <t>Percentage beginjaar 2016 en eindjaar 2021 wordt in besluit afgerond vastgesteld op 1 decimaal. Percentage in tussenliggende jaren wordt berekend met lineaire ingroei op basis van onafgeronde percentages in begin- en eindjaar.</t>
  </si>
  <si>
    <t xml:space="preserve">Als deze controle tot een 'ja' leidt, dan zijn de voorgestelde volumina door TenneT gelijk aan de gerealiseerde volumina 2018. </t>
  </si>
  <si>
    <t xml:space="preserve">Als deze controle tot een 'ja' leidt, dan veranderen de inkomsten van TenneT op basis van de verwachte volumina met meer dan 1% ten opzichte van de inkomsten op basis de rekenvolumina 2019. </t>
  </si>
  <si>
    <t>Ja</t>
  </si>
  <si>
    <t>=R46-R51</t>
  </si>
  <si>
    <t>=25%*R129</t>
  </si>
  <si>
    <t>=ALS(R130&lt;0;-5%*R51;5%*R51)</t>
  </si>
  <si>
    <t>=ALS(R129&lt;0;MAX(R130;R131);MIN(R130;R131))</t>
  </si>
  <si>
    <t>=R129-R132</t>
  </si>
  <si>
    <t>=S46-S51</t>
  </si>
  <si>
    <t>=25%*S129</t>
  </si>
  <si>
    <t>=ALS(S130&lt;0;-5%*S51;5%*S51)</t>
  </si>
  <si>
    <t>=ALS(S129&lt;0;MAX(S130;S131);MIN(S130;S131))</t>
  </si>
  <si>
    <t>=S129-S132</t>
  </si>
  <si>
    <t>=R47-R52</t>
  </si>
  <si>
    <t>=25%*R136</t>
  </si>
  <si>
    <t>=ALS(R137&lt;0;-5%*R52;5%*R52)</t>
  </si>
  <si>
    <t>=ALS(R136&lt;0;MAX(R137;R138);MIN(R137;R138))</t>
  </si>
  <si>
    <t>=R136-R139</t>
  </si>
  <si>
    <t>=S47-S52</t>
  </si>
  <si>
    <t>=25%*S136</t>
  </si>
  <si>
    <t>=ALS(S137&lt;0;-5%*S52;5%*S52)</t>
  </si>
  <si>
    <t>=ALS(S136&lt;0;MAX(S137;S138);MIN(S137;S138))</t>
  </si>
  <si>
    <t>=S136-S139</t>
  </si>
  <si>
    <t>=R48-R53</t>
  </si>
  <si>
    <t>=25%*R143</t>
  </si>
  <si>
    <t>=ALS(R144&lt;0;-5%*R53;5%*R53)</t>
  </si>
  <si>
    <t>=ALS(R143&lt;0;MAX(R144;R145);MIN(R144;R145))</t>
  </si>
  <si>
    <t>=R143-R146</t>
  </si>
  <si>
    <t>=S48-S53</t>
  </si>
  <si>
    <t>=25%*S143</t>
  </si>
  <si>
    <t>=ALS(S144&lt;0;-5%*S53;5%*S53)</t>
  </si>
  <si>
    <t>=ALS(S143&lt;0;MAX(S144;S145);MIN(S144;S145))</t>
  </si>
  <si>
    <t>=S143-S146</t>
  </si>
  <si>
    <t>=R49-R54</t>
  </si>
  <si>
    <t>=25%*R150</t>
  </si>
  <si>
    <t>=ALS(R151&lt;0;-5%*R54;5%*R54)</t>
  </si>
  <si>
    <t>=ALS(R150&lt;0;MAX(R151;R152);MIN(R151;R152))</t>
  </si>
  <si>
    <t>=R150-R153</t>
  </si>
  <si>
    <t>=S49-S54</t>
  </si>
  <si>
    <t>=25%*S150</t>
  </si>
  <si>
    <t>=ALS(S151&lt;0;-5%*S54;5%*S54)</t>
  </si>
  <si>
    <t>=ALS(S150&lt;0;MAX(S151;S152);MIN(S151;S152))</t>
  </si>
  <si>
    <t>=S150-S153</t>
  </si>
  <si>
    <t>=R40-R74</t>
  </si>
  <si>
    <t>=25%*R105</t>
  </si>
  <si>
    <t>=ALS(R106&lt;0;-5%*R74;5%*R74)</t>
  </si>
  <si>
    <t>=ALS(R105&lt;0;MAX(R106;R107);MIN(R106;R107))</t>
  </si>
  <si>
    <t>=R105-R108</t>
  </si>
  <si>
    <t>=S40-S74</t>
  </si>
  <si>
    <t>=25%*S105</t>
  </si>
  <si>
    <t>=ALS(S106&lt;0;-5%*S74;5%*S74)</t>
  </si>
  <si>
    <t>=ALS(S105&lt;0;MAX(S106;S107);MIN(S106;S107))</t>
  </si>
  <si>
    <t>=S105-S108</t>
  </si>
  <si>
    <t>=R41-R75</t>
  </si>
  <si>
    <t>=25%*R112</t>
  </si>
  <si>
    <t>=ALS(R113&lt;0;-5%*R75;5%*R75)</t>
  </si>
  <si>
    <t>=ALS(R112&lt;0;MAX(R113;R114);MIN(R113;R114))</t>
  </si>
  <si>
    <t>=R112-R115</t>
  </si>
  <si>
    <t>=S41-S75</t>
  </si>
  <si>
    <t>=25%*S112</t>
  </si>
  <si>
    <t>=ALS(S113&lt;0;-5%*S75;5%*S75)</t>
  </si>
  <si>
    <t>=ALS(S112&lt;0;MAX(S113;S114);MIN(S113;S114))</t>
  </si>
  <si>
    <t>=S112-S115</t>
  </si>
  <si>
    <t>=R42-R76</t>
  </si>
  <si>
    <t>=25%*R119</t>
  </si>
  <si>
    <t>=ALS(R120&lt;0;-5%*R76;5%*R76)</t>
  </si>
  <si>
    <t>=ALS(R119&lt;0;MAX(R120;R121);MIN(R120;R121))</t>
  </si>
  <si>
    <t>=R119-R122</t>
  </si>
  <si>
    <t>=S42-S76</t>
  </si>
  <si>
    <t>=25%*S119</t>
  </si>
  <si>
    <t>=ALS(S120&lt;0;-5%*S76;5%*S76)</t>
  </si>
  <si>
    <t>=ALS(S119&lt;0;MAX(S120;S121);MIN(S120;S121))</t>
  </si>
  <si>
    <t>=S119-S122</t>
  </si>
  <si>
    <t>=R35-R69</t>
  </si>
  <si>
    <t>=25%*R81</t>
  </si>
  <si>
    <t>=ALS(R82&lt;0;-5%*R69;5%*R69)</t>
  </si>
  <si>
    <t>=ALS(R81&lt;0;MAX(R82;R83);MIN(R82;R83))</t>
  </si>
  <si>
    <t>=R81-R84</t>
  </si>
  <si>
    <t>=S35-S69</t>
  </si>
  <si>
    <t>=25%*S81</t>
  </si>
  <si>
    <t>=ALS(S82&lt;0;-5%*S69;5%*S69)</t>
  </si>
  <si>
    <t>=ALS(S81&lt;0;MAX(S82;S83);MIN(S82;S83))</t>
  </si>
  <si>
    <t>=S81-S84</t>
  </si>
  <si>
    <t>=R36-R70</t>
  </si>
  <si>
    <t>=25%*R88</t>
  </si>
  <si>
    <t>=ALS(R89&lt;0;-5%*R70;5%*R70)</t>
  </si>
  <si>
    <t>=ALS(R88&lt;0;MAX(R89;R90);MIN(R89;R90))</t>
  </si>
  <si>
    <t>=R88-R91</t>
  </si>
  <si>
    <t>=S36-S70</t>
  </si>
  <si>
    <t>=25%*S88</t>
  </si>
  <si>
    <t>=ALS(S89&lt;0;-5%*S70;5%*S70)</t>
  </si>
  <si>
    <t>=ALS(S88&lt;0;MAX(S89;S90);MIN(S89;S90))</t>
  </si>
  <si>
    <t>=S88-S91</t>
  </si>
  <si>
    <t>=R37-R71</t>
  </si>
  <si>
    <t>=25%*R95</t>
  </si>
  <si>
    <t>=ALS(R96&lt;0;-5%*R71;5%*R71)</t>
  </si>
  <si>
    <t>=ALS(R95&lt;0;MAX(R96;R97);MIN(R96;R97))</t>
  </si>
  <si>
    <t>=R95-R98</t>
  </si>
  <si>
    <t>=S37-S71</t>
  </si>
  <si>
    <t>=25%*S95</t>
  </si>
  <si>
    <t>=ALS(S96&lt;0;-5%*S71;5%*S71)</t>
  </si>
  <si>
    <t>=ALS(S95&lt;0;MAX(S96;S97);MIN(S96;S97))</t>
  </si>
  <si>
    <t>=S95-S98</t>
  </si>
  <si>
    <t>=(1/3)*(N35*(1+$H$21)+O35*(1+$H$22)+P35*(1+$H$23))</t>
  </si>
  <si>
    <t>=(1/3)*(N36*(1+$H$21)+O36*(1+$H$22)+P36*(1+$H$23))</t>
  </si>
  <si>
    <t>=(1/3)*(N37*(1+$H$21)+O37*(1+$H$22)+P37*(1+$H$23))</t>
  </si>
  <si>
    <t>=(1/3)*(N40*(1+$H$21)+O40*(1+$H$22)+P40*(1+$H$23))+(1/3)*(N43*(1+H21)+O43*(1+H22)+P43*(1+H23))</t>
  </si>
  <si>
    <t>=(1/3)*(N41*(1+$H$21)+O41*(1+$H$22)+P41*(1+$H$23))</t>
  </si>
  <si>
    <t>=(1/3)*(N42*(1+$H$21)+O42*(1+$H$22)+P42*(1+$H$23))</t>
  </si>
  <si>
    <t>=Q59*(1+(R$19-$H$32/100))</t>
  </si>
  <si>
    <t>=Q60*(1+(R$19-$H$32/100))</t>
  </si>
  <si>
    <t>=Q61*(1+(R$19-$H$32/100))</t>
  </si>
  <si>
    <t>=R69*(1+(S$19-$H$32/100))</t>
  </si>
  <si>
    <t>=R70*(1+(S$19-$H$32/100))</t>
  </si>
  <si>
    <t>=R71*(1+(S$19-$H$32/100))</t>
  </si>
  <si>
    <t>=Q64*(1+(R$19-$H$32/100))</t>
  </si>
  <si>
    <t>=Q65*(1+(R$19-$H$32/100))</t>
  </si>
  <si>
    <t>=Q66*(1+(R$19-$H$32/100))</t>
  </si>
  <si>
    <t>=R74*(1+(S$19-$H$32/100))</t>
  </si>
  <si>
    <t>=R75*(1+(S$19-$H$32/100))</t>
  </si>
  <si>
    <t>=R76*(1+(S$19-$H$32/100))</t>
  </si>
  <si>
    <t>='Tab 10_Brondata'!N81</t>
  </si>
  <si>
    <t>='Tab 10_Brondata'!N82</t>
  </si>
  <si>
    <t>='Tab 10_Brondata'!N83</t>
  </si>
  <si>
    <t>='Tab 10_Brondata'!O81</t>
  </si>
  <si>
    <t>='Tab 10_Brondata'!O82</t>
  </si>
  <si>
    <t>='Tab 10_Brondata'!O83</t>
  </si>
  <si>
    <t>='Tab 10_Brondata'!P81</t>
  </si>
  <si>
    <t>='Tab 10_Brondata'!P82</t>
  </si>
  <si>
    <t>='Tab 10_Brondata'!P83</t>
  </si>
  <si>
    <t>='Tab 10_Brondata'!R81</t>
  </si>
  <si>
    <t>='Tab 10_Brondata'!R82</t>
  </si>
  <si>
    <t>='Tab 10_Brondata'!R83</t>
  </si>
  <si>
    <t>='Tab 10_Brondata'!S81</t>
  </si>
  <si>
    <t>='Tab 10_Brondata'!S82</t>
  </si>
  <si>
    <t>='Tab 10_Brondata'!S83</t>
  </si>
  <si>
    <t>='Tab 10_Brondata'!N86</t>
  </si>
  <si>
    <t>='Tab 10_Brondata'!N87</t>
  </si>
  <si>
    <t>='Tab 10_Brondata'!N88</t>
  </si>
  <si>
    <t>='Tab 10_Brondata'!N89</t>
  </si>
  <si>
    <t>='Tab 10_Brondata'!O86</t>
  </si>
  <si>
    <t>='Tab 10_Brondata'!O87</t>
  </si>
  <si>
    <t>='Tab 10_Brondata'!O88</t>
  </si>
  <si>
    <t>='Tab 10_Brondata'!O89</t>
  </si>
  <si>
    <t>='Tab 10_Brondata'!P86</t>
  </si>
  <si>
    <t>='Tab 10_Brondata'!P87</t>
  </si>
  <si>
    <t>='Tab 10_Brondata'!P88</t>
  </si>
  <si>
    <t>='Tab 10_Brondata'!P89</t>
  </si>
  <si>
    <t>='Tab 10_Brondata'!R86</t>
  </si>
  <si>
    <t>='Tab 10_Brondata'!R87</t>
  </si>
  <si>
    <t>='Tab 10_Brondata'!R88</t>
  </si>
  <si>
    <t>='Tab 10_Brondata'!S86</t>
  </si>
  <si>
    <t>='Tab 10_Brondata'!S87</t>
  </si>
  <si>
    <t>='Tab 10_Brondata'!S88</t>
  </si>
  <si>
    <t>='Tab 10_Brondata'!R62</t>
  </si>
  <si>
    <t>='Tab 10_Brondata'!R63</t>
  </si>
  <si>
    <t>='Tab 10_Brondata'!R64</t>
  </si>
  <si>
    <t>='Tab 10_Brondata'!R65</t>
  </si>
  <si>
    <t>='Tab 10_Brondata'!S62</t>
  </si>
  <si>
    <t>='Tab 10_Brondata'!S63</t>
  </si>
  <si>
    <t>='Tab 10_Brondata'!S64</t>
  </si>
  <si>
    <t>='Tab 10_Brondata'!S65</t>
  </si>
  <si>
    <t>='Tab 14_Budget systeemtaken'!R73</t>
  </si>
  <si>
    <t>='Tab 14_Budget systeemtaken'!R74</t>
  </si>
  <si>
    <t>='Tab 14_Budget systeemtaken'!R75</t>
  </si>
  <si>
    <t>='Tab 14_Budget systeemtaken'!R76</t>
  </si>
  <si>
    <t>='Tab 14_Budget systeemtaken'!S73</t>
  </si>
  <si>
    <t>='Tab 14_Budget systeemtaken'!S74</t>
  </si>
  <si>
    <t>='Tab 14_Budget systeemtaken'!S75</t>
  </si>
  <si>
    <t>='Tab 14_Budget systeemtaken'!S76</t>
  </si>
  <si>
    <t>=P45*(1+$H$21)*(1-Q$37)*(1-R$37)</t>
  </si>
  <si>
    <t>=P46*(1+$H$21)*(1-Q$37)*(1-R$37)</t>
  </si>
  <si>
    <t>=P47*(1+$H$21)*(1-Q$37)*(1-R$37)</t>
  </si>
  <si>
    <t>=P48*(1+$H$21)*(1-Q$37)*(1-R$37)</t>
  </si>
  <si>
    <t>=Q45*(1+$H$22)*(1-R$37)*(1-S$37)</t>
  </si>
  <si>
    <t>=Q46*(1+$H$22)*(1-R$37)*(1-S$37)</t>
  </si>
  <si>
    <t>=Q47*(1+$H$22)*(1-R$37)*(1-S$37)</t>
  </si>
  <si>
    <t>=Q48*(1+$H$22)*(1-R$37)*(1-S$37)</t>
  </si>
  <si>
    <t>=R45*(1+$H$23)*(1-S$37)*(1-T$37)</t>
  </si>
  <si>
    <t>=R46*(1+$H$23)*(1-S$37)*(1-T$37)</t>
  </si>
  <si>
    <t>=R47*(1+$H$23)*(1-S$37)*(1-T$37)</t>
  </si>
  <si>
    <t>=R48*(1+$H$23)*(1-S$37)*(1-T$37)</t>
  </si>
  <si>
    <t>=S45*(1+$H$24)*(1-T$37)*(1-U$37)</t>
  </si>
  <si>
    <t>=S46*(1+$H$24)*(1-T$37)*(1-U$37)</t>
  </si>
  <si>
    <t>=S47*(1+$H$24)*(1-T$37)*(1-U$37)</t>
  </si>
  <si>
    <t>=S48*(1+$H$24)*(1-T$37)*(1-U$37)</t>
  </si>
  <si>
    <t>='Tab 10_Brondata'!P62</t>
  </si>
  <si>
    <t>='Tab 10_Brondata'!P63</t>
  </si>
  <si>
    <t>='Tab 10_Brondata'!P64</t>
  </si>
  <si>
    <t>='Tab 10_Brondata'!P65</t>
  </si>
  <si>
    <t>='Tab 10_Brondata'!Q62</t>
  </si>
  <si>
    <t>='Tab 10_Brondata'!Q63</t>
  </si>
  <si>
    <t>='Tab 10_Brondata'!Q64</t>
  </si>
  <si>
    <t>='Tab 10_Brondata'!Q65</t>
  </si>
  <si>
    <r>
      <rPr>
        <i/>
        <sz val="10"/>
        <rFont val="Arial"/>
        <family val="2"/>
      </rPr>
      <t xml:space="preserve">Opmerking TenneT: </t>
    </r>
    <r>
      <rPr>
        <sz val="10"/>
        <rFont val="Arial"/>
        <family val="2"/>
      </rPr>
      <t>Bedrijfsvertrouwelijk</t>
    </r>
  </si>
  <si>
    <t>Rekenmodule tarievenvoorstel TenneT 2020</t>
  </si>
  <si>
    <t>Dit is het definitieve tarievenvoorstel van TenneT</t>
  </si>
  <si>
    <t>Definitief?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</si>
</sst>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64" formatCode="_-* #,##0_-;_-* #,##0\-;_-* &quot;-&quot;??_-;_-@_-"/>
    <numFmt numFmtId="165" formatCode="0.0%"/>
    <numFmt numFmtId="166" formatCode="_ * #,##0_ ;_ * \-#,##0_ ;_ * &quot;-&quot;??_ ;_ @_ "/>
    <numFmt numFmtId="167" formatCode="#,##0.00_ ;\-#,##0.00\ "/>
    <numFmt numFmtId="168" formatCode="_ * #,##0.0000_ ;_ * \-#,##0.0000_ ;_ * &quot;-&quot;??_ ;_ @_ "/>
    <numFmt numFmtId="169" formatCode="#,##0_ ;\-#,##0\ "/>
  </numFmts>
  <fonts count="3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name val="DTLArgoT"/>
    </font>
    <font>
      <sz val="10"/>
      <color indexed="8"/>
      <name val="Arial"/>
      <family val="2"/>
    </font>
    <font>
      <sz val="12"/>
      <name val="Times New Roman"/>
      <family val="1"/>
    </font>
    <font>
      <sz val="10"/>
      <color indexed="8"/>
      <name val="MS Sans Serif"/>
      <family val="2"/>
    </font>
    <font>
      <b/>
      <sz val="10"/>
      <color indexed="8"/>
      <name val="Arial"/>
      <family val="2"/>
    </font>
    <font>
      <sz val="11"/>
      <color indexed="8"/>
      <name val="Arial"/>
      <family val="2"/>
    </font>
    <font>
      <sz val="10"/>
      <color theme="0"/>
      <name val="Arial"/>
      <family val="2"/>
    </font>
    <font>
      <b/>
      <sz val="10"/>
      <color rgb="FFFFC000"/>
      <name val="Arial"/>
      <family val="2"/>
    </font>
    <font>
      <b/>
      <sz val="10"/>
      <color rgb="FFFF66FF"/>
      <name val="Arial"/>
      <family val="2"/>
    </font>
    <font>
      <sz val="8"/>
      <color indexed="81"/>
      <name val="Tahoma"/>
      <family val="2"/>
    </font>
    <font>
      <u/>
      <sz val="11"/>
      <color theme="10"/>
      <name val="Calibri"/>
      <family val="2"/>
      <scheme val="minor"/>
    </font>
    <font>
      <u/>
      <sz val="10"/>
      <color theme="10"/>
      <name val="Arial"/>
      <family val="2"/>
    </font>
  </fonts>
  <fills count="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1"/>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40">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lignment vertical="top"/>
    </xf>
    <xf numFmtId="49" fontId="8" fillId="5" borderId="1">
      <alignment vertical="top"/>
    </xf>
    <xf numFmtId="49" fontId="5" fillId="20" borderId="1">
      <alignment vertical="top"/>
    </xf>
    <xf numFmtId="49" fontId="5" fillId="0" borderId="0">
      <alignment vertical="top"/>
    </xf>
    <xf numFmtId="43" fontId="4" fillId="13" borderId="0">
      <alignment vertical="top"/>
    </xf>
    <xf numFmtId="43" fontId="4" fillId="12" borderId="0">
      <alignment vertical="top"/>
    </xf>
    <xf numFmtId="43" fontId="4" fillId="10" borderId="0">
      <alignment vertical="top"/>
    </xf>
    <xf numFmtId="43" fontId="4" fillId="6" borderId="0">
      <alignment vertical="top"/>
    </xf>
    <xf numFmtId="43" fontId="4" fillId="8" borderId="0">
      <alignment vertical="top"/>
    </xf>
    <xf numFmtId="43" fontId="4" fillId="14" borderId="0">
      <alignment vertical="top"/>
    </xf>
    <xf numFmtId="49" fontId="10" fillId="0" borderId="0">
      <alignment vertical="top"/>
    </xf>
    <xf numFmtId="49" fontId="9" fillId="0" borderId="0">
      <alignment vertical="top"/>
    </xf>
    <xf numFmtId="0" fontId="15" fillId="16" borderId="3" applyNumberFormat="0" applyAlignment="0" applyProtection="0"/>
    <xf numFmtId="0" fontId="16" fillId="17" borderId="4" applyNumberFormat="0" applyAlignment="0" applyProtection="0"/>
    <xf numFmtId="0" fontId="17" fillId="17" borderId="3" applyNumberFormat="0" applyAlignment="0" applyProtection="0"/>
    <xf numFmtId="0" fontId="18" fillId="0" borderId="5" applyNumberFormat="0" applyFill="0" applyAlignment="0" applyProtection="0"/>
    <xf numFmtId="0" fontId="12" fillId="18" borderId="6" applyNumberFormat="0" applyAlignment="0" applyProtection="0"/>
    <xf numFmtId="0" fontId="14" fillId="19" borderId="7" applyNumberFormat="0" applyFont="0" applyAlignment="0" applyProtection="0"/>
    <xf numFmtId="9" fontId="14" fillId="0" borderId="0" applyFont="0" applyFill="0" applyBorder="0" applyAlignment="0" applyProtection="0"/>
    <xf numFmtId="0" fontId="19" fillId="0" borderId="0"/>
    <xf numFmtId="0" fontId="4" fillId="0" borderId="0"/>
    <xf numFmtId="0" fontId="21" fillId="0" borderId="0"/>
    <xf numFmtId="0" fontId="19" fillId="0" borderId="0"/>
    <xf numFmtId="0" fontId="22" fillId="0" borderId="0"/>
    <xf numFmtId="9" fontId="19" fillId="0" borderId="0" applyFont="0" applyFill="0" applyBorder="0" applyAlignment="0" applyProtection="0"/>
    <xf numFmtId="0" fontId="22" fillId="0" borderId="0"/>
    <xf numFmtId="0" fontId="4" fillId="0" borderId="0"/>
    <xf numFmtId="0" fontId="4" fillId="0" borderId="0"/>
    <xf numFmtId="0" fontId="4" fillId="0" borderId="0"/>
    <xf numFmtId="9" fontId="14" fillId="0" borderId="0" applyFont="0" applyFill="0" applyBorder="0" applyAlignment="0" applyProtection="0"/>
    <xf numFmtId="0" fontId="4" fillId="0" borderId="0"/>
    <xf numFmtId="0" fontId="4" fillId="0" borderId="0"/>
    <xf numFmtId="0" fontId="4" fillId="0" borderId="0"/>
    <xf numFmtId="43" fontId="4" fillId="23" borderId="0">
      <alignment vertical="top"/>
    </xf>
    <xf numFmtId="43" fontId="14" fillId="0" borderId="0" applyFont="0" applyFill="0" applyBorder="0" applyAlignment="0" applyProtection="0"/>
    <xf numFmtId="0" fontId="29" fillId="0" borderId="0" applyNumberFormat="0" applyFill="0" applyBorder="0" applyAlignment="0" applyProtection="0"/>
  </cellStyleXfs>
  <cellXfs count="278">
    <xf numFmtId="0" fontId="0" fillId="0" borderId="0" xfId="0"/>
    <xf numFmtId="0" fontId="5" fillId="0" borderId="0" xfId="4" applyFont="1">
      <alignment vertical="top"/>
    </xf>
    <xf numFmtId="0" fontId="4" fillId="0" borderId="0" xfId="4">
      <alignment vertical="top"/>
    </xf>
    <xf numFmtId="0" fontId="6" fillId="0" borderId="0" xfId="4" applyFont="1">
      <alignment vertical="top"/>
    </xf>
    <xf numFmtId="0" fontId="9" fillId="0" borderId="0" xfId="4" applyFont="1">
      <alignment vertical="top"/>
    </xf>
    <xf numFmtId="0" fontId="10" fillId="0" borderId="0" xfId="4" applyFont="1">
      <alignment vertical="top"/>
    </xf>
    <xf numFmtId="0" fontId="4" fillId="0" borderId="2" xfId="4" applyBorder="1">
      <alignment vertical="top"/>
    </xf>
    <xf numFmtId="49" fontId="5" fillId="20" borderId="1" xfId="6">
      <alignment vertical="top"/>
    </xf>
    <xf numFmtId="0" fontId="4" fillId="0" borderId="0" xfId="4" applyFill="1">
      <alignment vertical="top"/>
    </xf>
    <xf numFmtId="0" fontId="6" fillId="0" borderId="2" xfId="4" applyFont="1" applyBorder="1" applyAlignment="1">
      <alignment horizontal="left" vertical="top" wrapText="1"/>
    </xf>
    <xf numFmtId="0" fontId="4" fillId="0" borderId="2" xfId="4" applyBorder="1" applyAlignment="1">
      <alignment horizontal="left" vertical="top" wrapText="1"/>
    </xf>
    <xf numFmtId="0" fontId="8" fillId="5" borderId="1" xfId="4" applyFont="1" applyFill="1" applyBorder="1">
      <alignment vertical="top"/>
    </xf>
    <xf numFmtId="0" fontId="7" fillId="5" borderId="1" xfId="4" applyFont="1" applyFill="1" applyBorder="1">
      <alignment vertical="top"/>
    </xf>
    <xf numFmtId="0" fontId="10" fillId="0" borderId="0" xfId="4" applyFont="1" applyFill="1">
      <alignment vertical="top"/>
    </xf>
    <xf numFmtId="0" fontId="4" fillId="7" borderId="0" xfId="4" applyFill="1">
      <alignment vertical="top"/>
    </xf>
    <xf numFmtId="2" fontId="4" fillId="11" borderId="0" xfId="4" applyNumberFormat="1" applyFill="1">
      <alignment vertical="top"/>
    </xf>
    <xf numFmtId="1" fontId="4" fillId="0" borderId="0" xfId="4" applyNumberFormat="1" applyFill="1">
      <alignment vertical="top"/>
    </xf>
    <xf numFmtId="1" fontId="9" fillId="0" borderId="0" xfId="4" applyNumberFormat="1" applyFont="1" applyFill="1">
      <alignment vertical="top"/>
    </xf>
    <xf numFmtId="0" fontId="11" fillId="0" borderId="0" xfId="4" applyFont="1" applyFill="1">
      <alignment vertical="top"/>
    </xf>
    <xf numFmtId="49" fontId="6" fillId="20" borderId="2" xfId="6" applyFont="1" applyBorder="1">
      <alignment vertical="top"/>
    </xf>
    <xf numFmtId="0" fontId="8" fillId="5" borderId="1" xfId="5" applyNumberFormat="1">
      <alignment vertical="top"/>
    </xf>
    <xf numFmtId="0" fontId="13" fillId="0" borderId="0" xfId="4" applyFont="1">
      <alignment vertical="top"/>
    </xf>
    <xf numFmtId="0" fontId="4" fillId="15" borderId="0" xfId="4" applyFill="1">
      <alignment vertical="top"/>
    </xf>
    <xf numFmtId="0" fontId="4" fillId="0" borderId="0" xfId="4" applyFont="1">
      <alignment vertical="top"/>
    </xf>
    <xf numFmtId="49" fontId="4" fillId="20" borderId="2" xfId="6" applyFont="1" applyBorder="1">
      <alignment vertical="top"/>
    </xf>
    <xf numFmtId="0" fontId="4" fillId="0" borderId="2" xfId="4" applyFont="1" applyBorder="1">
      <alignment vertical="top"/>
    </xf>
    <xf numFmtId="49" fontId="10" fillId="0" borderId="0" xfId="14">
      <alignment vertical="top"/>
    </xf>
    <xf numFmtId="0" fontId="5" fillId="20" borderId="1" xfId="6" applyNumberFormat="1" applyAlignment="1">
      <alignment horizontal="left" vertical="top" wrapText="1"/>
    </xf>
    <xf numFmtId="3" fontId="4" fillId="0" borderId="0" xfId="4" applyNumberFormat="1" applyFill="1">
      <alignment vertical="top"/>
    </xf>
    <xf numFmtId="0" fontId="4" fillId="0" borderId="0" xfId="4" applyFont="1" applyFill="1">
      <alignment vertical="top"/>
    </xf>
    <xf numFmtId="3" fontId="4" fillId="7" borderId="0" xfId="4" applyNumberFormat="1" applyFill="1">
      <alignment vertical="top"/>
    </xf>
    <xf numFmtId="49" fontId="5" fillId="20" borderId="1" xfId="6" applyAlignment="1">
      <alignment vertical="top" wrapText="1"/>
    </xf>
    <xf numFmtId="0" fontId="4" fillId="0" borderId="0" xfId="4" applyAlignment="1">
      <alignment horizontal="left" vertical="top"/>
    </xf>
    <xf numFmtId="3" fontId="20" fillId="0" borderId="0" xfId="23" applyNumberFormat="1" applyFont="1" applyFill="1" applyBorder="1" applyAlignment="1" applyProtection="1">
      <protection locked="0"/>
    </xf>
    <xf numFmtId="3" fontId="4" fillId="0" borderId="0" xfId="4" applyNumberFormat="1">
      <alignment vertical="top"/>
    </xf>
    <xf numFmtId="49" fontId="10" fillId="20" borderId="1" xfId="6" applyFont="1">
      <alignment vertical="top"/>
    </xf>
    <xf numFmtId="166" fontId="4" fillId="14" borderId="0" xfId="13" applyNumberFormat="1">
      <alignment vertical="top"/>
    </xf>
    <xf numFmtId="166" fontId="4" fillId="12" borderId="0" xfId="9" applyNumberFormat="1">
      <alignment vertical="top"/>
    </xf>
    <xf numFmtId="166" fontId="4" fillId="13" borderId="0" xfId="8" applyNumberFormat="1">
      <alignment vertical="top"/>
    </xf>
    <xf numFmtId="0" fontId="4" fillId="0" borderId="0" xfId="24" applyFont="1"/>
    <xf numFmtId="43" fontId="4" fillId="6" borderId="0" xfId="11">
      <alignment vertical="top"/>
    </xf>
    <xf numFmtId="49" fontId="5" fillId="20" borderId="1" xfId="6" applyFont="1" applyAlignment="1">
      <alignment vertical="top" wrapText="1"/>
    </xf>
    <xf numFmtId="4" fontId="13" fillId="0" borderId="0" xfId="4" applyNumberFormat="1" applyFont="1">
      <alignment vertical="top"/>
    </xf>
    <xf numFmtId="166" fontId="4" fillId="0" borderId="0" xfId="11" applyNumberFormat="1" applyFill="1">
      <alignment vertical="top"/>
    </xf>
    <xf numFmtId="49" fontId="4" fillId="0" borderId="0" xfId="4" applyNumberFormat="1">
      <alignment vertical="top"/>
    </xf>
    <xf numFmtId="166" fontId="4" fillId="0" borderId="0" xfId="13" applyNumberFormat="1" applyFill="1">
      <alignment vertical="top"/>
    </xf>
    <xf numFmtId="41" fontId="4" fillId="12" borderId="0" xfId="9" applyNumberFormat="1">
      <alignment vertical="top"/>
    </xf>
    <xf numFmtId="166" fontId="4" fillId="0" borderId="0" xfId="4" applyNumberFormat="1">
      <alignment vertical="top"/>
    </xf>
    <xf numFmtId="3" fontId="4" fillId="0" borderId="0" xfId="25" applyNumberFormat="1" applyFont="1" applyFill="1" applyBorder="1" applyAlignment="1" applyProtection="1">
      <alignment vertical="center"/>
    </xf>
    <xf numFmtId="3" fontId="5" fillId="0" borderId="0" xfId="25" applyNumberFormat="1" applyFont="1" applyFill="1" applyBorder="1" applyAlignment="1" applyProtection="1">
      <alignment vertical="center"/>
    </xf>
    <xf numFmtId="39" fontId="4" fillId="0" borderId="0" xfId="26" applyNumberFormat="1" applyFont="1" applyFill="1" applyBorder="1" applyAlignment="1" applyProtection="1">
      <alignment vertical="center"/>
    </xf>
    <xf numFmtId="3" fontId="4" fillId="0" borderId="0" xfId="25" applyNumberFormat="1" applyFont="1" applyBorder="1" applyAlignment="1" applyProtection="1">
      <alignment vertical="center"/>
    </xf>
    <xf numFmtId="0" fontId="5" fillId="0" borderId="0" xfId="27" applyFont="1" applyBorder="1"/>
    <xf numFmtId="0" fontId="4" fillId="0" borderId="0" xfId="27" applyFont="1" applyFill="1" applyBorder="1"/>
    <xf numFmtId="0" fontId="20" fillId="0" borderId="0" xfId="27" applyFont="1" applyFill="1" applyBorder="1"/>
    <xf numFmtId="0" fontId="4" fillId="0" borderId="0" xfId="29" applyFont="1" applyFill="1" applyBorder="1"/>
    <xf numFmtId="4" fontId="4" fillId="0" borderId="0" xfId="27" applyNumberFormat="1" applyFont="1" applyFill="1" applyBorder="1"/>
    <xf numFmtId="0" fontId="4" fillId="0" borderId="0" xfId="27" quotePrefix="1" applyFont="1" applyFill="1" applyBorder="1"/>
    <xf numFmtId="3" fontId="4" fillId="0" borderId="0" xfId="27" applyNumberFormat="1" applyFont="1" applyFill="1" applyBorder="1"/>
    <xf numFmtId="0" fontId="4" fillId="0" borderId="0" xfId="29" applyFont="1" applyBorder="1"/>
    <xf numFmtId="165" fontId="4" fillId="12" borderId="0" xfId="9" applyNumberFormat="1">
      <alignment vertical="top"/>
    </xf>
    <xf numFmtId="164" fontId="4" fillId="0" borderId="0" xfId="27" applyNumberFormat="1" applyFont="1" applyFill="1" applyBorder="1"/>
    <xf numFmtId="0" fontId="4" fillId="0" borderId="0" xfId="4" applyBorder="1">
      <alignment vertical="top"/>
    </xf>
    <xf numFmtId="39" fontId="4" fillId="0" borderId="0" xfId="30" applyNumberFormat="1" applyFont="1" applyFill="1" applyBorder="1" applyAlignment="1" applyProtection="1">
      <alignment vertical="center"/>
    </xf>
    <xf numFmtId="0" fontId="4" fillId="0" borderId="0" xfId="27" applyFont="1" applyBorder="1"/>
    <xf numFmtId="3" fontId="4" fillId="0" borderId="0" xfId="27" applyNumberFormat="1" applyFont="1" applyBorder="1"/>
    <xf numFmtId="167" fontId="4" fillId="12" borderId="0" xfId="9" applyNumberFormat="1">
      <alignment vertical="top"/>
    </xf>
    <xf numFmtId="41" fontId="4" fillId="12" borderId="0" xfId="9" applyNumberFormat="1" applyFill="1">
      <alignment vertical="top"/>
    </xf>
    <xf numFmtId="0" fontId="4" fillId="0" borderId="0" xfId="31" applyFont="1" applyFill="1" applyBorder="1"/>
    <xf numFmtId="3" fontId="4" fillId="0" borderId="0" xfId="25" applyNumberFormat="1" applyFont="1" applyBorder="1" applyAlignment="1" applyProtection="1">
      <alignment horizontal="center" vertical="center"/>
    </xf>
    <xf numFmtId="0" fontId="5" fillId="20" borderId="1" xfId="4" applyFont="1" applyFill="1" applyBorder="1">
      <alignment vertical="top"/>
    </xf>
    <xf numFmtId="0" fontId="4" fillId="20" borderId="1" xfId="4" applyFill="1" applyBorder="1">
      <alignment vertical="top"/>
    </xf>
    <xf numFmtId="0" fontId="8" fillId="5" borderId="1" xfId="5" applyNumberFormat="1" applyFont="1">
      <alignment vertical="top"/>
    </xf>
    <xf numFmtId="0" fontId="5" fillId="20" borderId="1" xfId="6" applyNumberFormat="1" applyAlignment="1">
      <alignment horizontal="left" vertical="top"/>
    </xf>
    <xf numFmtId="166" fontId="4" fillId="13" borderId="0" xfId="4" applyNumberFormat="1" applyFill="1">
      <alignment vertical="top"/>
    </xf>
    <xf numFmtId="49" fontId="4" fillId="0" borderId="0" xfId="4" applyNumberFormat="1" applyAlignment="1">
      <alignment horizontal="left" vertical="top"/>
    </xf>
    <xf numFmtId="49" fontId="5" fillId="20" borderId="1" xfId="6" applyFont="1">
      <alignment vertical="top"/>
    </xf>
    <xf numFmtId="4" fontId="4" fillId="0" borderId="0" xfId="4" applyNumberFormat="1" applyFont="1" applyFill="1">
      <alignment vertical="top"/>
    </xf>
    <xf numFmtId="3" fontId="4" fillId="0" borderId="0" xfId="4" applyNumberFormat="1" applyFont="1" applyFill="1">
      <alignment vertical="top"/>
    </xf>
    <xf numFmtId="0" fontId="7" fillId="5" borderId="1" xfId="5" applyNumberFormat="1" applyFont="1">
      <alignment vertical="top"/>
    </xf>
    <xf numFmtId="43" fontId="4" fillId="12" borderId="0" xfId="9" applyFont="1">
      <alignment vertical="top"/>
    </xf>
    <xf numFmtId="0" fontId="5" fillId="0" borderId="0" xfId="4" applyFont="1">
      <alignment vertical="top"/>
    </xf>
    <xf numFmtId="0" fontId="4" fillId="0" borderId="0" xfId="4">
      <alignment vertical="top"/>
    </xf>
    <xf numFmtId="0" fontId="4" fillId="0" borderId="0" xfId="4" applyFont="1">
      <alignment vertical="top"/>
    </xf>
    <xf numFmtId="0" fontId="13" fillId="0" borderId="0" xfId="4" applyFont="1">
      <alignment vertical="top"/>
    </xf>
    <xf numFmtId="0" fontId="9" fillId="0" borderId="0" xfId="4" applyFont="1">
      <alignment vertical="top"/>
    </xf>
    <xf numFmtId="49" fontId="5" fillId="20" borderId="1" xfId="6">
      <alignment vertical="top"/>
    </xf>
    <xf numFmtId="49" fontId="5" fillId="20" borderId="1" xfId="6" applyFont="1" applyAlignment="1">
      <alignment vertical="top" wrapText="1"/>
    </xf>
    <xf numFmtId="39" fontId="4" fillId="0" borderId="0" xfId="26" applyNumberFormat="1" applyFont="1" applyFill="1" applyBorder="1" applyAlignment="1" applyProtection="1">
      <alignment vertical="center"/>
    </xf>
    <xf numFmtId="165" fontId="4" fillId="12" borderId="0" xfId="33" applyNumberFormat="1" applyFont="1" applyFill="1" applyAlignment="1">
      <alignment vertical="top"/>
    </xf>
    <xf numFmtId="166" fontId="4" fillId="7" borderId="0" xfId="4" applyNumberFormat="1" applyFill="1">
      <alignment vertical="top"/>
    </xf>
    <xf numFmtId="165" fontId="4" fillId="0" borderId="0" xfId="33" applyNumberFormat="1" applyFont="1" applyFill="1" applyAlignment="1">
      <alignment vertical="top"/>
    </xf>
    <xf numFmtId="165" fontId="4" fillId="14" borderId="0" xfId="13" applyNumberFormat="1">
      <alignment vertical="top"/>
    </xf>
    <xf numFmtId="3" fontId="4" fillId="0" borderId="0" xfId="25" applyNumberFormat="1" applyFont="1" applyFill="1" applyBorder="1" applyAlignment="1" applyProtection="1">
      <alignment vertical="center"/>
    </xf>
    <xf numFmtId="43" fontId="4" fillId="0" borderId="0" xfId="4" applyNumberFormat="1" applyFill="1">
      <alignment vertical="top"/>
    </xf>
    <xf numFmtId="166" fontId="4" fillId="6" borderId="0" xfId="11" applyNumberFormat="1">
      <alignment vertical="top"/>
    </xf>
    <xf numFmtId="0" fontId="5" fillId="0" borderId="0" xfId="4" applyFont="1" applyFill="1">
      <alignment vertical="top"/>
    </xf>
    <xf numFmtId="43" fontId="4" fillId="14" borderId="0" xfId="13">
      <alignment vertical="top"/>
    </xf>
    <xf numFmtId="43" fontId="4" fillId="12" borderId="0" xfId="9">
      <alignment vertical="top"/>
    </xf>
    <xf numFmtId="43" fontId="4" fillId="12" borderId="0" xfId="9" applyAlignment="1">
      <alignment horizontal="left" vertical="top"/>
    </xf>
    <xf numFmtId="43" fontId="4" fillId="13" borderId="0" xfId="8" applyNumberFormat="1">
      <alignment vertical="top"/>
    </xf>
    <xf numFmtId="43" fontId="4" fillId="0" borderId="0" xfId="9" applyFill="1">
      <alignment vertical="top"/>
    </xf>
    <xf numFmtId="166" fontId="4" fillId="0" borderId="0" xfId="9" applyNumberFormat="1" applyFill="1">
      <alignment vertical="top"/>
    </xf>
    <xf numFmtId="9" fontId="4" fillId="14" borderId="0" xfId="13" applyNumberFormat="1">
      <alignment vertical="top"/>
    </xf>
    <xf numFmtId="10" fontId="4" fillId="14" borderId="0" xfId="13" applyNumberFormat="1">
      <alignment vertical="top"/>
    </xf>
    <xf numFmtId="43" fontId="4" fillId="0" borderId="0" xfId="13" applyFill="1">
      <alignment vertical="top"/>
    </xf>
    <xf numFmtId="165" fontId="4" fillId="6" borderId="0" xfId="11" applyNumberFormat="1">
      <alignment vertical="top"/>
    </xf>
    <xf numFmtId="9" fontId="4" fillId="6" borderId="0" xfId="11" applyNumberFormat="1">
      <alignment vertical="top"/>
    </xf>
    <xf numFmtId="14" fontId="4" fillId="0" borderId="2" xfId="4" applyNumberFormat="1" applyFont="1" applyBorder="1">
      <alignment vertical="top"/>
    </xf>
    <xf numFmtId="0" fontId="4" fillId="0" borderId="0" xfId="34" applyFont="1" applyFill="1"/>
    <xf numFmtId="0" fontId="23" fillId="21" borderId="8" xfId="0" applyFont="1" applyFill="1" applyBorder="1" applyAlignment="1">
      <alignment vertical="top"/>
    </xf>
    <xf numFmtId="0" fontId="23" fillId="21" borderId="9" xfId="0" applyFont="1" applyFill="1" applyBorder="1" applyAlignment="1">
      <alignment vertical="top"/>
    </xf>
    <xf numFmtId="0" fontId="24" fillId="22" borderId="10" xfId="0" applyFont="1" applyFill="1" applyBorder="1" applyAlignment="1">
      <alignment vertical="top"/>
    </xf>
    <xf numFmtId="0" fontId="24" fillId="22" borderId="11" xfId="0" applyFont="1" applyFill="1" applyBorder="1" applyAlignment="1">
      <alignment vertical="top"/>
    </xf>
    <xf numFmtId="0" fontId="24" fillId="22" borderId="0" xfId="0" applyFont="1" applyFill="1" applyBorder="1" applyAlignment="1">
      <alignment vertical="top"/>
    </xf>
    <xf numFmtId="0" fontId="4" fillId="0" borderId="12" xfId="34" applyFont="1" applyFill="1" applyBorder="1"/>
    <xf numFmtId="0" fontId="24" fillId="22" borderId="13" xfId="0" applyFont="1" applyFill="1" applyBorder="1" applyAlignment="1">
      <alignment vertical="top"/>
    </xf>
    <xf numFmtId="0" fontId="20" fillId="22" borderId="14" xfId="0" applyFont="1" applyFill="1" applyBorder="1" applyAlignment="1">
      <alignment vertical="top"/>
    </xf>
    <xf numFmtId="0" fontId="20" fillId="22" borderId="15" xfId="0" applyFont="1" applyFill="1" applyBorder="1" applyAlignment="1">
      <alignment vertical="top"/>
    </xf>
    <xf numFmtId="0" fontId="20" fillId="22" borderId="16" xfId="0" applyFont="1" applyFill="1" applyBorder="1" applyAlignment="1">
      <alignment vertical="top"/>
    </xf>
    <xf numFmtId="0" fontId="20" fillId="22" borderId="0" xfId="0" applyFont="1" applyFill="1" applyBorder="1" applyAlignment="1">
      <alignment vertical="top"/>
    </xf>
    <xf numFmtId="0" fontId="20" fillId="22" borderId="17" xfId="0" applyFont="1" applyFill="1" applyBorder="1" applyAlignment="1">
      <alignment vertical="top"/>
    </xf>
    <xf numFmtId="0" fontId="20" fillId="6" borderId="0" xfId="0" applyFont="1" applyFill="1" applyBorder="1" applyAlignment="1">
      <alignment horizontal="center" vertical="top"/>
    </xf>
    <xf numFmtId="0" fontId="20" fillId="22" borderId="18" xfId="0" applyFont="1" applyFill="1" applyBorder="1" applyAlignment="1">
      <alignment vertical="top"/>
    </xf>
    <xf numFmtId="0" fontId="20" fillId="22" borderId="19" xfId="0" applyFont="1" applyFill="1" applyBorder="1" applyAlignment="1">
      <alignment vertical="top"/>
    </xf>
    <xf numFmtId="0" fontId="20" fillId="22" borderId="20" xfId="0" applyFont="1" applyFill="1" applyBorder="1" applyAlignment="1">
      <alignment vertical="top"/>
    </xf>
    <xf numFmtId="0" fontId="20" fillId="22" borderId="21" xfId="0" applyFont="1" applyFill="1" applyBorder="1" applyAlignment="1">
      <alignment vertical="top"/>
    </xf>
    <xf numFmtId="0" fontId="10" fillId="0" borderId="0" xfId="34" applyFont="1" applyFill="1"/>
    <xf numFmtId="0" fontId="20" fillId="12" borderId="0" xfId="0" applyFont="1" applyFill="1" applyBorder="1" applyAlignment="1">
      <alignment horizontal="center" vertical="top"/>
    </xf>
    <xf numFmtId="0" fontId="4" fillId="0" borderId="0" xfId="34" applyFont="1" applyFill="1" applyBorder="1"/>
    <xf numFmtId="0" fontId="20" fillId="22" borderId="0" xfId="0" applyFont="1" applyFill="1" applyAlignment="1">
      <alignment vertical="top"/>
    </xf>
    <xf numFmtId="0" fontId="20" fillId="13" borderId="0" xfId="0" applyFont="1" applyFill="1" applyBorder="1" applyAlignment="1">
      <alignment horizontal="center" vertical="top"/>
    </xf>
    <xf numFmtId="0" fontId="4" fillId="0" borderId="22" xfId="4" applyBorder="1">
      <alignment vertical="top"/>
    </xf>
    <xf numFmtId="0" fontId="4" fillId="0" borderId="23" xfId="4" applyBorder="1">
      <alignment vertical="top"/>
    </xf>
    <xf numFmtId="0" fontId="23" fillId="21" borderId="24" xfId="0" applyFont="1" applyFill="1" applyBorder="1" applyAlignment="1">
      <alignment vertical="top"/>
    </xf>
    <xf numFmtId="0" fontId="4" fillId="0" borderId="12" xfId="4" applyBorder="1">
      <alignment vertical="top"/>
    </xf>
    <xf numFmtId="0" fontId="4" fillId="0" borderId="25" xfId="4" applyBorder="1">
      <alignment vertical="top"/>
    </xf>
    <xf numFmtId="0" fontId="4" fillId="0" borderId="13" xfId="4" applyBorder="1">
      <alignment vertical="top"/>
    </xf>
    <xf numFmtId="0" fontId="4" fillId="0" borderId="2" xfId="4" applyFont="1" applyBorder="1" applyAlignment="1">
      <alignment horizontal="left" vertical="top" wrapText="1"/>
    </xf>
    <xf numFmtId="0" fontId="12" fillId="5" borderId="1" xfId="4" applyFont="1" applyFill="1" applyBorder="1">
      <alignment vertical="top"/>
    </xf>
    <xf numFmtId="165" fontId="4" fillId="10" borderId="0" xfId="10" applyNumberFormat="1">
      <alignment vertical="top"/>
    </xf>
    <xf numFmtId="41" fontId="4" fillId="6" borderId="0" xfId="11" applyNumberFormat="1">
      <alignment vertical="top"/>
    </xf>
    <xf numFmtId="41" fontId="4" fillId="14" borderId="0" xfId="13" applyNumberFormat="1">
      <alignment vertical="top"/>
    </xf>
    <xf numFmtId="43" fontId="4" fillId="10" borderId="0" xfId="10">
      <alignment vertical="top"/>
    </xf>
    <xf numFmtId="10" fontId="4" fillId="10" borderId="0" xfId="10" applyNumberFormat="1">
      <alignment vertical="top"/>
    </xf>
    <xf numFmtId="10" fontId="4" fillId="6" borderId="0" xfId="11" applyNumberFormat="1">
      <alignment vertical="top"/>
    </xf>
    <xf numFmtId="10" fontId="4" fillId="12" borderId="0" xfId="9" applyNumberFormat="1">
      <alignment vertical="top"/>
    </xf>
    <xf numFmtId="10" fontId="4" fillId="7" borderId="0" xfId="4" applyNumberFormat="1" applyFill="1">
      <alignment vertical="top"/>
    </xf>
    <xf numFmtId="0" fontId="4" fillId="0" borderId="0" xfId="4">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0" fontId="4" fillId="0" borderId="0" xfId="4">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49" fontId="4" fillId="0" borderId="0" xfId="14" applyFont="1">
      <alignment vertical="top"/>
    </xf>
    <xf numFmtId="0" fontId="4" fillId="0" borderId="0" xfId="4">
      <alignment vertical="top"/>
    </xf>
    <xf numFmtId="0" fontId="8" fillId="5" borderId="1" xfId="5" applyNumberFormat="1" applyFont="1">
      <alignment vertical="top"/>
    </xf>
    <xf numFmtId="0" fontId="4" fillId="0" borderId="0" xfId="4">
      <alignment vertical="top"/>
    </xf>
    <xf numFmtId="0" fontId="13" fillId="0" borderId="0" xfId="4" applyFont="1">
      <alignment vertical="top"/>
    </xf>
    <xf numFmtId="49" fontId="4" fillId="0" borderId="0" xfId="14" applyFont="1">
      <alignment vertical="top"/>
    </xf>
    <xf numFmtId="0" fontId="4" fillId="0" borderId="0" xfId="4">
      <alignment vertical="top"/>
    </xf>
    <xf numFmtId="0" fontId="4" fillId="0" borderId="0" xfId="4">
      <alignment vertical="top"/>
    </xf>
    <xf numFmtId="0" fontId="4" fillId="0" borderId="2" xfId="4" applyFont="1" applyBorder="1" applyAlignment="1">
      <alignment horizontal="left" vertical="top" wrapText="1"/>
    </xf>
    <xf numFmtId="0" fontId="4" fillId="0" borderId="0" xfId="4">
      <alignment vertical="top"/>
    </xf>
    <xf numFmtId="0" fontId="4" fillId="22" borderId="0" xfId="27" applyFont="1" applyFill="1" applyBorder="1"/>
    <xf numFmtId="0" fontId="4" fillId="22" borderId="0" xfId="4" applyFill="1">
      <alignment vertical="top"/>
    </xf>
    <xf numFmtId="41" fontId="4" fillId="0" borderId="0" xfId="4" applyNumberFormat="1">
      <alignment vertical="top"/>
    </xf>
    <xf numFmtId="49" fontId="13" fillId="0" borderId="0" xfId="14" applyFont="1">
      <alignment vertical="top"/>
    </xf>
    <xf numFmtId="167" fontId="4" fillId="10" borderId="0" xfId="9" applyNumberFormat="1" applyFill="1">
      <alignment vertical="top"/>
    </xf>
    <xf numFmtId="43" fontId="4" fillId="10" borderId="0" xfId="10" applyFill="1">
      <alignment vertical="top"/>
    </xf>
    <xf numFmtId="49" fontId="4" fillId="0" borderId="0" xfId="14" applyFont="1" applyFill="1">
      <alignment vertical="top"/>
    </xf>
    <xf numFmtId="49" fontId="5" fillId="0" borderId="0" xfId="14" applyFont="1">
      <alignment vertical="top"/>
    </xf>
    <xf numFmtId="166" fontId="4" fillId="14" borderId="0" xfId="13" applyNumberFormat="1" applyFill="1">
      <alignment vertical="top"/>
    </xf>
    <xf numFmtId="0" fontId="4" fillId="0" borderId="0" xfId="4">
      <alignment vertical="top"/>
    </xf>
    <xf numFmtId="49" fontId="4" fillId="20" borderId="1" xfId="6" applyFont="1">
      <alignment vertical="top"/>
    </xf>
    <xf numFmtId="166" fontId="4" fillId="6" borderId="0" xfId="11" applyNumberFormat="1" applyFont="1">
      <alignment vertical="top"/>
    </xf>
    <xf numFmtId="0" fontId="25" fillId="0" borderId="0" xfId="4" applyFont="1" applyFill="1">
      <alignment vertical="top"/>
    </xf>
    <xf numFmtId="0" fontId="4" fillId="22" borderId="2" xfId="4" applyFont="1" applyFill="1" applyBorder="1">
      <alignment vertical="top"/>
    </xf>
    <xf numFmtId="43" fontId="4" fillId="6" borderId="0" xfId="11" applyNumberFormat="1">
      <alignment vertical="top"/>
    </xf>
    <xf numFmtId="4" fontId="4" fillId="0" borderId="0" xfId="4" applyNumberFormat="1" applyFont="1">
      <alignment vertical="top"/>
    </xf>
    <xf numFmtId="0" fontId="4" fillId="0" borderId="0" xfId="4" applyFont="1">
      <alignment vertical="top"/>
    </xf>
    <xf numFmtId="165" fontId="4" fillId="6" borderId="0" xfId="11" applyNumberFormat="1">
      <alignment vertical="top"/>
    </xf>
    <xf numFmtId="10" fontId="4" fillId="6" borderId="0" xfId="11" applyNumberFormat="1">
      <alignment vertical="top"/>
    </xf>
    <xf numFmtId="166" fontId="4" fillId="6" borderId="0" xfId="11" applyNumberFormat="1" applyFont="1">
      <alignment vertical="top"/>
    </xf>
    <xf numFmtId="0" fontId="5" fillId="0" borderId="0" xfId="4" applyFont="1">
      <alignment vertical="top"/>
    </xf>
    <xf numFmtId="0" fontId="4" fillId="0" borderId="0" xfId="4">
      <alignment vertical="top"/>
    </xf>
    <xf numFmtId="0" fontId="4" fillId="0" borderId="0" xfId="4" applyFont="1">
      <alignment vertical="top"/>
    </xf>
    <xf numFmtId="49" fontId="5" fillId="20" borderId="1" xfId="6">
      <alignment vertical="top"/>
    </xf>
    <xf numFmtId="0" fontId="4" fillId="0" borderId="0" xfId="4" applyFill="1">
      <alignment vertical="top"/>
    </xf>
    <xf numFmtId="0" fontId="4" fillId="0" borderId="0" xfId="4" applyFont="1" applyFill="1">
      <alignment vertical="top"/>
    </xf>
    <xf numFmtId="3" fontId="4" fillId="0" borderId="0" xfId="4" applyNumberFormat="1">
      <alignment vertical="top"/>
    </xf>
    <xf numFmtId="166" fontId="4" fillId="14" borderId="0" xfId="13" applyNumberFormat="1">
      <alignment vertical="top"/>
    </xf>
    <xf numFmtId="49" fontId="4" fillId="0" borderId="0" xfId="14" applyFont="1">
      <alignment vertical="top"/>
    </xf>
    <xf numFmtId="0" fontId="4" fillId="0" borderId="0" xfId="4">
      <alignment vertical="top"/>
    </xf>
    <xf numFmtId="0" fontId="4" fillId="0" borderId="0" xfId="4" applyFont="1">
      <alignment vertical="top"/>
    </xf>
    <xf numFmtId="0" fontId="4" fillId="0" borderId="0" xfId="4" applyFill="1">
      <alignment vertical="top"/>
    </xf>
    <xf numFmtId="166" fontId="4" fillId="0" borderId="0" xfId="11" applyNumberFormat="1" applyFill="1">
      <alignment vertical="top"/>
    </xf>
    <xf numFmtId="41" fontId="4" fillId="0" borderId="0" xfId="4" applyNumberFormat="1" applyFill="1">
      <alignment vertical="top"/>
    </xf>
    <xf numFmtId="49" fontId="5" fillId="20" borderId="1" xfId="6" applyFont="1">
      <alignment vertical="top"/>
    </xf>
    <xf numFmtId="43" fontId="4" fillId="14" borderId="0" xfId="13" applyNumberFormat="1" applyFill="1">
      <alignment vertical="top"/>
    </xf>
    <xf numFmtId="166" fontId="4" fillId="6" borderId="0" xfId="11" applyNumberFormat="1">
      <alignment vertical="top"/>
    </xf>
    <xf numFmtId="43" fontId="4" fillId="12" borderId="0" xfId="9" applyNumberFormat="1">
      <alignment vertical="top"/>
    </xf>
    <xf numFmtId="43" fontId="4" fillId="14" borderId="0" xfId="13" applyNumberFormat="1">
      <alignment vertical="top"/>
    </xf>
    <xf numFmtId="43" fontId="4" fillId="13" borderId="0" xfId="8" applyNumberFormat="1">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lignment vertical="top"/>
    </xf>
    <xf numFmtId="166" fontId="10" fillId="0" borderId="0" xfId="11" applyNumberFormat="1" applyFont="1" applyFill="1">
      <alignment vertical="top"/>
    </xf>
    <xf numFmtId="166" fontId="4" fillId="23" borderId="0" xfId="37" applyNumberFormat="1">
      <alignment vertical="top"/>
    </xf>
    <xf numFmtId="0" fontId="26" fillId="0" borderId="0" xfId="4" applyFont="1">
      <alignment vertical="top"/>
    </xf>
    <xf numFmtId="0" fontId="4" fillId="0" borderId="0" xfId="4">
      <alignment vertical="top"/>
    </xf>
    <xf numFmtId="0" fontId="4" fillId="0" borderId="0" xfId="4" applyFont="1">
      <alignment vertical="top"/>
    </xf>
    <xf numFmtId="0" fontId="10" fillId="0" borderId="0" xfId="4" applyFont="1">
      <alignment vertical="top"/>
    </xf>
    <xf numFmtId="43" fontId="4" fillId="13" borderId="0" xfId="8" applyFont="1">
      <alignment vertical="top"/>
    </xf>
    <xf numFmtId="43" fontId="4" fillId="13" borderId="0" xfId="8" applyNumberFormat="1" applyFont="1">
      <alignment vertical="top"/>
    </xf>
    <xf numFmtId="41" fontId="4" fillId="13" borderId="0" xfId="8" applyNumberFormat="1" applyFont="1">
      <alignment vertical="top"/>
    </xf>
    <xf numFmtId="0" fontId="4" fillId="0" borderId="0" xfId="4">
      <alignment vertical="top"/>
    </xf>
    <xf numFmtId="49" fontId="5" fillId="0" borderId="0" xfId="7">
      <alignment vertical="top"/>
    </xf>
    <xf numFmtId="41" fontId="4" fillId="13" borderId="0" xfId="8" applyNumberFormat="1">
      <alignment vertical="top"/>
    </xf>
    <xf numFmtId="0" fontId="13" fillId="0" borderId="0" xfId="24" applyFont="1"/>
    <xf numFmtId="0" fontId="4" fillId="0" borderId="0" xfId="4">
      <alignment vertical="top"/>
    </xf>
    <xf numFmtId="0" fontId="4" fillId="0" borderId="0" xfId="4">
      <alignment vertical="top"/>
    </xf>
    <xf numFmtId="165" fontId="4" fillId="0" borderId="0" xfId="13" applyNumberFormat="1" applyFill="1">
      <alignment vertical="top"/>
    </xf>
    <xf numFmtId="168" fontId="4" fillId="12" borderId="0" xfId="9" applyNumberFormat="1">
      <alignment vertical="top"/>
    </xf>
    <xf numFmtId="41" fontId="4" fillId="0" borderId="0" xfId="8" applyNumberFormat="1" applyFill="1">
      <alignment vertical="top"/>
    </xf>
    <xf numFmtId="0" fontId="4" fillId="0" borderId="0" xfId="4">
      <alignment vertical="top"/>
    </xf>
    <xf numFmtId="10" fontId="4" fillId="0" borderId="0" xfId="4" applyNumberFormat="1">
      <alignment vertical="top"/>
    </xf>
    <xf numFmtId="165" fontId="4" fillId="6" borderId="0" xfId="11" applyNumberFormat="1" applyFont="1">
      <alignment vertical="top"/>
    </xf>
    <xf numFmtId="1" fontId="5" fillId="20" borderId="1" xfId="6" applyNumberFormat="1" applyAlignment="1">
      <alignment horizontal="left" vertical="top"/>
    </xf>
    <xf numFmtId="0" fontId="4" fillId="0" borderId="0" xfId="4">
      <alignment vertical="top"/>
    </xf>
    <xf numFmtId="0" fontId="4" fillId="0" borderId="0" xfId="4">
      <alignment vertical="top"/>
    </xf>
    <xf numFmtId="0" fontId="10" fillId="5" borderId="1" xfId="5" applyNumberFormat="1" applyFont="1">
      <alignment vertical="top"/>
    </xf>
    <xf numFmtId="0" fontId="27" fillId="0" borderId="0" xfId="4" applyFont="1">
      <alignment vertical="top"/>
    </xf>
    <xf numFmtId="0" fontId="4" fillId="0" borderId="0" xfId="4">
      <alignment vertical="top"/>
    </xf>
    <xf numFmtId="0" fontId="4" fillId="0" borderId="0" xfId="4">
      <alignment vertical="top"/>
    </xf>
    <xf numFmtId="43" fontId="4" fillId="13" borderId="0" xfId="8">
      <alignment vertical="top"/>
    </xf>
    <xf numFmtId="49" fontId="9" fillId="0" borderId="0" xfId="15">
      <alignment vertical="top"/>
    </xf>
    <xf numFmtId="43" fontId="4" fillId="8" borderId="0" xfId="12">
      <alignment vertical="top"/>
    </xf>
    <xf numFmtId="43" fontId="4" fillId="23" borderId="0" xfId="37">
      <alignment vertical="top"/>
    </xf>
    <xf numFmtId="43" fontId="4" fillId="6" borderId="2" xfId="11" applyBorder="1">
      <alignment vertical="top"/>
    </xf>
    <xf numFmtId="43" fontId="11" fillId="0" borderId="0" xfId="38" applyFont="1" applyFill="1" applyAlignment="1">
      <alignment vertical="top"/>
    </xf>
    <xf numFmtId="0" fontId="4" fillId="9" borderId="0" xfId="4" applyFont="1" applyFill="1">
      <alignment vertical="top"/>
    </xf>
    <xf numFmtId="0" fontId="4" fillId="12" borderId="0" xfId="4" applyFont="1" applyFill="1">
      <alignment vertical="top"/>
    </xf>
    <xf numFmtId="49" fontId="4" fillId="20" borderId="0" xfId="6" applyFont="1" applyBorder="1">
      <alignment vertical="top"/>
    </xf>
    <xf numFmtId="0" fontId="13" fillId="0" borderId="0" xfId="4" applyFont="1" applyFill="1">
      <alignment vertical="top"/>
    </xf>
    <xf numFmtId="43" fontId="4" fillId="23" borderId="0" xfId="37" applyAlignment="1">
      <alignment horizontal="center" vertical="top"/>
    </xf>
    <xf numFmtId="0" fontId="4" fillId="0" borderId="0" xfId="4">
      <alignment vertical="top"/>
    </xf>
    <xf numFmtId="169" fontId="4" fillId="8" borderId="0" xfId="12" applyNumberFormat="1">
      <alignment vertical="top"/>
    </xf>
    <xf numFmtId="0" fontId="4" fillId="0" borderId="0" xfId="4" applyAlignment="1">
      <alignment vertical="top" wrapText="1"/>
    </xf>
    <xf numFmtId="0" fontId="4" fillId="0" borderId="0" xfId="4">
      <alignment vertical="top"/>
    </xf>
    <xf numFmtId="0" fontId="4" fillId="0" borderId="0" xfId="4">
      <alignment vertical="top"/>
    </xf>
    <xf numFmtId="0" fontId="30" fillId="0" borderId="2" xfId="39" applyFont="1" applyBorder="1" applyAlignment="1">
      <alignment vertical="top"/>
    </xf>
    <xf numFmtId="0" fontId="4" fillId="0" borderId="0" xfId="4">
      <alignment vertical="top"/>
    </xf>
    <xf numFmtId="43" fontId="4" fillId="0" borderId="0" xfId="4" applyNumberFormat="1" applyFont="1">
      <alignment vertical="top"/>
    </xf>
    <xf numFmtId="0" fontId="4" fillId="0" borderId="0" xfId="4">
      <alignment vertical="top"/>
    </xf>
    <xf numFmtId="41" fontId="4" fillId="12" borderId="0" xfId="9" quotePrefix="1" applyNumberFormat="1">
      <alignment vertical="top"/>
    </xf>
    <xf numFmtId="0" fontId="4" fillId="12" borderId="0" xfId="9" quotePrefix="1" applyNumberFormat="1">
      <alignment vertical="top"/>
    </xf>
    <xf numFmtId="41" fontId="4" fillId="14" borderId="0" xfId="13" quotePrefix="1" applyNumberFormat="1">
      <alignment vertical="top"/>
    </xf>
    <xf numFmtId="169" fontId="4" fillId="14" borderId="0" xfId="13" quotePrefix="1" applyNumberFormat="1">
      <alignment vertical="top"/>
    </xf>
    <xf numFmtId="166" fontId="4" fillId="12" borderId="0" xfId="9" quotePrefix="1" applyNumberFormat="1">
      <alignment vertical="top"/>
    </xf>
    <xf numFmtId="166" fontId="4" fillId="14" borderId="0" xfId="13" quotePrefix="1" applyNumberFormat="1">
      <alignment vertical="top"/>
    </xf>
    <xf numFmtId="166" fontId="4" fillId="24" borderId="0" xfId="11" applyNumberFormat="1" applyFont="1" applyFill="1">
      <alignment vertical="top"/>
    </xf>
    <xf numFmtId="169" fontId="4" fillId="24" borderId="0" xfId="11" applyNumberFormat="1" applyFont="1" applyFill="1">
      <alignment vertical="top"/>
    </xf>
    <xf numFmtId="43" fontId="4" fillId="23" borderId="0" xfId="37" applyNumberFormat="1" applyFont="1">
      <alignment vertical="top"/>
    </xf>
    <xf numFmtId="166" fontId="4" fillId="23" borderId="0" xfId="37" applyNumberFormat="1" applyFont="1">
      <alignment vertical="top"/>
    </xf>
    <xf numFmtId="0" fontId="4" fillId="0" borderId="0" xfId="4" applyAlignment="1">
      <alignment vertical="top" wrapText="1"/>
    </xf>
    <xf numFmtId="0" fontId="4" fillId="0" borderId="0" xfId="4">
      <alignment vertical="top"/>
    </xf>
    <xf numFmtId="0" fontId="4" fillId="0" borderId="0" xfId="4" applyFont="1" applyAlignment="1">
      <alignment vertical="top" wrapText="1"/>
    </xf>
    <xf numFmtId="0" fontId="4" fillId="0" borderId="0" xfId="4" applyFont="1" applyAlignment="1">
      <alignment horizontal="left" vertical="top" wrapText="1"/>
    </xf>
    <xf numFmtId="3" fontId="4" fillId="0" borderId="0" xfId="25" applyNumberFormat="1" applyFont="1" applyFill="1" applyBorder="1" applyAlignment="1" applyProtection="1">
      <alignment vertical="center"/>
    </xf>
    <xf numFmtId="0" fontId="4" fillId="0" borderId="0" xfId="4" applyAlignment="1">
      <alignment horizontal="left" vertical="top" wrapText="1"/>
    </xf>
    <xf numFmtId="0" fontId="13" fillId="0" borderId="0" xfId="4" applyFont="1" applyAlignment="1">
      <alignment horizontal="left" vertical="top" wrapText="1"/>
    </xf>
    <xf numFmtId="0" fontId="9" fillId="0" borderId="0" xfId="4" applyFont="1" applyAlignment="1">
      <alignment horizontal="left" vertical="top" wrapText="1"/>
    </xf>
    <xf numFmtId="0" fontId="4" fillId="22" borderId="0" xfId="4" applyFont="1" applyFill="1" applyAlignment="1">
      <alignment horizontal="left" vertical="top" wrapText="1"/>
    </xf>
  </cellXfs>
  <cellStyles count="40">
    <cellStyle name="_x000d__x000a_JournalTemplate=C:\COMFO\CTALK\JOURSTD.TPL_x000d__x000a_LbStateAddress=3 3 0 251 1 89 2 311_x000d__x000a_LbStateJou" xfId="23"/>
    <cellStyle name="_x000d__x000a_JournalTemplate=C:\COMFO\CTALK\JOURSTD.TPL_x000d__x000a_LbStateAddress=3 3 0 251 1 89 2 311_x000d__x000a_LbStateJou 10 2" xfId="35"/>
    <cellStyle name="_x000d__x000a_JournalTemplate=C:\COMFO\CTALK\JOURSTD.TPL_x000d__x000a_LbStateAddress=3 3 0 251 1 89 2 311_x000d__x000a_LbStateJou 16" xfId="26"/>
    <cellStyle name="_x000d__x000a_JournalTemplate=C:\COMFO\CTALK\JOURSTD.TPL_x000d__x000a_LbStateAddress=3 3 0 251 1 89 2 311_x000d__x000a_LbStateJou_111028 KB Berekening nacalculaties_v2" xfId="32"/>
    <cellStyle name="_kop1 Bladtitel" xfId="5"/>
    <cellStyle name="_kop2 Bloktitel" xfId="6"/>
    <cellStyle name="_kop3 Subkop" xfId="7"/>
    <cellStyle name="Berekening" xfId="18" builtinId="22" hidden="1"/>
    <cellStyle name="Cel (tussen)resultaat" xfId="8"/>
    <cellStyle name="Cel Berekening" xfId="9"/>
    <cellStyle name="Cel Bijzonderheid" xfId="10"/>
    <cellStyle name="Cel Input" xfId="11"/>
    <cellStyle name="Cel Input Data" xfId="37"/>
    <cellStyle name="Cel PM extern" xfId="12"/>
    <cellStyle name="Cel Verwijzing" xfId="13"/>
    <cellStyle name="Controlecel" xfId="20" builtinId="23" hidden="1"/>
    <cellStyle name="Gekoppelde cel" xfId="19" builtinId="24" hidden="1"/>
    <cellStyle name="Goed" xfId="1" builtinId="26" hidden="1"/>
    <cellStyle name="Hyperlink" xfId="39" builtinId="8"/>
    <cellStyle name="Invoer" xfId="16" builtinId="20" hidden="1"/>
    <cellStyle name="Komma" xfId="38" builtinId="3"/>
    <cellStyle name="Neutraal" xfId="3" builtinId="28" hidden="1"/>
    <cellStyle name="Normal 2" xfId="36"/>
    <cellStyle name="Notitie" xfId="21" builtinId="10" hidden="1"/>
    <cellStyle name="Ongeldig" xfId="2" builtinId="27" hidden="1"/>
    <cellStyle name="Opm. INTERN" xfId="14"/>
    <cellStyle name="Procent" xfId="33" builtinId="5"/>
    <cellStyle name="Procent 2 2 2 2" xfId="28"/>
    <cellStyle name="Procent 6" xfId="22"/>
    <cellStyle name="Standaard" xfId="0" builtinId="0"/>
    <cellStyle name="Standaard 2 2 2" xfId="24"/>
    <cellStyle name="Standaard ACM-DE" xfId="4"/>
    <cellStyle name="Standaard_111103 Herberekening tarieven TenneT 2007" xfId="31"/>
    <cellStyle name="Standaard_Berekening tarieven intern_1" xfId="27"/>
    <cellStyle name="Standaard_Handboek TSO (260202)" xfId="25"/>
    <cellStyle name="Standaard_NG-TAR(i)-10-08 Concept" xfId="34"/>
    <cellStyle name="Standaard_Tabellen - CIV2" xfId="30"/>
    <cellStyle name="Standaard_test3" xfId="29"/>
    <cellStyle name="Toelichting" xfId="15"/>
    <cellStyle name="Uitvoer" xfId="17" builtinId="21" hidden="1"/>
  </cellStyles>
  <dxfs count="0"/>
  <tableStyles count="0" defaultTableStyle="TableStyleMedium2" defaultPivotStyle="PivotStyleLight16"/>
  <colors>
    <mruColors>
      <color rgb="FFCCFFCC"/>
      <color rgb="FF66FF66"/>
      <color rgb="FFFF66FF"/>
      <color rgb="FFFFCCFF"/>
      <color rgb="FFFFFFCC"/>
      <color rgb="FFFFCC99"/>
      <color rgb="FF5F1F7A"/>
      <color rgb="FFCCC8D9"/>
      <color rgb="FFCCFF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156882</xdr:colOff>
      <xdr:row>14</xdr:row>
      <xdr:rowOff>89647</xdr:rowOff>
    </xdr:from>
    <xdr:to>
      <xdr:col>10</xdr:col>
      <xdr:colOff>392205</xdr:colOff>
      <xdr:row>14</xdr:row>
      <xdr:rowOff>89648</xdr:rowOff>
    </xdr:to>
    <xdr:cxnSp macro="">
      <xdr:nvCxnSpPr>
        <xdr:cNvPr id="21" name="Rechte verbindingslijn met pijl 20"/>
        <xdr:cNvCxnSpPr/>
      </xdr:nvCxnSpPr>
      <xdr:spPr>
        <a:xfrm>
          <a:off x="7250206" y="2554941"/>
          <a:ext cx="683558"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112058</xdr:colOff>
      <xdr:row>14</xdr:row>
      <xdr:rowOff>112059</xdr:rowOff>
    </xdr:from>
    <xdr:to>
      <xdr:col>10</xdr:col>
      <xdr:colOff>425823</xdr:colOff>
      <xdr:row>18</xdr:row>
      <xdr:rowOff>33617</xdr:rowOff>
    </xdr:to>
    <xdr:cxnSp macro="">
      <xdr:nvCxnSpPr>
        <xdr:cNvPr id="29" name="Rechte verbindingslijn met pijl 28"/>
        <xdr:cNvCxnSpPr/>
      </xdr:nvCxnSpPr>
      <xdr:spPr>
        <a:xfrm>
          <a:off x="7205382" y="2577353"/>
          <a:ext cx="762000" cy="6387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22092</xdr:colOff>
      <xdr:row>14</xdr:row>
      <xdr:rowOff>120064</xdr:rowOff>
    </xdr:from>
    <xdr:to>
      <xdr:col>5</xdr:col>
      <xdr:colOff>435749</xdr:colOff>
      <xdr:row>18</xdr:row>
      <xdr:rowOff>87406</xdr:rowOff>
    </xdr:to>
    <xdr:cxnSp macro="">
      <xdr:nvCxnSpPr>
        <xdr:cNvPr id="47" name="Rechte verbindingslijn met pijl 46"/>
        <xdr:cNvCxnSpPr/>
      </xdr:nvCxnSpPr>
      <xdr:spPr>
        <a:xfrm>
          <a:off x="4123445" y="2585358"/>
          <a:ext cx="413657" cy="6845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5054</xdr:colOff>
      <xdr:row>22</xdr:row>
      <xdr:rowOff>123265</xdr:rowOff>
    </xdr:from>
    <xdr:to>
      <xdr:col>9</xdr:col>
      <xdr:colOff>100852</xdr:colOff>
      <xdr:row>22</xdr:row>
      <xdr:rowOff>125147</xdr:rowOff>
    </xdr:to>
    <xdr:cxnSp macro="">
      <xdr:nvCxnSpPr>
        <xdr:cNvPr id="59" name="Rechte verbindingslijn met pijl 58"/>
        <xdr:cNvCxnSpPr/>
      </xdr:nvCxnSpPr>
      <xdr:spPr>
        <a:xfrm flipV="1">
          <a:off x="4106407" y="4022912"/>
          <a:ext cx="3087769" cy="18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27</xdr:row>
      <xdr:rowOff>62760</xdr:rowOff>
    </xdr:from>
    <xdr:to>
      <xdr:col>9</xdr:col>
      <xdr:colOff>107574</xdr:colOff>
      <xdr:row>42</xdr:row>
      <xdr:rowOff>112058</xdr:rowOff>
    </xdr:to>
    <xdr:cxnSp macro="">
      <xdr:nvCxnSpPr>
        <xdr:cNvPr id="79" name="Rechte verbindingslijn met pijl 78"/>
        <xdr:cNvCxnSpPr/>
      </xdr:nvCxnSpPr>
      <xdr:spPr>
        <a:xfrm flipV="1">
          <a:off x="4123765" y="4701995"/>
          <a:ext cx="3077133" cy="2021534"/>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7292</xdr:colOff>
      <xdr:row>14</xdr:row>
      <xdr:rowOff>91870</xdr:rowOff>
    </xdr:from>
    <xdr:to>
      <xdr:col>9</xdr:col>
      <xdr:colOff>103090</xdr:colOff>
      <xdr:row>14</xdr:row>
      <xdr:rowOff>93752</xdr:rowOff>
    </xdr:to>
    <xdr:cxnSp macro="">
      <xdr:nvCxnSpPr>
        <xdr:cNvPr id="80" name="Rechte verbindingslijn met pijl 79"/>
        <xdr:cNvCxnSpPr/>
      </xdr:nvCxnSpPr>
      <xdr:spPr>
        <a:xfrm flipV="1">
          <a:off x="4108645" y="2557164"/>
          <a:ext cx="3087769" cy="18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107576</xdr:colOff>
      <xdr:row>22</xdr:row>
      <xdr:rowOff>107577</xdr:rowOff>
    </xdr:from>
    <xdr:to>
      <xdr:col>10</xdr:col>
      <xdr:colOff>414617</xdr:colOff>
      <xdr:row>30</xdr:row>
      <xdr:rowOff>0</xdr:rowOff>
    </xdr:to>
    <xdr:cxnSp macro="">
      <xdr:nvCxnSpPr>
        <xdr:cNvPr id="88" name="Rechte verbindingslijn met pijl 87"/>
        <xdr:cNvCxnSpPr/>
      </xdr:nvCxnSpPr>
      <xdr:spPr>
        <a:xfrm>
          <a:off x="7200900" y="3850342"/>
          <a:ext cx="755276" cy="132677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145678</xdr:colOff>
      <xdr:row>22</xdr:row>
      <xdr:rowOff>100854</xdr:rowOff>
    </xdr:from>
    <xdr:to>
      <xdr:col>10</xdr:col>
      <xdr:colOff>414617</xdr:colOff>
      <xdr:row>26</xdr:row>
      <xdr:rowOff>100853</xdr:rowOff>
    </xdr:to>
    <xdr:cxnSp macro="">
      <xdr:nvCxnSpPr>
        <xdr:cNvPr id="89" name="Rechte verbindingslijn met pijl 88"/>
        <xdr:cNvCxnSpPr/>
      </xdr:nvCxnSpPr>
      <xdr:spPr>
        <a:xfrm>
          <a:off x="7239002" y="3843619"/>
          <a:ext cx="717174" cy="71717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134470</xdr:colOff>
      <xdr:row>18</xdr:row>
      <xdr:rowOff>89647</xdr:rowOff>
    </xdr:from>
    <xdr:to>
      <xdr:col>11</xdr:col>
      <xdr:colOff>0</xdr:colOff>
      <xdr:row>22</xdr:row>
      <xdr:rowOff>100853</xdr:rowOff>
    </xdr:to>
    <xdr:cxnSp macro="">
      <xdr:nvCxnSpPr>
        <xdr:cNvPr id="90" name="Rechte verbindingslijn met pijl 89"/>
        <xdr:cNvCxnSpPr/>
      </xdr:nvCxnSpPr>
      <xdr:spPr>
        <a:xfrm flipV="1">
          <a:off x="7227794" y="3272118"/>
          <a:ext cx="762000" cy="7283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123264</xdr:colOff>
      <xdr:row>15</xdr:row>
      <xdr:rowOff>33618</xdr:rowOff>
    </xdr:from>
    <xdr:to>
      <xdr:col>10</xdr:col>
      <xdr:colOff>381000</xdr:colOff>
      <xdr:row>22</xdr:row>
      <xdr:rowOff>112060</xdr:rowOff>
    </xdr:to>
    <xdr:cxnSp macro="">
      <xdr:nvCxnSpPr>
        <xdr:cNvPr id="91" name="Rechte verbindingslijn met pijl 90"/>
        <xdr:cNvCxnSpPr/>
      </xdr:nvCxnSpPr>
      <xdr:spPr>
        <a:xfrm flipV="1">
          <a:off x="7216588" y="2678206"/>
          <a:ext cx="705971" cy="133350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107576</xdr:colOff>
      <xdr:row>19</xdr:row>
      <xdr:rowOff>156882</xdr:rowOff>
    </xdr:from>
    <xdr:to>
      <xdr:col>11</xdr:col>
      <xdr:colOff>0</xdr:colOff>
      <xdr:row>27</xdr:row>
      <xdr:rowOff>73959</xdr:rowOff>
    </xdr:to>
    <xdr:cxnSp macro="">
      <xdr:nvCxnSpPr>
        <xdr:cNvPr id="96" name="Rechte verbindingslijn met pijl 95"/>
        <xdr:cNvCxnSpPr/>
      </xdr:nvCxnSpPr>
      <xdr:spPr>
        <a:xfrm flipV="1">
          <a:off x="7200900" y="3518647"/>
          <a:ext cx="788894" cy="1351430"/>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129990</xdr:colOff>
      <xdr:row>27</xdr:row>
      <xdr:rowOff>51548</xdr:rowOff>
    </xdr:from>
    <xdr:to>
      <xdr:col>10</xdr:col>
      <xdr:colOff>414617</xdr:colOff>
      <xdr:row>30</xdr:row>
      <xdr:rowOff>89647</xdr:rowOff>
    </xdr:to>
    <xdr:cxnSp macro="">
      <xdr:nvCxnSpPr>
        <xdr:cNvPr id="99" name="Rechte verbindingslijn met pijl 98"/>
        <xdr:cNvCxnSpPr/>
      </xdr:nvCxnSpPr>
      <xdr:spPr>
        <a:xfrm>
          <a:off x="7223314" y="4690783"/>
          <a:ext cx="732862" cy="575982"/>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136710</xdr:colOff>
      <xdr:row>27</xdr:row>
      <xdr:rowOff>125514</xdr:rowOff>
    </xdr:from>
    <xdr:to>
      <xdr:col>10</xdr:col>
      <xdr:colOff>414617</xdr:colOff>
      <xdr:row>34</xdr:row>
      <xdr:rowOff>145677</xdr:rowOff>
    </xdr:to>
    <xdr:cxnSp macro="">
      <xdr:nvCxnSpPr>
        <xdr:cNvPr id="101" name="Rechte verbindingslijn met pijl 100"/>
        <xdr:cNvCxnSpPr/>
      </xdr:nvCxnSpPr>
      <xdr:spPr>
        <a:xfrm>
          <a:off x="7230034" y="4764749"/>
          <a:ext cx="726142" cy="1275222"/>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22</xdr:row>
      <xdr:rowOff>156882</xdr:rowOff>
    </xdr:from>
    <xdr:to>
      <xdr:col>10</xdr:col>
      <xdr:colOff>403412</xdr:colOff>
      <xdr:row>42</xdr:row>
      <xdr:rowOff>78441</xdr:rowOff>
    </xdr:to>
    <xdr:cxnSp macro="">
      <xdr:nvCxnSpPr>
        <xdr:cNvPr id="107" name="Rechte verbindingslijn met pijl 106"/>
        <xdr:cNvCxnSpPr/>
      </xdr:nvCxnSpPr>
      <xdr:spPr>
        <a:xfrm>
          <a:off x="4123765" y="4056529"/>
          <a:ext cx="3821206" cy="279026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32</xdr:row>
      <xdr:rowOff>145676</xdr:rowOff>
    </xdr:from>
    <xdr:to>
      <xdr:col>11</xdr:col>
      <xdr:colOff>11206</xdr:colOff>
      <xdr:row>50</xdr:row>
      <xdr:rowOff>89647</xdr:rowOff>
    </xdr:to>
    <xdr:cxnSp macro="">
      <xdr:nvCxnSpPr>
        <xdr:cNvPr id="110" name="Rechte verbindingslijn met pijl 109"/>
        <xdr:cNvCxnSpPr/>
      </xdr:nvCxnSpPr>
      <xdr:spPr>
        <a:xfrm>
          <a:off x="4134971" y="5681382"/>
          <a:ext cx="3866029" cy="281267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50</xdr:row>
      <xdr:rowOff>145676</xdr:rowOff>
    </xdr:from>
    <xdr:to>
      <xdr:col>11</xdr:col>
      <xdr:colOff>11208</xdr:colOff>
      <xdr:row>54</xdr:row>
      <xdr:rowOff>67235</xdr:rowOff>
    </xdr:to>
    <xdr:cxnSp macro="">
      <xdr:nvCxnSpPr>
        <xdr:cNvPr id="114" name="Rechte verbindingslijn met pijl 113"/>
        <xdr:cNvCxnSpPr/>
      </xdr:nvCxnSpPr>
      <xdr:spPr>
        <a:xfrm>
          <a:off x="4134971" y="8191500"/>
          <a:ext cx="3866031" cy="638735"/>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32</xdr:row>
      <xdr:rowOff>123265</xdr:rowOff>
    </xdr:from>
    <xdr:to>
      <xdr:col>11</xdr:col>
      <xdr:colOff>56030</xdr:colOff>
      <xdr:row>53</xdr:row>
      <xdr:rowOff>123265</xdr:rowOff>
    </xdr:to>
    <xdr:cxnSp macro="">
      <xdr:nvCxnSpPr>
        <xdr:cNvPr id="115" name="Rechte verbindingslijn met pijl 114"/>
        <xdr:cNvCxnSpPr/>
      </xdr:nvCxnSpPr>
      <xdr:spPr>
        <a:xfrm>
          <a:off x="4123765" y="5658971"/>
          <a:ext cx="3922059" cy="3406588"/>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32</xdr:row>
      <xdr:rowOff>112059</xdr:rowOff>
    </xdr:from>
    <xdr:to>
      <xdr:col>10</xdr:col>
      <xdr:colOff>403412</xdr:colOff>
      <xdr:row>38</xdr:row>
      <xdr:rowOff>56029</xdr:rowOff>
    </xdr:to>
    <xdr:cxnSp macro="">
      <xdr:nvCxnSpPr>
        <xdr:cNvPr id="118" name="Rechte verbindingslijn met pijl 117"/>
        <xdr:cNvCxnSpPr/>
      </xdr:nvCxnSpPr>
      <xdr:spPr>
        <a:xfrm>
          <a:off x="4123765" y="5647765"/>
          <a:ext cx="3821206" cy="101973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50</xdr:row>
      <xdr:rowOff>100852</xdr:rowOff>
    </xdr:from>
    <xdr:to>
      <xdr:col>11</xdr:col>
      <xdr:colOff>22412</xdr:colOff>
      <xdr:row>50</xdr:row>
      <xdr:rowOff>145676</xdr:rowOff>
    </xdr:to>
    <xdr:cxnSp macro="">
      <xdr:nvCxnSpPr>
        <xdr:cNvPr id="121" name="Rechte verbindingslijn met pijl 120"/>
        <xdr:cNvCxnSpPr/>
      </xdr:nvCxnSpPr>
      <xdr:spPr>
        <a:xfrm>
          <a:off x="4112559" y="8146676"/>
          <a:ext cx="3899647" cy="44824"/>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13446</xdr:colOff>
      <xdr:row>14</xdr:row>
      <xdr:rowOff>125507</xdr:rowOff>
    </xdr:from>
    <xdr:to>
      <xdr:col>16</xdr:col>
      <xdr:colOff>896471</xdr:colOff>
      <xdr:row>44</xdr:row>
      <xdr:rowOff>112059</xdr:rowOff>
    </xdr:to>
    <xdr:cxnSp macro="">
      <xdr:nvCxnSpPr>
        <xdr:cNvPr id="125" name="Rechte verbindingslijn met pijl 124"/>
        <xdr:cNvCxnSpPr/>
      </xdr:nvCxnSpPr>
      <xdr:spPr>
        <a:xfrm>
          <a:off x="10703858" y="2590801"/>
          <a:ext cx="2093260" cy="4648199"/>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xdr:colOff>
      <xdr:row>18</xdr:row>
      <xdr:rowOff>87407</xdr:rowOff>
    </xdr:from>
    <xdr:to>
      <xdr:col>16</xdr:col>
      <xdr:colOff>638735</xdr:colOff>
      <xdr:row>44</xdr:row>
      <xdr:rowOff>112059</xdr:rowOff>
    </xdr:to>
    <xdr:cxnSp macro="">
      <xdr:nvCxnSpPr>
        <xdr:cNvPr id="127" name="Rechte verbindingslijn met pijl 126"/>
        <xdr:cNvCxnSpPr/>
      </xdr:nvCxnSpPr>
      <xdr:spPr>
        <a:xfrm>
          <a:off x="10699376" y="3269878"/>
          <a:ext cx="1840006" cy="39691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xdr:colOff>
      <xdr:row>22</xdr:row>
      <xdr:rowOff>82925</xdr:rowOff>
    </xdr:from>
    <xdr:to>
      <xdr:col>16</xdr:col>
      <xdr:colOff>392206</xdr:colOff>
      <xdr:row>44</xdr:row>
      <xdr:rowOff>89647</xdr:rowOff>
    </xdr:to>
    <xdr:cxnSp macro="">
      <xdr:nvCxnSpPr>
        <xdr:cNvPr id="129" name="Rechte verbindingslijn met pijl 128"/>
        <xdr:cNvCxnSpPr/>
      </xdr:nvCxnSpPr>
      <xdr:spPr>
        <a:xfrm>
          <a:off x="10706100" y="3982572"/>
          <a:ext cx="1586753" cy="323401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xdr:row>
      <xdr:rowOff>56030</xdr:rowOff>
    </xdr:from>
    <xdr:to>
      <xdr:col>16</xdr:col>
      <xdr:colOff>78441</xdr:colOff>
      <xdr:row>44</xdr:row>
      <xdr:rowOff>56030</xdr:rowOff>
    </xdr:to>
    <xdr:cxnSp macro="">
      <xdr:nvCxnSpPr>
        <xdr:cNvPr id="131" name="Rechte verbindingslijn met pijl 130"/>
        <xdr:cNvCxnSpPr/>
      </xdr:nvCxnSpPr>
      <xdr:spPr>
        <a:xfrm>
          <a:off x="10690412" y="4672854"/>
          <a:ext cx="1288676" cy="251011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29134</xdr:colOff>
      <xdr:row>30</xdr:row>
      <xdr:rowOff>40348</xdr:rowOff>
    </xdr:from>
    <xdr:to>
      <xdr:col>15</xdr:col>
      <xdr:colOff>358589</xdr:colOff>
      <xdr:row>44</xdr:row>
      <xdr:rowOff>89647</xdr:rowOff>
    </xdr:to>
    <xdr:cxnSp macro="">
      <xdr:nvCxnSpPr>
        <xdr:cNvPr id="133" name="Rechte verbindingslijn met pijl 132"/>
        <xdr:cNvCxnSpPr/>
      </xdr:nvCxnSpPr>
      <xdr:spPr>
        <a:xfrm>
          <a:off x="10719546" y="5374348"/>
          <a:ext cx="934572" cy="184224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2238</xdr:colOff>
      <xdr:row>34</xdr:row>
      <xdr:rowOff>80696</xdr:rowOff>
    </xdr:from>
    <xdr:to>
      <xdr:col>15</xdr:col>
      <xdr:colOff>44824</xdr:colOff>
      <xdr:row>44</xdr:row>
      <xdr:rowOff>100853</xdr:rowOff>
    </xdr:to>
    <xdr:cxnSp macro="">
      <xdr:nvCxnSpPr>
        <xdr:cNvPr id="135" name="Rechte verbindingslijn met pijl 134"/>
        <xdr:cNvCxnSpPr/>
      </xdr:nvCxnSpPr>
      <xdr:spPr>
        <a:xfrm>
          <a:off x="10692650" y="6131872"/>
          <a:ext cx="647703" cy="10959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602874</xdr:colOff>
      <xdr:row>42</xdr:row>
      <xdr:rowOff>53801</xdr:rowOff>
    </xdr:from>
    <xdr:to>
      <xdr:col>14</xdr:col>
      <xdr:colOff>582706</xdr:colOff>
      <xdr:row>45</xdr:row>
      <xdr:rowOff>168089</xdr:rowOff>
    </xdr:to>
    <xdr:cxnSp macro="">
      <xdr:nvCxnSpPr>
        <xdr:cNvPr id="137" name="Rechte verbindingslijn met pijl 136"/>
        <xdr:cNvCxnSpPr/>
      </xdr:nvCxnSpPr>
      <xdr:spPr>
        <a:xfrm>
          <a:off x="10688168" y="6822154"/>
          <a:ext cx="584950" cy="65217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6722</xdr:colOff>
      <xdr:row>46</xdr:row>
      <xdr:rowOff>75841</xdr:rowOff>
    </xdr:from>
    <xdr:to>
      <xdr:col>14</xdr:col>
      <xdr:colOff>571500</xdr:colOff>
      <xdr:row>46</xdr:row>
      <xdr:rowOff>89647</xdr:rowOff>
    </xdr:to>
    <xdr:cxnSp macro="">
      <xdr:nvCxnSpPr>
        <xdr:cNvPr id="139" name="Rechte verbindingslijn met pijl 138"/>
        <xdr:cNvCxnSpPr/>
      </xdr:nvCxnSpPr>
      <xdr:spPr>
        <a:xfrm>
          <a:off x="4108075" y="7561370"/>
          <a:ext cx="7153837" cy="13806"/>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22412</xdr:colOff>
      <xdr:row>48</xdr:row>
      <xdr:rowOff>44823</xdr:rowOff>
    </xdr:from>
    <xdr:to>
      <xdr:col>16</xdr:col>
      <xdr:colOff>526677</xdr:colOff>
      <xdr:row>54</xdr:row>
      <xdr:rowOff>11205</xdr:rowOff>
    </xdr:to>
    <xdr:cxnSp macro="">
      <xdr:nvCxnSpPr>
        <xdr:cNvPr id="141" name="Rechte verbindingslijn met pijl 140"/>
        <xdr:cNvCxnSpPr/>
      </xdr:nvCxnSpPr>
      <xdr:spPr>
        <a:xfrm flipH="1">
          <a:off x="10712824" y="7888941"/>
          <a:ext cx="1714500" cy="140073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50</xdr:row>
      <xdr:rowOff>0</xdr:rowOff>
    </xdr:from>
    <xdr:to>
      <xdr:col>14</xdr:col>
      <xdr:colOff>593912</xdr:colOff>
      <xdr:row>55</xdr:row>
      <xdr:rowOff>22411</xdr:rowOff>
    </xdr:to>
    <xdr:cxnSp macro="">
      <xdr:nvCxnSpPr>
        <xdr:cNvPr id="144" name="Rechte verbindingslijn met pijl 143"/>
        <xdr:cNvCxnSpPr/>
      </xdr:nvCxnSpPr>
      <xdr:spPr>
        <a:xfrm>
          <a:off x="10690412" y="8561294"/>
          <a:ext cx="593912" cy="9188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62752</xdr:colOff>
      <xdr:row>54</xdr:row>
      <xdr:rowOff>62759</xdr:rowOff>
    </xdr:from>
    <xdr:to>
      <xdr:col>14</xdr:col>
      <xdr:colOff>549088</xdr:colOff>
      <xdr:row>55</xdr:row>
      <xdr:rowOff>145676</xdr:rowOff>
    </xdr:to>
    <xdr:cxnSp macro="">
      <xdr:nvCxnSpPr>
        <xdr:cNvPr id="146" name="Rechte verbindingslijn met pijl 145"/>
        <xdr:cNvCxnSpPr/>
      </xdr:nvCxnSpPr>
      <xdr:spPr>
        <a:xfrm>
          <a:off x="10753164" y="9341230"/>
          <a:ext cx="486336" cy="26221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38</xdr:row>
      <xdr:rowOff>78441</xdr:rowOff>
    </xdr:from>
    <xdr:to>
      <xdr:col>14</xdr:col>
      <xdr:colOff>582706</xdr:colOff>
      <xdr:row>45</xdr:row>
      <xdr:rowOff>11206</xdr:rowOff>
    </xdr:to>
    <xdr:cxnSp macro="">
      <xdr:nvCxnSpPr>
        <xdr:cNvPr id="38" name="Rechte verbindingslijn met pijl 37"/>
        <xdr:cNvCxnSpPr/>
      </xdr:nvCxnSpPr>
      <xdr:spPr>
        <a:xfrm>
          <a:off x="10690412" y="6689912"/>
          <a:ext cx="582706" cy="1187823"/>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22</xdr:row>
      <xdr:rowOff>123264</xdr:rowOff>
    </xdr:from>
    <xdr:to>
      <xdr:col>10</xdr:col>
      <xdr:colOff>425823</xdr:colOff>
      <xdr:row>22</xdr:row>
      <xdr:rowOff>123264</xdr:rowOff>
    </xdr:to>
    <xdr:cxnSp macro="">
      <xdr:nvCxnSpPr>
        <xdr:cNvPr id="41" name="Rechte verbindingslijn met pijl 40"/>
        <xdr:cNvCxnSpPr/>
      </xdr:nvCxnSpPr>
      <xdr:spPr>
        <a:xfrm>
          <a:off x="7283824" y="3866029"/>
          <a:ext cx="683558"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publicatie/15112/Bevoegdhedenovereenkomst-ACM-en-TenneT-veilingmiddelen" TargetMode="External"/><Relationship Id="rId13" Type="http://schemas.openxmlformats.org/officeDocument/2006/relationships/hyperlink" Target="https://www.acm.nl/nl/publicaties/gewijzigd-methodebesluit-tennet-systeemtaken-2017-2021" TargetMode="External"/><Relationship Id="rId3" Type="http://schemas.openxmlformats.org/officeDocument/2006/relationships/hyperlink" Target="https://opendata.cbs.nl/statline/" TargetMode="External"/><Relationship Id="rId7" Type="http://schemas.openxmlformats.org/officeDocument/2006/relationships/hyperlink" Target="http://wetten.overheid.nl/BWBR0037951/2018-03-24" TargetMode="External"/><Relationship Id="rId12" Type="http://schemas.openxmlformats.org/officeDocument/2006/relationships/hyperlink" Target="https://www.acm.nl/nl/publicaties/verslag-veilingopbrengsten-tennet-2017-2018" TargetMode="External"/><Relationship Id="rId2" Type="http://schemas.openxmlformats.org/officeDocument/2006/relationships/hyperlink" Target="https://www.acm.nl/nl/publicaties/wacc-methode-gewijzigd-methodebesluit-tennet-transport-2017-2021" TargetMode="External"/><Relationship Id="rId1" Type="http://schemas.openxmlformats.org/officeDocument/2006/relationships/hyperlink" Target="https://www.acm.nl/nl/publicaties/publicatie/16794/2e-Wijziging-Methodebesluit-TenneT-2014-2016-Transport" TargetMode="External"/><Relationship Id="rId6" Type="http://schemas.openxmlformats.org/officeDocument/2006/relationships/hyperlink" Target="https://www.acm.nl/nl/publicaties/gewijzigd-methodebesluit-tennet-transporttaken-2017-2021" TargetMode="External"/><Relationship Id="rId11" Type="http://schemas.openxmlformats.org/officeDocument/2006/relationships/hyperlink" Target="https://www.acm.nl/nl/publicaties/tarievenbesluit-tennet-2018" TargetMode="External"/><Relationship Id="rId5" Type="http://schemas.openxmlformats.org/officeDocument/2006/relationships/hyperlink" Target="https://www.acm.nl/nl/publicaties/gewijzigd-methodebesluit-gts-2017-2021" TargetMode="External"/><Relationship Id="rId10" Type="http://schemas.openxmlformats.org/officeDocument/2006/relationships/hyperlink" Target="https://www.acm.nl/nl/publicaties/publicatie/16724/Tarievenbesluit-TenneT-2017" TargetMode="External"/><Relationship Id="rId4" Type="http://schemas.openxmlformats.org/officeDocument/2006/relationships/hyperlink" Target="https://belastingdienst.nl/wps/wcm/connect/bldcontentnl/standaard_functies/prive/contact/rechten_en_plichten_bij_de_belastingdienst/belastingrente/overzicht_percentages_belastingrente" TargetMode="External"/><Relationship Id="rId9" Type="http://schemas.openxmlformats.org/officeDocument/2006/relationships/hyperlink" Target="https://www.acm.nl/nl/publicaties/tarievenbesluit-tennet-2019"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autoPageBreaks="0"/>
  </sheetPr>
  <dimension ref="B2:E42"/>
  <sheetViews>
    <sheetView showGridLines="0" tabSelected="1" zoomScale="85" zoomScaleNormal="85" workbookViewId="0">
      <pane ySplit="3" topLeftCell="A4" activePane="bottomLeft" state="frozen"/>
      <selection pane="bottomLeft"/>
    </sheetView>
  </sheetViews>
  <sheetFormatPr defaultColWidth="9.140625"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236</v>
      </c>
    </row>
    <row r="6" spans="2:3">
      <c r="B6" s="3"/>
    </row>
    <row r="13" spans="2:3" s="7" customFormat="1">
      <c r="B13" s="7" t="s">
        <v>0</v>
      </c>
    </row>
    <row r="14" spans="2:3" s="8" customFormat="1"/>
    <row r="15" spans="2:3">
      <c r="B15" s="9" t="s">
        <v>1</v>
      </c>
      <c r="C15" s="10" t="s">
        <v>315</v>
      </c>
    </row>
    <row r="16" spans="2:3">
      <c r="B16" s="9" t="s">
        <v>2</v>
      </c>
      <c r="C16" s="165" t="s">
        <v>924</v>
      </c>
    </row>
    <row r="17" spans="2:5">
      <c r="B17" s="9" t="s">
        <v>3</v>
      </c>
      <c r="C17" s="165" t="s">
        <v>312</v>
      </c>
    </row>
    <row r="18" spans="2:5">
      <c r="B18" s="9" t="s">
        <v>4</v>
      </c>
      <c r="C18" s="165" t="s">
        <v>313</v>
      </c>
    </row>
    <row r="19" spans="2:5">
      <c r="B19" s="9" t="s">
        <v>5</v>
      </c>
      <c r="C19" s="165" t="s">
        <v>212</v>
      </c>
    </row>
    <row r="20" spans="2:5">
      <c r="B20" s="9" t="s">
        <v>6</v>
      </c>
      <c r="C20" s="10"/>
    </row>
    <row r="21" spans="2:5">
      <c r="B21" s="9" t="s">
        <v>7</v>
      </c>
      <c r="C21" s="165" t="s">
        <v>305</v>
      </c>
    </row>
    <row r="22" spans="2:5">
      <c r="B22" s="9" t="s">
        <v>8</v>
      </c>
      <c r="C22" s="10" t="s">
        <v>212</v>
      </c>
    </row>
    <row r="25" spans="2:5" s="7" customFormat="1">
      <c r="B25" s="7" t="s">
        <v>9</v>
      </c>
    </row>
    <row r="27" spans="2:5">
      <c r="B27" s="165" t="s">
        <v>926</v>
      </c>
      <c r="C27" s="10" t="s">
        <v>925</v>
      </c>
    </row>
    <row r="28" spans="2:5">
      <c r="B28" s="9" t="s">
        <v>10</v>
      </c>
      <c r="C28" s="10" t="s">
        <v>731</v>
      </c>
    </row>
    <row r="29" spans="2:5" ht="25.5">
      <c r="B29" s="9" t="s">
        <v>11</v>
      </c>
      <c r="C29" s="10" t="s">
        <v>314</v>
      </c>
      <c r="E29" s="26"/>
    </row>
    <row r="30" spans="2:5">
      <c r="B30" s="9" t="s">
        <v>12</v>
      </c>
      <c r="C30" s="10" t="s">
        <v>212</v>
      </c>
    </row>
    <row r="31" spans="2:5">
      <c r="B31" s="138" t="s">
        <v>231</v>
      </c>
      <c r="C31" s="10" t="s">
        <v>212</v>
      </c>
    </row>
    <row r="34" spans="2:2" s="7" customFormat="1">
      <c r="B34" s="7" t="s">
        <v>13</v>
      </c>
    </row>
    <row r="36" spans="2:2">
      <c r="B36" s="83" t="s">
        <v>244</v>
      </c>
    </row>
    <row r="37" spans="2:2">
      <c r="B37" s="83" t="s">
        <v>245</v>
      </c>
    </row>
    <row r="38" spans="2:2">
      <c r="B38" s="83" t="s">
        <v>311</v>
      </c>
    </row>
    <row r="40" spans="2:2" s="190" customFormat="1">
      <c r="B40" s="190" t="s">
        <v>316</v>
      </c>
    </row>
    <row r="42" spans="2:2">
      <c r="B42" s="209" t="s">
        <v>317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R36"/>
  <sheetViews>
    <sheetView showGridLines="0" zoomScale="85" zoomScaleNormal="85" workbookViewId="0">
      <pane xSplit="6" ySplit="18" topLeftCell="G19" activePane="bottomRight" state="frozen"/>
      <selection pane="topRight"/>
      <selection pane="bottomLeft"/>
      <selection pane="bottomRight"/>
    </sheetView>
  </sheetViews>
  <sheetFormatPr defaultColWidth="9.140625" defaultRowHeight="12.75"/>
  <cols>
    <col min="1" max="1" width="4" style="2" customWidth="1"/>
    <col min="2" max="2" width="58.710937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30" width="13.7109375" style="2" customWidth="1"/>
    <col min="31" max="16384" width="9.140625" style="2"/>
  </cols>
  <sheetData>
    <row r="2" spans="1:8" s="20" customFormat="1" ht="18">
      <c r="B2" s="159" t="s">
        <v>272</v>
      </c>
    </row>
    <row r="3" spans="1:8">
      <c r="B3" s="21"/>
    </row>
    <row r="4" spans="1:8" s="82" customFormat="1" ht="12.75" customHeight="1">
      <c r="B4" s="271" t="s">
        <v>329</v>
      </c>
      <c r="C4" s="271"/>
      <c r="D4" s="271"/>
      <c r="E4" s="271"/>
    </row>
    <row r="5" spans="1:8" s="82" customFormat="1">
      <c r="B5" s="271"/>
      <c r="C5" s="271"/>
      <c r="D5" s="271"/>
      <c r="E5" s="271"/>
    </row>
    <row r="6" spans="1:8" s="82" customFormat="1">
      <c r="B6" s="271"/>
      <c r="C6" s="271"/>
      <c r="D6" s="271"/>
      <c r="E6" s="271"/>
    </row>
    <row r="7" spans="1:8" s="82" customFormat="1">
      <c r="B7" s="271"/>
      <c r="C7" s="271"/>
      <c r="D7" s="271"/>
      <c r="E7" s="271"/>
    </row>
    <row r="8" spans="1:8" s="82" customFormat="1">
      <c r="B8" s="271"/>
      <c r="C8" s="271"/>
      <c r="D8" s="271"/>
      <c r="E8" s="271"/>
    </row>
    <row r="9" spans="1:8">
      <c r="B9" s="271"/>
      <c r="C9" s="271"/>
      <c r="D9" s="271"/>
      <c r="E9" s="271"/>
    </row>
    <row r="10" spans="1:8" s="82" customFormat="1">
      <c r="B10" s="271"/>
      <c r="C10" s="271"/>
      <c r="D10" s="271"/>
      <c r="E10" s="271"/>
    </row>
    <row r="11" spans="1:8" s="158" customFormat="1">
      <c r="B11" s="271"/>
      <c r="C11" s="271"/>
      <c r="D11" s="271"/>
      <c r="E11" s="271"/>
    </row>
    <row r="12" spans="1:8">
      <c r="A12" s="198"/>
      <c r="B12" s="23"/>
      <c r="C12" s="23"/>
      <c r="D12" s="23"/>
      <c r="H12" s="21"/>
    </row>
    <row r="13" spans="1:8">
      <c r="A13" s="198"/>
      <c r="B13" s="81" t="s">
        <v>266</v>
      </c>
      <c r="C13" s="23"/>
      <c r="D13" s="23"/>
      <c r="H13" s="21"/>
    </row>
    <row r="14" spans="1:8" s="82" customFormat="1">
      <c r="A14" s="198"/>
      <c r="B14" s="83" t="s">
        <v>330</v>
      </c>
      <c r="C14" s="83"/>
      <c r="D14" s="83"/>
      <c r="F14" s="97" t="str">
        <f>'Tab 21_Controle rekenvolumina'!H34</f>
        <v>ja</v>
      </c>
    </row>
    <row r="15" spans="1:8">
      <c r="A15" s="198"/>
      <c r="B15" s="83" t="s">
        <v>259</v>
      </c>
      <c r="C15" s="23"/>
      <c r="D15" s="23"/>
      <c r="F15" s="97" t="str">
        <f>'Tab 22_Controle tarieven'!H84</f>
        <v>ja</v>
      </c>
    </row>
    <row r="16" spans="1:8" s="82" customFormat="1">
      <c r="B16" s="83"/>
      <c r="C16" s="83"/>
      <c r="D16" s="83"/>
      <c r="F16" s="105"/>
    </row>
    <row r="17" spans="1:18" s="86" customFormat="1" ht="38.25">
      <c r="B17" s="86" t="s">
        <v>45</v>
      </c>
      <c r="F17" s="86" t="s">
        <v>27</v>
      </c>
      <c r="H17" s="86" t="s">
        <v>28</v>
      </c>
      <c r="J17" s="86" t="s">
        <v>49</v>
      </c>
      <c r="L17" s="86" t="s">
        <v>79</v>
      </c>
      <c r="M17" s="31" t="s">
        <v>262</v>
      </c>
      <c r="N17" s="31" t="s">
        <v>81</v>
      </c>
      <c r="O17" s="31" t="s">
        <v>261</v>
      </c>
      <c r="P17" s="31" t="s">
        <v>174</v>
      </c>
      <c r="R17" s="86" t="s">
        <v>47</v>
      </c>
    </row>
    <row r="20" spans="1:18" s="7" customFormat="1">
      <c r="B20" s="7" t="s">
        <v>331</v>
      </c>
      <c r="R20" s="35"/>
    </row>
    <row r="22" spans="1:18" s="82" customFormat="1">
      <c r="A22" s="198"/>
      <c r="B22" s="81" t="s">
        <v>83</v>
      </c>
    </row>
    <row r="23" spans="1:18">
      <c r="A23" s="198"/>
      <c r="B23" s="2" t="s">
        <v>332</v>
      </c>
      <c r="F23" s="2" t="s">
        <v>84</v>
      </c>
      <c r="L23" s="267">
        <v>22.916666666666668</v>
      </c>
      <c r="M23" s="268">
        <v>1256264</v>
      </c>
      <c r="N23" s="268">
        <v>11697648</v>
      </c>
      <c r="O23" s="268">
        <v>176933</v>
      </c>
      <c r="P23" s="268">
        <v>2230924</v>
      </c>
      <c r="R23" s="5"/>
    </row>
    <row r="24" spans="1:18">
      <c r="A24" s="198"/>
      <c r="L24" s="215"/>
      <c r="M24" s="215"/>
      <c r="N24" s="215"/>
      <c r="O24" s="215"/>
      <c r="P24" s="215"/>
    </row>
    <row r="25" spans="1:18" s="82" customFormat="1">
      <c r="A25" s="198"/>
      <c r="B25" s="81" t="s">
        <v>85</v>
      </c>
      <c r="L25" s="215"/>
      <c r="M25" s="215"/>
      <c r="N25" s="215"/>
      <c r="O25" s="215"/>
      <c r="P25" s="215"/>
      <c r="R25" s="83"/>
    </row>
    <row r="26" spans="1:18">
      <c r="A26" s="198"/>
      <c r="B26" s="2" t="s">
        <v>333</v>
      </c>
      <c r="F26" s="2" t="s">
        <v>84</v>
      </c>
      <c r="L26" s="267">
        <v>94.25</v>
      </c>
      <c r="M26" s="268">
        <v>14934432</v>
      </c>
      <c r="N26" s="268">
        <v>153717225</v>
      </c>
      <c r="O26" s="268">
        <v>247091</v>
      </c>
      <c r="P26" s="268">
        <v>1955216</v>
      </c>
      <c r="R26" s="83"/>
    </row>
    <row r="27" spans="1:18">
      <c r="L27" s="215"/>
      <c r="M27" s="215"/>
      <c r="N27" s="215"/>
      <c r="O27" s="215"/>
      <c r="P27" s="215"/>
      <c r="R27" s="257"/>
    </row>
    <row r="28" spans="1:18" s="7" customFormat="1">
      <c r="B28" s="7" t="s">
        <v>334</v>
      </c>
      <c r="L28" s="201"/>
      <c r="M28" s="201"/>
      <c r="N28" s="201"/>
      <c r="O28" s="201"/>
      <c r="P28" s="201"/>
      <c r="R28" s="76"/>
    </row>
    <row r="29" spans="1:18">
      <c r="A29" s="198"/>
      <c r="L29" s="182"/>
      <c r="M29" s="182"/>
      <c r="N29" s="182"/>
      <c r="O29" s="182"/>
      <c r="P29" s="182"/>
      <c r="R29" s="83"/>
    </row>
    <row r="30" spans="1:18">
      <c r="A30" s="198"/>
      <c r="B30" s="1" t="s">
        <v>83</v>
      </c>
      <c r="L30" s="182"/>
      <c r="M30" s="182"/>
      <c r="N30" s="182"/>
      <c r="O30" s="182"/>
      <c r="P30" s="182"/>
      <c r="R30" s="83"/>
    </row>
    <row r="31" spans="1:18">
      <c r="A31" s="198"/>
      <c r="B31" s="23" t="s">
        <v>335</v>
      </c>
      <c r="F31" s="2" t="s">
        <v>209</v>
      </c>
      <c r="L31" s="267">
        <v>12478.96</v>
      </c>
      <c r="M31" s="267">
        <v>17.27</v>
      </c>
      <c r="N31" s="267">
        <v>1.86</v>
      </c>
      <c r="O31" s="267">
        <v>8.64</v>
      </c>
      <c r="P31" s="267">
        <v>0.64</v>
      </c>
      <c r="R31" s="83"/>
    </row>
    <row r="32" spans="1:18">
      <c r="A32" s="198"/>
      <c r="B32" s="23" t="s">
        <v>336</v>
      </c>
      <c r="F32" s="2" t="s">
        <v>84</v>
      </c>
      <c r="L32" s="267">
        <v>22.916666666666668</v>
      </c>
      <c r="M32" s="268">
        <v>1256264</v>
      </c>
      <c r="N32" s="268">
        <v>11697648</v>
      </c>
      <c r="O32" s="268">
        <v>176933</v>
      </c>
      <c r="P32" s="268">
        <v>2230924</v>
      </c>
      <c r="R32" s="83"/>
    </row>
    <row r="33" spans="1:18">
      <c r="A33" s="198"/>
      <c r="L33" s="215"/>
      <c r="M33" s="215"/>
      <c r="N33" s="215"/>
      <c r="O33" s="215"/>
      <c r="P33" s="215"/>
      <c r="R33" s="83"/>
    </row>
    <row r="34" spans="1:18">
      <c r="A34" s="198"/>
      <c r="B34" s="1" t="s">
        <v>85</v>
      </c>
      <c r="L34" s="215"/>
      <c r="M34" s="215"/>
      <c r="N34" s="215"/>
      <c r="O34" s="215"/>
      <c r="P34" s="215"/>
      <c r="R34" s="83"/>
    </row>
    <row r="35" spans="1:18">
      <c r="A35" s="198"/>
      <c r="B35" s="23" t="s">
        <v>335</v>
      </c>
      <c r="F35" s="2" t="s">
        <v>209</v>
      </c>
      <c r="L35" s="267">
        <v>2760</v>
      </c>
      <c r="M35" s="267">
        <v>26.46</v>
      </c>
      <c r="N35" s="267">
        <v>2.59</v>
      </c>
      <c r="O35" s="267">
        <v>13.25</v>
      </c>
      <c r="P35" s="267">
        <v>0.89</v>
      </c>
      <c r="R35" s="83"/>
    </row>
    <row r="36" spans="1:18">
      <c r="A36" s="198"/>
      <c r="B36" s="23" t="s">
        <v>336</v>
      </c>
      <c r="F36" s="2" t="s">
        <v>84</v>
      </c>
      <c r="L36" s="267">
        <v>94.25</v>
      </c>
      <c r="M36" s="268">
        <v>14934432</v>
      </c>
      <c r="N36" s="268">
        <v>153717225</v>
      </c>
      <c r="O36" s="268">
        <v>247091</v>
      </c>
      <c r="P36" s="268">
        <v>1955216</v>
      </c>
      <c r="R36" s="83"/>
    </row>
  </sheetData>
  <mergeCells count="1">
    <mergeCell ref="B4:E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AA60"/>
  <sheetViews>
    <sheetView showGridLines="0" zoomScale="85" zoomScaleNormal="85" workbookViewId="0">
      <pane xSplit="6" ySplit="12" topLeftCell="K13" activePane="bottomRight" state="frozen"/>
      <selection pane="topRight"/>
      <selection pane="bottomLeft"/>
      <selection pane="bottomRight"/>
    </sheetView>
  </sheetViews>
  <sheetFormatPr defaultColWidth="9.140625" defaultRowHeight="12.75"/>
  <cols>
    <col min="1" max="1" width="4" style="2" customWidth="1"/>
    <col min="2" max="2" width="46.140625" style="2" customWidth="1"/>
    <col min="3" max="5" width="4.5703125" style="2" customWidth="1"/>
    <col min="6" max="6" width="11.7109375" style="2" customWidth="1"/>
    <col min="7" max="7" width="2.7109375" style="2" customWidth="1"/>
    <col min="8" max="8" width="12.5703125" style="2" customWidth="1"/>
    <col min="9" max="9" width="2.7109375" style="2" customWidth="1"/>
    <col min="10" max="10" width="10.5703125" style="2" customWidth="1"/>
    <col min="11" max="11" width="2.7109375" style="2" customWidth="1"/>
    <col min="12" max="22" width="12.5703125" style="2" customWidth="1"/>
    <col min="23" max="23" width="2.7109375" style="82" customWidth="1"/>
    <col min="24" max="24" width="39.140625" style="2" customWidth="1"/>
    <col min="25" max="25" width="2.7109375" style="2" customWidth="1"/>
    <col min="26" max="26" width="13.7109375" style="83" customWidth="1"/>
    <col min="27" max="27" width="2.7109375" style="2" customWidth="1"/>
    <col min="28" max="42" width="13.7109375" style="2" customWidth="1"/>
    <col min="43" max="16384" width="9.140625" style="2"/>
  </cols>
  <sheetData>
    <row r="2" spans="1:27" s="20" customFormat="1" ht="18">
      <c r="B2" s="20" t="s">
        <v>255</v>
      </c>
      <c r="Z2" s="79"/>
    </row>
    <row r="3" spans="1:27">
      <c r="A3" s="198"/>
    </row>
    <row r="4" spans="1:27" s="82" customFormat="1" ht="12.75" customHeight="1">
      <c r="A4" s="198"/>
      <c r="B4" s="272" t="s">
        <v>303</v>
      </c>
      <c r="C4" s="272"/>
      <c r="D4" s="272"/>
      <c r="E4" s="272"/>
      <c r="Z4" s="216"/>
    </row>
    <row r="5" spans="1:27" s="82" customFormat="1">
      <c r="A5" s="198"/>
      <c r="B5" s="272"/>
      <c r="C5" s="272"/>
      <c r="D5" s="272"/>
      <c r="E5" s="272"/>
      <c r="Z5" s="216"/>
    </row>
    <row r="6" spans="1:27" s="82" customFormat="1">
      <c r="B6" s="272"/>
      <c r="C6" s="272"/>
      <c r="D6" s="272"/>
      <c r="E6" s="272"/>
      <c r="Z6" s="83"/>
    </row>
    <row r="7" spans="1:27" s="82" customFormat="1">
      <c r="B7" s="272"/>
      <c r="C7" s="272"/>
      <c r="D7" s="272"/>
      <c r="E7" s="272"/>
      <c r="Z7" s="83"/>
    </row>
    <row r="8" spans="1:27" s="82" customFormat="1">
      <c r="B8" s="272"/>
      <c r="C8" s="272"/>
      <c r="D8" s="272"/>
      <c r="E8" s="272"/>
      <c r="Z8" s="83"/>
    </row>
    <row r="9" spans="1:27" s="176" customFormat="1">
      <c r="B9" s="272"/>
      <c r="C9" s="272"/>
      <c r="D9" s="272"/>
      <c r="E9" s="272"/>
      <c r="Z9" s="83"/>
    </row>
    <row r="10" spans="1:27" s="82" customFormat="1"/>
    <row r="11" spans="1:27" s="7" customFormat="1">
      <c r="B11" s="7" t="s">
        <v>45</v>
      </c>
      <c r="F11" s="7" t="s">
        <v>27</v>
      </c>
      <c r="H11" s="7" t="s">
        <v>28</v>
      </c>
      <c r="J11" s="7" t="s">
        <v>49</v>
      </c>
      <c r="L11" s="73">
        <v>2011</v>
      </c>
      <c r="M11" s="73">
        <v>2012</v>
      </c>
      <c r="N11" s="73">
        <v>2013</v>
      </c>
      <c r="O11" s="73">
        <v>2014</v>
      </c>
      <c r="P11" s="73">
        <v>2015</v>
      </c>
      <c r="Q11" s="73">
        <v>2016</v>
      </c>
      <c r="R11" s="73">
        <v>2017</v>
      </c>
      <c r="S11" s="73">
        <v>2018</v>
      </c>
      <c r="T11" s="73">
        <v>2019</v>
      </c>
      <c r="U11" s="73">
        <v>2020</v>
      </c>
      <c r="V11" s="73">
        <v>2021</v>
      </c>
      <c r="W11" s="86"/>
      <c r="X11" s="7" t="s">
        <v>46</v>
      </c>
      <c r="Z11" s="76" t="s">
        <v>47</v>
      </c>
      <c r="AA11" s="35"/>
    </row>
    <row r="14" spans="1:27" s="7" customFormat="1">
      <c r="B14" s="76" t="s">
        <v>62</v>
      </c>
      <c r="W14" s="86"/>
      <c r="Z14" s="76"/>
    </row>
    <row r="16" spans="1:27">
      <c r="B16" s="1" t="s">
        <v>161</v>
      </c>
      <c r="Z16" s="81" t="s">
        <v>64</v>
      </c>
    </row>
    <row r="17" spans="2:26">
      <c r="B17" s="2" t="s">
        <v>162</v>
      </c>
      <c r="F17" s="2" t="s">
        <v>63</v>
      </c>
      <c r="L17" s="106">
        <v>1.4999999999999999E-2</v>
      </c>
      <c r="M17" s="106">
        <v>2.5999999999999999E-2</v>
      </c>
      <c r="N17" s="106">
        <v>2.3E-2</v>
      </c>
      <c r="O17" s="106">
        <v>2.8000000000000001E-2</v>
      </c>
      <c r="P17" s="106">
        <v>0.01</v>
      </c>
      <c r="Q17" s="106">
        <v>8.0000000000000002E-3</v>
      </c>
      <c r="R17" s="106">
        <v>2E-3</v>
      </c>
      <c r="S17" s="106">
        <v>1.4E-2</v>
      </c>
      <c r="T17" s="184">
        <v>2.1000000000000001E-2</v>
      </c>
      <c r="U17" s="140">
        <v>2.8000000000000001E-2</v>
      </c>
      <c r="V17" s="140">
        <v>1.2E-2</v>
      </c>
      <c r="X17" s="2" t="s">
        <v>192</v>
      </c>
      <c r="Z17" s="39" t="s">
        <v>306</v>
      </c>
    </row>
    <row r="18" spans="2:26">
      <c r="Z18" s="39" t="s">
        <v>65</v>
      </c>
    </row>
    <row r="19" spans="2:26">
      <c r="B19" s="225" t="s">
        <v>503</v>
      </c>
      <c r="F19" s="2" t="s">
        <v>63</v>
      </c>
      <c r="H19" s="184">
        <v>1.2E-2</v>
      </c>
      <c r="X19" s="224" t="s">
        <v>643</v>
      </c>
      <c r="Z19" s="39" t="s">
        <v>307</v>
      </c>
    </row>
    <row r="20" spans="2:26">
      <c r="Z20" s="39" t="s">
        <v>308</v>
      </c>
    </row>
    <row r="21" spans="2:26" s="82" customFormat="1">
      <c r="Z21" s="39" t="s">
        <v>309</v>
      </c>
    </row>
    <row r="22" spans="2:26" s="82" customFormat="1">
      <c r="Z22" s="39"/>
    </row>
    <row r="23" spans="2:26" s="7" customFormat="1">
      <c r="B23" s="76" t="s">
        <v>70</v>
      </c>
      <c r="W23" s="86"/>
      <c r="Z23" s="76"/>
    </row>
    <row r="25" spans="2:26">
      <c r="B25" s="1" t="s">
        <v>70</v>
      </c>
      <c r="Z25" s="81" t="s">
        <v>66</v>
      </c>
    </row>
    <row r="26" spans="2:26">
      <c r="B26" s="2" t="s">
        <v>71</v>
      </c>
      <c r="F26" s="2" t="s">
        <v>63</v>
      </c>
      <c r="L26" s="145">
        <v>2.5000000000000001E-2</v>
      </c>
      <c r="M26" s="145">
        <v>2.8500000000000001E-2</v>
      </c>
      <c r="N26" s="145">
        <v>0.03</v>
      </c>
      <c r="O26" s="145">
        <v>0.03</v>
      </c>
      <c r="P26" s="145">
        <v>0.04</v>
      </c>
      <c r="Q26" s="145">
        <v>0.04</v>
      </c>
      <c r="R26" s="145">
        <v>0.04</v>
      </c>
      <c r="S26" s="145">
        <v>0.04</v>
      </c>
      <c r="T26" s="185">
        <f>S29</f>
        <v>0.04</v>
      </c>
      <c r="U26" s="144">
        <v>0.04</v>
      </c>
      <c r="X26" s="2" t="s">
        <v>194</v>
      </c>
      <c r="Z26" s="39" t="s">
        <v>67</v>
      </c>
    </row>
    <row r="27" spans="2:26">
      <c r="B27" s="2" t="s">
        <v>72</v>
      </c>
      <c r="F27" s="2" t="s">
        <v>63</v>
      </c>
      <c r="L27" s="145">
        <v>2.5000000000000001E-2</v>
      </c>
      <c r="M27" s="145">
        <v>2.3E-2</v>
      </c>
      <c r="N27" s="145">
        <v>0.03</v>
      </c>
      <c r="O27" s="145">
        <v>0.04</v>
      </c>
      <c r="P27" s="145">
        <v>0.04</v>
      </c>
      <c r="Q27" s="145">
        <v>0.04</v>
      </c>
      <c r="R27" s="145">
        <v>0.04</v>
      </c>
      <c r="S27" s="145">
        <v>0.04</v>
      </c>
      <c r="T27" s="185">
        <f>S29</f>
        <v>0.04</v>
      </c>
      <c r="U27" s="144">
        <v>0.04</v>
      </c>
      <c r="X27" s="82" t="s">
        <v>194</v>
      </c>
      <c r="Z27" s="39" t="s">
        <v>163</v>
      </c>
    </row>
    <row r="28" spans="2:26">
      <c r="B28" s="2" t="s">
        <v>73</v>
      </c>
      <c r="F28" s="2" t="s">
        <v>63</v>
      </c>
      <c r="L28" s="145">
        <v>2.75E-2</v>
      </c>
      <c r="M28" s="145">
        <v>2.5000000000000001E-2</v>
      </c>
      <c r="N28" s="145">
        <v>0.03</v>
      </c>
      <c r="O28" s="145">
        <v>0.04</v>
      </c>
      <c r="P28" s="145">
        <v>0.04</v>
      </c>
      <c r="Q28" s="145">
        <v>0.04</v>
      </c>
      <c r="R28" s="145">
        <v>0.04</v>
      </c>
      <c r="S28" s="185">
        <v>0.04</v>
      </c>
      <c r="T28" s="144">
        <v>0.04</v>
      </c>
      <c r="X28" s="82" t="s">
        <v>194</v>
      </c>
      <c r="Z28" s="39" t="s">
        <v>68</v>
      </c>
    </row>
    <row r="29" spans="2:26">
      <c r="B29" s="2" t="s">
        <v>74</v>
      </c>
      <c r="F29" s="2" t="s">
        <v>63</v>
      </c>
      <c r="L29" s="145">
        <v>0.03</v>
      </c>
      <c r="M29" s="145">
        <v>2.2499999999999999E-2</v>
      </c>
      <c r="N29" s="145">
        <v>0.03</v>
      </c>
      <c r="O29" s="145">
        <v>0.04</v>
      </c>
      <c r="P29" s="145">
        <v>0.04</v>
      </c>
      <c r="Q29" s="145">
        <v>0.04</v>
      </c>
      <c r="R29" s="145">
        <v>0.04</v>
      </c>
      <c r="S29" s="185">
        <v>0.04</v>
      </c>
      <c r="T29" s="144">
        <v>0.04</v>
      </c>
      <c r="X29" s="82" t="s">
        <v>194</v>
      </c>
      <c r="Z29" s="39" t="s">
        <v>69</v>
      </c>
    </row>
    <row r="30" spans="2:26">
      <c r="Z30" s="39" t="s">
        <v>164</v>
      </c>
    </row>
    <row r="31" spans="2:26">
      <c r="Z31" s="39" t="s">
        <v>467</v>
      </c>
    </row>
    <row r="32" spans="2:26" s="82" customFormat="1">
      <c r="Z32" s="39" t="s">
        <v>468</v>
      </c>
    </row>
    <row r="33" spans="1:26" s="82" customFormat="1">
      <c r="Z33" s="223"/>
    </row>
    <row r="34" spans="1:26" s="7" customFormat="1">
      <c r="B34" s="76" t="s">
        <v>264</v>
      </c>
      <c r="Q34" s="7">
        <v>2016</v>
      </c>
      <c r="R34" s="7">
        <v>2017</v>
      </c>
      <c r="S34" s="7">
        <v>2018</v>
      </c>
      <c r="T34" s="7">
        <v>2019</v>
      </c>
      <c r="U34" s="7">
        <v>2020</v>
      </c>
      <c r="V34" s="7">
        <v>2021</v>
      </c>
      <c r="W34" s="86"/>
      <c r="Z34" s="76"/>
    </row>
    <row r="36" spans="1:26">
      <c r="A36" s="198"/>
      <c r="B36" s="1" t="s">
        <v>558</v>
      </c>
      <c r="Q36" s="250"/>
      <c r="R36" s="250"/>
      <c r="S36" s="250"/>
      <c r="T36" s="250"/>
      <c r="U36" s="250"/>
      <c r="V36" s="250"/>
      <c r="X36" s="5"/>
      <c r="Z36" s="216"/>
    </row>
    <row r="37" spans="1:26">
      <c r="A37" s="198"/>
      <c r="B37" s="39" t="s">
        <v>263</v>
      </c>
      <c r="F37" s="2" t="s">
        <v>63</v>
      </c>
      <c r="Q37" s="231">
        <v>4.4999999999999998E-2</v>
      </c>
      <c r="R37" s="231">
        <v>4.1000000000000002E-2</v>
      </c>
      <c r="S37" s="231">
        <v>3.7999999999999999E-2</v>
      </c>
      <c r="T37" s="231">
        <v>3.5000000000000003E-2</v>
      </c>
      <c r="U37" s="231">
        <v>3.2000000000000001E-2</v>
      </c>
      <c r="V37" s="231">
        <v>2.8000000000000001E-2</v>
      </c>
      <c r="X37" s="215" t="s">
        <v>724</v>
      </c>
      <c r="Z37" s="83" t="s">
        <v>728</v>
      </c>
    </row>
    <row r="38" spans="1:26" s="253" customFormat="1">
      <c r="A38" s="198"/>
      <c r="B38" s="39"/>
      <c r="X38" s="215"/>
      <c r="Z38" s="215" t="s">
        <v>640</v>
      </c>
    </row>
    <row r="39" spans="1:26">
      <c r="X39" s="83"/>
      <c r="Z39" s="81"/>
    </row>
    <row r="40" spans="1:26" s="7" customFormat="1">
      <c r="B40" s="76" t="s">
        <v>639</v>
      </c>
      <c r="W40" s="86"/>
      <c r="X40" s="177"/>
      <c r="Z40" s="76"/>
    </row>
    <row r="41" spans="1:26">
      <c r="A41" s="198"/>
      <c r="X41" s="83"/>
    </row>
    <row r="42" spans="1:26">
      <c r="A42" s="198"/>
      <c r="B42" s="1" t="s">
        <v>75</v>
      </c>
      <c r="X42" s="83"/>
      <c r="Z42" s="81"/>
    </row>
    <row r="43" spans="1:26">
      <c r="A43" s="198"/>
      <c r="B43" s="2" t="s">
        <v>278</v>
      </c>
      <c r="F43" s="2" t="s">
        <v>63</v>
      </c>
      <c r="H43" s="106">
        <v>1.0999999999999999E-2</v>
      </c>
      <c r="X43" s="83" t="s">
        <v>641</v>
      </c>
    </row>
    <row r="44" spans="1:26">
      <c r="A44" s="198"/>
      <c r="B44" s="2" t="s">
        <v>279</v>
      </c>
      <c r="F44" s="2" t="s">
        <v>63</v>
      </c>
      <c r="H44" s="231">
        <v>0</v>
      </c>
      <c r="J44" s="216"/>
      <c r="X44" s="215" t="s">
        <v>644</v>
      </c>
    </row>
    <row r="45" spans="1:26">
      <c r="A45" s="198"/>
      <c r="X45" s="83"/>
    </row>
    <row r="46" spans="1:26">
      <c r="A46" s="198"/>
      <c r="B46" s="1" t="s">
        <v>76</v>
      </c>
      <c r="X46" s="83"/>
      <c r="Z46" s="81"/>
    </row>
    <row r="47" spans="1:26">
      <c r="A47" s="198"/>
      <c r="B47" s="39" t="s">
        <v>280</v>
      </c>
      <c r="H47" s="40">
        <v>0.6</v>
      </c>
      <c r="J47" s="216"/>
      <c r="X47" s="215" t="s">
        <v>642</v>
      </c>
      <c r="Z47" s="215" t="s">
        <v>557</v>
      </c>
    </row>
    <row r="48" spans="1:26">
      <c r="A48" s="198"/>
      <c r="X48" s="83"/>
    </row>
    <row r="49" spans="2:26" s="7" customFormat="1">
      <c r="B49" s="76" t="s">
        <v>78</v>
      </c>
      <c r="W49" s="86"/>
      <c r="X49" s="177"/>
      <c r="Z49" s="76"/>
    </row>
    <row r="50" spans="2:26">
      <c r="X50" s="83"/>
    </row>
    <row r="51" spans="2:26">
      <c r="B51" s="1" t="s">
        <v>165</v>
      </c>
      <c r="X51" s="83"/>
      <c r="Z51" s="81"/>
    </row>
    <row r="52" spans="2:26">
      <c r="B52" s="39" t="s">
        <v>111</v>
      </c>
      <c r="F52" s="2" t="s">
        <v>63</v>
      </c>
      <c r="H52" s="107">
        <v>0.5</v>
      </c>
      <c r="X52" s="55" t="s">
        <v>281</v>
      </c>
      <c r="Z52" s="81"/>
    </row>
    <row r="53" spans="2:26">
      <c r="B53" s="2" t="s">
        <v>112</v>
      </c>
      <c r="F53" s="2" t="s">
        <v>63</v>
      </c>
      <c r="H53" s="107">
        <v>0.5</v>
      </c>
      <c r="X53" s="55" t="s">
        <v>282</v>
      </c>
    </row>
    <row r="54" spans="2:26">
      <c r="X54" s="83"/>
    </row>
    <row r="55" spans="2:26">
      <c r="B55" s="1" t="s">
        <v>166</v>
      </c>
      <c r="X55" s="83"/>
      <c r="Z55" s="81"/>
    </row>
    <row r="56" spans="2:26">
      <c r="B56" s="2" t="s">
        <v>167</v>
      </c>
      <c r="F56" s="2" t="s">
        <v>63</v>
      </c>
      <c r="H56" s="107">
        <v>0.5</v>
      </c>
      <c r="X56" s="55" t="s">
        <v>283</v>
      </c>
    </row>
    <row r="57" spans="2:26" ht="12.75" customHeight="1">
      <c r="B57" s="2" t="s">
        <v>168</v>
      </c>
      <c r="F57" s="2" t="s">
        <v>63</v>
      </c>
      <c r="H57" s="107">
        <f>18/52</f>
        <v>0.34615384615384615</v>
      </c>
      <c r="X57" s="55" t="s">
        <v>284</v>
      </c>
    </row>
    <row r="58" spans="2:26">
      <c r="X58" s="83"/>
    </row>
    <row r="59" spans="2:26">
      <c r="B59" s="81" t="s">
        <v>257</v>
      </c>
      <c r="X59" s="83"/>
    </row>
    <row r="60" spans="2:26">
      <c r="B60" s="2" t="s">
        <v>286</v>
      </c>
      <c r="F60" s="2" t="s">
        <v>84</v>
      </c>
      <c r="H60" s="141">
        <v>3</v>
      </c>
      <c r="X60" s="83" t="s">
        <v>287</v>
      </c>
    </row>
  </sheetData>
  <mergeCells count="1">
    <mergeCell ref="B4:E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1:Z121"/>
  <sheetViews>
    <sheetView showGridLines="0" zoomScale="85" zoomScaleNormal="85" workbookViewId="0">
      <pane xSplit="6" ySplit="8" topLeftCell="K9" activePane="bottomRight" state="frozen"/>
      <selection pane="topRight"/>
      <selection pane="bottomLeft"/>
      <selection pane="bottomRight"/>
    </sheetView>
  </sheetViews>
  <sheetFormatPr defaultColWidth="9.140625" defaultRowHeight="12.75" outlineLevelCol="1"/>
  <cols>
    <col min="1" max="1" width="4" style="2" customWidth="1"/>
    <col min="2" max="2" width="89.1406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82" hidden="1" customWidth="1" outlineLevel="1"/>
    <col min="14" max="14" width="13" style="2" bestFit="1" customWidth="1" collapsed="1"/>
    <col min="15" max="16" width="13" style="2" bestFit="1" customWidth="1"/>
    <col min="17" max="17" width="12.85546875" style="2" customWidth="1"/>
    <col min="18" max="18" width="12.42578125" style="2" customWidth="1"/>
    <col min="19" max="20" width="12.5703125" style="2" customWidth="1"/>
    <col min="21" max="22" width="12.5703125" style="82" customWidth="1"/>
    <col min="23" max="23" width="2.7109375" style="2" customWidth="1"/>
    <col min="24" max="24" width="56.140625" style="2" customWidth="1"/>
    <col min="25" max="25" width="2.7109375" style="2" customWidth="1"/>
    <col min="26" max="26" width="13.7109375" style="2" customWidth="1"/>
    <col min="27" max="27" width="2.7109375" style="2" customWidth="1"/>
    <col min="28" max="42" width="13.7109375" style="2" customWidth="1"/>
    <col min="43" max="16384" width="9.140625" style="2"/>
  </cols>
  <sheetData>
    <row r="1" spans="1:26">
      <c r="A1" s="179"/>
    </row>
    <row r="2" spans="1:26" s="20" customFormat="1" ht="18">
      <c r="B2" s="20" t="s">
        <v>256</v>
      </c>
      <c r="X2" s="235"/>
    </row>
    <row r="3" spans="1:26">
      <c r="A3" s="198"/>
    </row>
    <row r="4" spans="1:26">
      <c r="A4" s="198"/>
      <c r="B4" s="1" t="s">
        <v>29</v>
      </c>
      <c r="C4" s="1"/>
      <c r="D4" s="1"/>
      <c r="X4" s="216"/>
    </row>
    <row r="5" spans="1:26" ht="24.75" customHeight="1">
      <c r="A5" s="198"/>
      <c r="B5" s="272" t="s">
        <v>355</v>
      </c>
      <c r="C5" s="272"/>
      <c r="D5" s="272"/>
      <c r="E5" s="272"/>
      <c r="H5" s="21"/>
    </row>
    <row r="7" spans="1:26" s="7" customFormat="1">
      <c r="B7" s="7" t="s">
        <v>45</v>
      </c>
      <c r="F7" s="7" t="s">
        <v>27</v>
      </c>
      <c r="H7" s="7" t="s">
        <v>28</v>
      </c>
      <c r="J7" s="7" t="s">
        <v>49</v>
      </c>
      <c r="L7" s="73">
        <v>2011</v>
      </c>
      <c r="M7" s="73">
        <v>2012</v>
      </c>
      <c r="N7" s="73">
        <v>2013</v>
      </c>
      <c r="O7" s="73">
        <v>2014</v>
      </c>
      <c r="P7" s="73">
        <v>2015</v>
      </c>
      <c r="Q7" s="73">
        <v>2016</v>
      </c>
      <c r="R7" s="73">
        <v>2017</v>
      </c>
      <c r="S7" s="73">
        <v>2018</v>
      </c>
      <c r="T7" s="73">
        <v>2019</v>
      </c>
      <c r="U7" s="73">
        <v>2020</v>
      </c>
      <c r="V7" s="73">
        <v>2021</v>
      </c>
      <c r="X7" s="7" t="s">
        <v>46</v>
      </c>
      <c r="Z7" s="7" t="s">
        <v>47</v>
      </c>
    </row>
    <row r="10" spans="1:26" s="7" customFormat="1">
      <c r="B10" s="7" t="s">
        <v>540</v>
      </c>
      <c r="L10" s="86"/>
      <c r="M10" s="86"/>
      <c r="U10" s="86"/>
      <c r="V10" s="86"/>
      <c r="X10" s="177"/>
    </row>
    <row r="11" spans="1:26">
      <c r="A11" s="198"/>
      <c r="X11" s="83"/>
    </row>
    <row r="12" spans="1:26">
      <c r="A12" s="198"/>
      <c r="B12" s="1" t="s">
        <v>699</v>
      </c>
      <c r="X12" s="83"/>
    </row>
    <row r="13" spans="1:26">
      <c r="A13" s="198"/>
      <c r="B13" s="2" t="s">
        <v>136</v>
      </c>
      <c r="F13" s="2" t="s">
        <v>208</v>
      </c>
      <c r="N13" s="33"/>
      <c r="O13" s="33"/>
      <c r="Q13" s="186">
        <v>101313843.66754709</v>
      </c>
      <c r="R13" s="233"/>
      <c r="S13" s="233"/>
      <c r="X13" s="215" t="s">
        <v>651</v>
      </c>
      <c r="Z13" s="216"/>
    </row>
    <row r="14" spans="1:26">
      <c r="A14" s="198"/>
      <c r="B14" s="2" t="s">
        <v>137</v>
      </c>
      <c r="F14" s="82" t="s">
        <v>208</v>
      </c>
      <c r="N14" s="8"/>
      <c r="Q14" s="186">
        <v>38077861.317479417</v>
      </c>
      <c r="R14" s="233"/>
      <c r="S14" s="233"/>
      <c r="X14" s="215" t="s">
        <v>652</v>
      </c>
    </row>
    <row r="15" spans="1:26">
      <c r="A15" s="198"/>
      <c r="B15" s="2" t="s">
        <v>138</v>
      </c>
      <c r="F15" s="82" t="s">
        <v>208</v>
      </c>
      <c r="N15" s="8"/>
      <c r="Q15" s="186">
        <v>266898647.7088967</v>
      </c>
      <c r="R15" s="233"/>
      <c r="S15" s="233"/>
      <c r="X15" s="215" t="s">
        <v>653</v>
      </c>
    </row>
    <row r="16" spans="1:26">
      <c r="A16" s="198"/>
      <c r="B16" s="2" t="s">
        <v>139</v>
      </c>
      <c r="F16" s="82" t="s">
        <v>208</v>
      </c>
      <c r="N16" s="8"/>
      <c r="Q16" s="186">
        <v>32839100.114819307</v>
      </c>
      <c r="R16" s="233"/>
      <c r="S16" s="233"/>
      <c r="X16" s="215" t="s">
        <v>654</v>
      </c>
    </row>
    <row r="17" spans="1:26">
      <c r="A17" s="198"/>
      <c r="B17" s="2" t="s">
        <v>135</v>
      </c>
      <c r="F17" s="82" t="s">
        <v>208</v>
      </c>
      <c r="N17" s="8"/>
      <c r="Q17" s="186">
        <v>439129452.80874246</v>
      </c>
      <c r="R17" s="233"/>
      <c r="S17" s="233"/>
      <c r="X17" s="215" t="s">
        <v>655</v>
      </c>
    </row>
    <row r="18" spans="1:26" s="82" customFormat="1">
      <c r="A18" s="198"/>
      <c r="X18" s="83"/>
    </row>
    <row r="19" spans="1:26" s="229" customFormat="1">
      <c r="A19" s="198"/>
      <c r="B19" s="187" t="s">
        <v>702</v>
      </c>
      <c r="C19" s="2"/>
      <c r="D19" s="2"/>
      <c r="E19" s="2"/>
      <c r="F19" s="2"/>
      <c r="G19" s="2"/>
      <c r="H19" s="2"/>
      <c r="I19" s="2"/>
      <c r="J19" s="2"/>
      <c r="K19" s="2"/>
      <c r="L19" s="82"/>
      <c r="M19" s="82"/>
      <c r="N19" s="2"/>
      <c r="O19" s="2"/>
      <c r="P19" s="2"/>
      <c r="Q19" s="2"/>
      <c r="R19" s="2"/>
      <c r="S19" s="2"/>
      <c r="T19" s="2"/>
      <c r="U19" s="82"/>
      <c r="V19" s="82"/>
      <c r="W19" s="2"/>
      <c r="X19" s="2"/>
    </row>
    <row r="20" spans="1:26" s="229" customFormat="1">
      <c r="A20" s="198"/>
      <c r="B20" s="2" t="s">
        <v>136</v>
      </c>
      <c r="C20" s="2"/>
      <c r="D20" s="2"/>
      <c r="E20" s="2"/>
      <c r="F20" s="2" t="s">
        <v>208</v>
      </c>
      <c r="G20" s="2"/>
      <c r="H20" s="2"/>
      <c r="I20" s="2"/>
      <c r="J20" s="2"/>
      <c r="K20" s="2"/>
      <c r="L20" s="82"/>
      <c r="M20" s="82"/>
      <c r="N20" s="2"/>
      <c r="O20" s="2"/>
      <c r="P20" s="2"/>
      <c r="Q20" s="2"/>
      <c r="R20" s="186">
        <v>99063380.897515282</v>
      </c>
      <c r="S20" s="186">
        <v>99538885.125823349</v>
      </c>
      <c r="T20" s="186">
        <v>100713443.97030807</v>
      </c>
      <c r="U20" s="82"/>
      <c r="V20" s="82"/>
      <c r="W20" s="2"/>
      <c r="X20" s="2" t="s">
        <v>645</v>
      </c>
      <c r="Z20" s="216"/>
    </row>
    <row r="21" spans="1:26" s="229" customFormat="1">
      <c r="A21" s="198"/>
      <c r="B21" s="2" t="s">
        <v>137</v>
      </c>
      <c r="C21" s="2"/>
      <c r="D21" s="2"/>
      <c r="E21" s="2"/>
      <c r="F21" s="2" t="s">
        <v>208</v>
      </c>
      <c r="G21" s="2"/>
      <c r="H21" s="2"/>
      <c r="I21" s="2"/>
      <c r="J21" s="2"/>
      <c r="K21" s="2"/>
      <c r="L21" s="82"/>
      <c r="M21" s="82"/>
      <c r="N21" s="2"/>
      <c r="O21" s="2"/>
      <c r="P21" s="2"/>
      <c r="Q21" s="2"/>
      <c r="R21" s="186">
        <v>37803700.715993568</v>
      </c>
      <c r="S21" s="186">
        <v>37985158.479430333</v>
      </c>
      <c r="T21" s="186">
        <v>38433383.34948761</v>
      </c>
      <c r="U21" s="82"/>
      <c r="V21" s="82"/>
      <c r="W21" s="2"/>
      <c r="X21" s="220" t="s">
        <v>646</v>
      </c>
    </row>
    <row r="22" spans="1:26" s="229" customFormat="1">
      <c r="A22" s="198"/>
      <c r="B22" s="2" t="s">
        <v>138</v>
      </c>
      <c r="C22" s="2"/>
      <c r="D22" s="2"/>
      <c r="E22" s="2"/>
      <c r="F22" s="2" t="s">
        <v>208</v>
      </c>
      <c r="G22" s="2"/>
      <c r="H22" s="2"/>
      <c r="I22" s="2"/>
      <c r="J22" s="2"/>
      <c r="K22" s="2"/>
      <c r="L22" s="82"/>
      <c r="M22" s="82"/>
      <c r="N22" s="2"/>
      <c r="O22" s="2"/>
      <c r="P22" s="2"/>
      <c r="Q22" s="2"/>
      <c r="R22" s="186">
        <v>261681938.5988377</v>
      </c>
      <c r="S22" s="186">
        <v>262938011.9041121</v>
      </c>
      <c r="T22" s="186">
        <v>266040680.44458064</v>
      </c>
      <c r="U22" s="82"/>
      <c r="V22" s="82"/>
      <c r="W22" s="2"/>
      <c r="X22" s="220" t="s">
        <v>647</v>
      </c>
    </row>
    <row r="23" spans="1:26" s="229" customFormat="1">
      <c r="A23" s="198"/>
      <c r="B23" s="2" t="s">
        <v>139</v>
      </c>
      <c r="C23" s="2"/>
      <c r="D23" s="2"/>
      <c r="E23" s="2"/>
      <c r="F23" s="2" t="s">
        <v>208</v>
      </c>
      <c r="G23" s="2"/>
      <c r="H23" s="2"/>
      <c r="I23" s="2"/>
      <c r="J23" s="2"/>
      <c r="K23" s="2"/>
      <c r="L23" s="82"/>
      <c r="M23" s="82"/>
      <c r="N23" s="2"/>
      <c r="O23" s="2"/>
      <c r="P23" s="2"/>
      <c r="Q23" s="2"/>
      <c r="R23" s="186">
        <v>32602658.59399261</v>
      </c>
      <c r="S23" s="186">
        <v>32759151.355243772</v>
      </c>
      <c r="T23" s="186">
        <v>33145709.341235649</v>
      </c>
      <c r="U23" s="82"/>
      <c r="V23" s="82"/>
      <c r="W23" s="2"/>
      <c r="X23" s="220" t="s">
        <v>648</v>
      </c>
    </row>
    <row r="24" spans="1:26" s="229" customFormat="1">
      <c r="A24" s="198"/>
      <c r="B24" s="2" t="s">
        <v>135</v>
      </c>
      <c r="C24" s="2"/>
      <c r="D24" s="2"/>
      <c r="E24" s="2"/>
      <c r="F24" s="2" t="s">
        <v>208</v>
      </c>
      <c r="G24" s="2"/>
      <c r="H24" s="2"/>
      <c r="I24" s="2"/>
      <c r="J24" s="2"/>
      <c r="K24" s="2"/>
      <c r="L24" s="82"/>
      <c r="M24" s="82"/>
      <c r="N24" s="2"/>
      <c r="O24" s="2"/>
      <c r="P24" s="2"/>
      <c r="Q24" s="2"/>
      <c r="R24" s="186">
        <v>431151678.80633914</v>
      </c>
      <c r="S24" s="186">
        <v>433221206.86460954</v>
      </c>
      <c r="T24" s="186">
        <v>438333217.10561192</v>
      </c>
      <c r="U24" s="82"/>
      <c r="V24" s="82"/>
      <c r="W24" s="2"/>
      <c r="X24" s="220" t="s">
        <v>649</v>
      </c>
    </row>
    <row r="25" spans="1:26" s="229" customFormat="1">
      <c r="A25" s="198"/>
      <c r="X25" s="215"/>
    </row>
    <row r="26" spans="1:26" s="7" customFormat="1">
      <c r="B26" s="7" t="s">
        <v>541</v>
      </c>
      <c r="L26" s="86"/>
      <c r="M26" s="86"/>
      <c r="U26" s="86"/>
      <c r="V26" s="86"/>
      <c r="X26" s="177"/>
    </row>
    <row r="27" spans="1:26">
      <c r="B27" s="1"/>
      <c r="X27" s="83"/>
    </row>
    <row r="28" spans="1:26">
      <c r="B28" s="2" t="s">
        <v>325</v>
      </c>
      <c r="F28" s="2" t="s">
        <v>208</v>
      </c>
      <c r="U28" s="186">
        <v>196196.96002215872</v>
      </c>
      <c r="V28" s="5"/>
      <c r="X28" s="83" t="s">
        <v>637</v>
      </c>
    </row>
    <row r="29" spans="1:26">
      <c r="X29" s="83"/>
    </row>
    <row r="30" spans="1:26" s="229" customFormat="1">
      <c r="B30" s="215" t="s">
        <v>542</v>
      </c>
      <c r="F30" s="229" t="s">
        <v>208</v>
      </c>
      <c r="U30" s="186">
        <v>2991.9605286413948</v>
      </c>
      <c r="V30" s="216"/>
      <c r="X30" s="215" t="s">
        <v>638</v>
      </c>
    </row>
    <row r="31" spans="1:26" s="229" customFormat="1">
      <c r="X31" s="215"/>
    </row>
    <row r="32" spans="1:26" s="7" customFormat="1">
      <c r="B32" s="7" t="s">
        <v>576</v>
      </c>
      <c r="L32" s="86"/>
      <c r="M32" s="86"/>
      <c r="U32" s="86"/>
      <c r="V32" s="86"/>
      <c r="X32" s="177"/>
    </row>
    <row r="33" spans="2:26">
      <c r="X33" s="83"/>
    </row>
    <row r="34" spans="2:26" s="238" customFormat="1">
      <c r="B34" s="187" t="s">
        <v>587</v>
      </c>
      <c r="X34" s="215"/>
    </row>
    <row r="35" spans="2:26">
      <c r="B35" s="2" t="s">
        <v>559</v>
      </c>
      <c r="F35" s="2" t="s">
        <v>208</v>
      </c>
      <c r="J35" s="28"/>
      <c r="K35" s="8"/>
      <c r="L35" s="8"/>
      <c r="M35" s="8"/>
      <c r="U35" s="186">
        <v>-4040831.0761778317</v>
      </c>
      <c r="V35" s="5"/>
      <c r="X35" s="83" t="s">
        <v>561</v>
      </c>
      <c r="Z35" s="2" t="s">
        <v>265</v>
      </c>
    </row>
    <row r="36" spans="2:26" s="229" customFormat="1">
      <c r="B36" s="229" t="s">
        <v>560</v>
      </c>
      <c r="F36" s="229" t="s">
        <v>208</v>
      </c>
      <c r="J36" s="28"/>
      <c r="K36" s="198"/>
      <c r="L36" s="198"/>
      <c r="M36" s="198"/>
      <c r="O36" s="254"/>
      <c r="P36" s="254"/>
      <c r="U36" s="186">
        <v>860603.64574323536</v>
      </c>
      <c r="V36" s="216"/>
      <c r="X36" s="215" t="s">
        <v>562</v>
      </c>
    </row>
    <row r="37" spans="2:26" s="229" customFormat="1">
      <c r="J37" s="28"/>
      <c r="K37" s="198"/>
      <c r="L37" s="198"/>
      <c r="M37" s="198"/>
      <c r="O37" s="254"/>
      <c r="P37" s="256"/>
      <c r="Q37" s="256"/>
      <c r="R37" s="256"/>
      <c r="S37" s="256"/>
      <c r="U37" s="216"/>
      <c r="V37" s="216"/>
      <c r="X37" s="215"/>
    </row>
    <row r="38" spans="2:26" s="238" customFormat="1">
      <c r="B38" s="187" t="s">
        <v>703</v>
      </c>
      <c r="J38" s="28"/>
      <c r="K38" s="198"/>
      <c r="L38" s="198"/>
      <c r="M38" s="198"/>
      <c r="U38" s="216"/>
      <c r="V38" s="216"/>
      <c r="X38" s="215"/>
    </row>
    <row r="39" spans="2:26" s="238" customFormat="1">
      <c r="B39" s="238" t="s">
        <v>588</v>
      </c>
      <c r="F39" s="238" t="s">
        <v>208</v>
      </c>
      <c r="J39" s="28"/>
      <c r="K39" s="198"/>
      <c r="L39" s="198"/>
      <c r="M39" s="198"/>
      <c r="R39" s="186">
        <v>771183.69848376513</v>
      </c>
      <c r="V39" s="216"/>
      <c r="X39" s="215" t="s">
        <v>577</v>
      </c>
    </row>
    <row r="40" spans="2:26" s="238" customFormat="1">
      <c r="B40" s="238" t="s">
        <v>589</v>
      </c>
      <c r="F40" s="238" t="s">
        <v>208</v>
      </c>
      <c r="J40" s="28"/>
      <c r="K40" s="198"/>
      <c r="L40" s="198"/>
      <c r="M40" s="198"/>
      <c r="R40" s="186">
        <v>40672.041934040375</v>
      </c>
      <c r="V40" s="216"/>
      <c r="X40" s="215" t="s">
        <v>580</v>
      </c>
    </row>
    <row r="41" spans="2:26" s="238" customFormat="1">
      <c r="J41" s="28"/>
      <c r="K41" s="198"/>
      <c r="L41" s="198"/>
      <c r="M41" s="198"/>
      <c r="U41" s="216"/>
      <c r="V41" s="216"/>
      <c r="X41" s="215"/>
    </row>
    <row r="42" spans="2:26" s="238" customFormat="1">
      <c r="B42" s="238" t="s">
        <v>590</v>
      </c>
      <c r="F42" s="238" t="s">
        <v>208</v>
      </c>
      <c r="J42" s="28"/>
      <c r="K42" s="198"/>
      <c r="L42" s="198"/>
      <c r="M42" s="198"/>
      <c r="R42" s="186">
        <v>383883.67501529306</v>
      </c>
      <c r="V42" s="216"/>
      <c r="X42" s="215" t="s">
        <v>578</v>
      </c>
    </row>
    <row r="43" spans="2:26" s="238" customFormat="1">
      <c r="B43" s="238" t="s">
        <v>591</v>
      </c>
      <c r="F43" s="238" t="s">
        <v>208</v>
      </c>
      <c r="J43" s="28"/>
      <c r="K43" s="198"/>
      <c r="L43" s="198"/>
      <c r="M43" s="198"/>
      <c r="R43" s="186">
        <v>29461.528469999786</v>
      </c>
      <c r="V43" s="216"/>
      <c r="X43" s="215" t="s">
        <v>581</v>
      </c>
    </row>
    <row r="44" spans="2:26" s="238" customFormat="1">
      <c r="J44" s="28"/>
      <c r="K44" s="198"/>
      <c r="L44" s="198"/>
      <c r="M44" s="198"/>
      <c r="U44" s="216"/>
      <c r="V44" s="216"/>
      <c r="X44" s="215"/>
    </row>
    <row r="45" spans="2:26" s="238" customFormat="1">
      <c r="B45" s="238" t="s">
        <v>592</v>
      </c>
      <c r="F45" s="238" t="s">
        <v>208</v>
      </c>
      <c r="J45" s="28"/>
      <c r="K45" s="198"/>
      <c r="L45" s="198"/>
      <c r="M45" s="198"/>
      <c r="S45" s="186">
        <v>1615.8145584128797</v>
      </c>
      <c r="V45" s="216"/>
      <c r="X45" s="215" t="s">
        <v>579</v>
      </c>
    </row>
    <row r="46" spans="2:26" s="238" customFormat="1">
      <c r="B46" s="238" t="s">
        <v>599</v>
      </c>
      <c r="F46" s="238" t="s">
        <v>208</v>
      </c>
      <c r="J46" s="28"/>
      <c r="K46" s="198"/>
      <c r="L46" s="198"/>
      <c r="M46" s="198"/>
      <c r="S46" s="186">
        <v>203.73837881255895</v>
      </c>
      <c r="V46" s="216"/>
      <c r="X46" s="215" t="s">
        <v>582</v>
      </c>
    </row>
    <row r="47" spans="2:26" s="238" customFormat="1">
      <c r="J47" s="28"/>
      <c r="K47" s="198"/>
      <c r="L47" s="198"/>
      <c r="M47" s="198"/>
      <c r="U47" s="216"/>
      <c r="V47" s="216"/>
      <c r="X47" s="215"/>
    </row>
    <row r="48" spans="2:26" s="238" customFormat="1">
      <c r="B48" s="238" t="s">
        <v>594</v>
      </c>
      <c r="F48" s="238" t="s">
        <v>208</v>
      </c>
      <c r="J48" s="28"/>
      <c r="K48" s="198"/>
      <c r="L48" s="198"/>
      <c r="M48" s="198"/>
      <c r="S48" s="186">
        <v>3702.2949582263827</v>
      </c>
      <c r="V48" s="216"/>
      <c r="X48" s="215" t="s">
        <v>583</v>
      </c>
    </row>
    <row r="49" spans="1:26" s="238" customFormat="1">
      <c r="B49" s="238" t="s">
        <v>600</v>
      </c>
      <c r="F49" s="238" t="s">
        <v>208</v>
      </c>
      <c r="J49" s="28"/>
      <c r="K49" s="198"/>
      <c r="L49" s="198"/>
      <c r="M49" s="198"/>
      <c r="S49" s="186">
        <v>261.99119976628572</v>
      </c>
      <c r="V49" s="216"/>
      <c r="X49" s="215" t="s">
        <v>584</v>
      </c>
    </row>
    <row r="50" spans="1:26" s="238" customFormat="1">
      <c r="J50" s="28"/>
      <c r="K50" s="198"/>
      <c r="L50" s="198"/>
      <c r="M50" s="198"/>
      <c r="U50" s="216"/>
      <c r="V50" s="216"/>
      <c r="X50" s="215"/>
    </row>
    <row r="51" spans="1:26" s="238" customFormat="1">
      <c r="B51" s="238" t="s">
        <v>596</v>
      </c>
      <c r="F51" s="238" t="s">
        <v>208</v>
      </c>
      <c r="J51" s="28"/>
      <c r="K51" s="198"/>
      <c r="L51" s="198"/>
      <c r="M51" s="198"/>
      <c r="T51" s="186">
        <v>-83185.043538883328</v>
      </c>
      <c r="V51" s="216"/>
      <c r="X51" s="215" t="s">
        <v>585</v>
      </c>
    </row>
    <row r="52" spans="1:26" s="238" customFormat="1">
      <c r="B52" s="238" t="s">
        <v>597</v>
      </c>
      <c r="F52" s="238" t="s">
        <v>208</v>
      </c>
      <c r="J52" s="28"/>
      <c r="K52" s="198"/>
      <c r="L52" s="198"/>
      <c r="M52" s="198"/>
      <c r="T52" s="186">
        <v>-3065.4304138251173</v>
      </c>
      <c r="V52" s="216"/>
      <c r="X52" s="215" t="s">
        <v>586</v>
      </c>
    </row>
    <row r="53" spans="1:26" s="238" customFormat="1">
      <c r="J53" s="28"/>
      <c r="K53" s="198"/>
      <c r="L53" s="198"/>
      <c r="M53" s="198"/>
      <c r="U53" s="216"/>
      <c r="V53" s="216"/>
      <c r="X53" s="215"/>
    </row>
    <row r="54" spans="1:26" s="7" customFormat="1">
      <c r="B54" s="7" t="s">
        <v>598</v>
      </c>
      <c r="L54" s="86"/>
      <c r="M54" s="86"/>
      <c r="U54" s="86"/>
      <c r="V54" s="86"/>
      <c r="X54" s="177"/>
    </row>
    <row r="55" spans="1:26">
      <c r="A55" s="198"/>
      <c r="X55" s="83"/>
    </row>
    <row r="56" spans="1:26">
      <c r="A56" s="198"/>
      <c r="B56" s="187" t="s">
        <v>142</v>
      </c>
      <c r="C56" s="225"/>
      <c r="D56" s="225"/>
      <c r="E56" s="225"/>
      <c r="F56" s="225"/>
      <c r="X56" s="83"/>
      <c r="Z56" s="213"/>
    </row>
    <row r="57" spans="1:26" s="225" customFormat="1">
      <c r="A57" s="198"/>
      <c r="B57" s="215" t="s">
        <v>563</v>
      </c>
      <c r="F57" s="225" t="s">
        <v>208</v>
      </c>
      <c r="Q57" s="186">
        <v>67542562.44503139</v>
      </c>
      <c r="X57" s="215" t="s">
        <v>656</v>
      </c>
      <c r="Z57" s="216"/>
    </row>
    <row r="58" spans="1:26" s="225" customFormat="1">
      <c r="A58" s="198"/>
      <c r="B58" s="215" t="s">
        <v>564</v>
      </c>
      <c r="F58" s="225" t="s">
        <v>208</v>
      </c>
      <c r="V58" s="186">
        <v>65016880.262173384</v>
      </c>
      <c r="X58" s="215" t="s">
        <v>650</v>
      </c>
      <c r="Z58" s="216"/>
    </row>
    <row r="59" spans="1:26" s="225" customFormat="1">
      <c r="A59" s="198"/>
      <c r="B59" s="215" t="s">
        <v>704</v>
      </c>
      <c r="F59" s="225" t="s">
        <v>208</v>
      </c>
      <c r="R59" s="186">
        <v>65323825.273999996</v>
      </c>
      <c r="S59" s="186">
        <v>64931882.049999997</v>
      </c>
      <c r="T59" s="186">
        <v>64996813.93204999</v>
      </c>
      <c r="X59" s="215" t="s">
        <v>671</v>
      </c>
      <c r="Z59" s="213"/>
    </row>
    <row r="60" spans="1:26" s="225" customFormat="1">
      <c r="A60" s="198"/>
      <c r="X60" s="215"/>
      <c r="Z60" s="213"/>
    </row>
    <row r="61" spans="1:26" s="225" customFormat="1">
      <c r="A61" s="198"/>
      <c r="B61" s="187" t="s">
        <v>565</v>
      </c>
      <c r="X61" s="215"/>
      <c r="Z61" s="213"/>
    </row>
    <row r="62" spans="1:26" s="225" customFormat="1">
      <c r="A62" s="198"/>
      <c r="B62" s="225" t="s">
        <v>511</v>
      </c>
      <c r="F62" s="225" t="s">
        <v>208</v>
      </c>
      <c r="N62" s="193"/>
      <c r="O62" s="193"/>
      <c r="P62" s="265"/>
      <c r="Q62" s="265"/>
      <c r="R62" s="265"/>
      <c r="S62" s="265"/>
      <c r="T62" s="193"/>
      <c r="U62" s="193"/>
      <c r="X62" s="258" t="s">
        <v>923</v>
      </c>
      <c r="Z62" s="213"/>
    </row>
    <row r="63" spans="1:26" s="225" customFormat="1">
      <c r="A63" s="198"/>
      <c r="B63" s="225" t="s">
        <v>440</v>
      </c>
      <c r="F63" s="225" t="s">
        <v>208</v>
      </c>
      <c r="N63" s="193"/>
      <c r="O63" s="193"/>
      <c r="P63" s="265"/>
      <c r="Q63" s="265"/>
      <c r="R63" s="265"/>
      <c r="S63" s="265"/>
      <c r="T63" s="193"/>
      <c r="U63" s="193"/>
      <c r="X63" s="258" t="s">
        <v>923</v>
      </c>
      <c r="Z63" s="213"/>
    </row>
    <row r="64" spans="1:26" s="225" customFormat="1">
      <c r="A64" s="198"/>
      <c r="B64" s="225" t="s">
        <v>441</v>
      </c>
      <c r="F64" s="225" t="s">
        <v>208</v>
      </c>
      <c r="N64" s="193"/>
      <c r="O64" s="193"/>
      <c r="P64" s="265"/>
      <c r="Q64" s="265"/>
      <c r="R64" s="265"/>
      <c r="S64" s="265"/>
      <c r="T64" s="193"/>
      <c r="U64" s="193"/>
      <c r="X64" s="258" t="s">
        <v>923</v>
      </c>
      <c r="Z64" s="213"/>
    </row>
    <row r="65" spans="1:26" s="225" customFormat="1">
      <c r="A65" s="198"/>
      <c r="B65" s="225" t="s">
        <v>442</v>
      </c>
      <c r="F65" s="225" t="s">
        <v>208</v>
      </c>
      <c r="N65" s="193"/>
      <c r="O65" s="193"/>
      <c r="P65" s="265"/>
      <c r="Q65" s="265"/>
      <c r="R65" s="265"/>
      <c r="S65" s="265"/>
      <c r="T65" s="193"/>
      <c r="U65" s="193"/>
      <c r="X65" s="258" t="s">
        <v>923</v>
      </c>
      <c r="Z65" s="213"/>
    </row>
    <row r="66" spans="1:26" s="225" customFormat="1">
      <c r="A66" s="198"/>
      <c r="X66" s="215"/>
      <c r="Z66" s="213"/>
    </row>
    <row r="67" spans="1:26" s="225" customFormat="1">
      <c r="A67" s="198"/>
      <c r="B67" s="225" t="s">
        <v>492</v>
      </c>
      <c r="F67" s="225" t="s">
        <v>208</v>
      </c>
      <c r="Q67" s="186">
        <v>23005695</v>
      </c>
      <c r="R67" s="186">
        <v>20762344.710000001</v>
      </c>
      <c r="S67" s="186">
        <v>30673020.929000001</v>
      </c>
      <c r="X67" s="215" t="s">
        <v>657</v>
      </c>
      <c r="Z67" s="216"/>
    </row>
    <row r="68" spans="1:26" s="225" customFormat="1">
      <c r="A68" s="198"/>
      <c r="X68" s="215"/>
      <c r="Z68" s="213"/>
    </row>
    <row r="69" spans="1:26" s="225" customFormat="1">
      <c r="A69" s="198"/>
      <c r="B69" s="215" t="s">
        <v>705</v>
      </c>
      <c r="F69" s="225" t="s">
        <v>208</v>
      </c>
      <c r="R69" s="186">
        <v>42174644.687895529</v>
      </c>
      <c r="S69" s="186">
        <v>32824403.06228197</v>
      </c>
      <c r="T69" s="186">
        <v>26709737.625569224</v>
      </c>
      <c r="X69" s="215" t="s">
        <v>658</v>
      </c>
      <c r="Z69" s="213"/>
    </row>
    <row r="70" spans="1:26" s="225" customFormat="1">
      <c r="A70" s="198"/>
      <c r="X70" s="215"/>
      <c r="Z70" s="213"/>
    </row>
    <row r="71" spans="1:26" s="225" customFormat="1">
      <c r="A71" s="198"/>
      <c r="B71" s="187" t="s">
        <v>132</v>
      </c>
      <c r="X71" s="215"/>
      <c r="Z71" s="213"/>
    </row>
    <row r="72" spans="1:26" s="225" customFormat="1">
      <c r="A72" s="198"/>
      <c r="B72" s="225" t="s">
        <v>473</v>
      </c>
      <c r="F72" s="225" t="s">
        <v>208</v>
      </c>
      <c r="P72" s="186">
        <v>82438219.703185529</v>
      </c>
      <c r="Q72" s="186">
        <v>74752939</v>
      </c>
      <c r="R72" s="186">
        <v>64609693</v>
      </c>
      <c r="S72" s="251">
        <v>64609693</v>
      </c>
      <c r="X72" s="215" t="s">
        <v>726</v>
      </c>
      <c r="Y72" s="216"/>
      <c r="Z72" s="213"/>
    </row>
    <row r="73" spans="1:26" s="225" customFormat="1">
      <c r="A73" s="198"/>
      <c r="B73" s="225" t="s">
        <v>474</v>
      </c>
      <c r="F73" s="225" t="s">
        <v>208</v>
      </c>
      <c r="P73" s="186">
        <v>15408542.0901512</v>
      </c>
      <c r="Q73" s="186">
        <v>15408538</v>
      </c>
      <c r="R73" s="186">
        <v>14673449</v>
      </c>
      <c r="S73" s="251">
        <v>14673449</v>
      </c>
      <c r="X73" s="215" t="s">
        <v>727</v>
      </c>
      <c r="Y73" s="216"/>
      <c r="Z73" s="213"/>
    </row>
    <row r="74" spans="1:26" s="225" customFormat="1">
      <c r="A74" s="198"/>
      <c r="B74" s="225" t="s">
        <v>475</v>
      </c>
      <c r="F74" s="225" t="s">
        <v>208</v>
      </c>
      <c r="P74" s="186">
        <v>43492896.481880009</v>
      </c>
      <c r="Q74" s="186">
        <v>19400807</v>
      </c>
      <c r="R74" s="186">
        <v>22307533.757362377</v>
      </c>
      <c r="S74" s="186">
        <v>22170305.974530518</v>
      </c>
      <c r="X74" s="215" t="s">
        <v>660</v>
      </c>
      <c r="Z74" s="213"/>
    </row>
    <row r="75" spans="1:26" s="225" customFormat="1">
      <c r="A75" s="198"/>
      <c r="B75" s="198"/>
      <c r="C75" s="198"/>
      <c r="D75" s="198"/>
      <c r="E75" s="198"/>
      <c r="F75" s="198"/>
      <c r="R75" s="234"/>
      <c r="X75" s="215"/>
      <c r="Z75" s="213"/>
    </row>
    <row r="76" spans="1:26" s="225" customFormat="1">
      <c r="A76" s="198"/>
      <c r="B76" s="225" t="s">
        <v>723</v>
      </c>
      <c r="F76" s="225" t="s">
        <v>208</v>
      </c>
      <c r="R76" s="186">
        <v>62319376.599500075</v>
      </c>
      <c r="S76" s="186">
        <v>37643803.842947915</v>
      </c>
      <c r="T76" s="186">
        <v>39974702.927265584</v>
      </c>
      <c r="X76" s="215" t="s">
        <v>659</v>
      </c>
      <c r="Z76" s="213"/>
    </row>
    <row r="77" spans="1:26" s="225" customFormat="1">
      <c r="X77" s="215"/>
      <c r="Z77" s="213"/>
    </row>
    <row r="78" spans="1:26" s="190" customFormat="1">
      <c r="B78" s="190" t="s">
        <v>510</v>
      </c>
      <c r="X78" s="177"/>
    </row>
    <row r="79" spans="1:26" s="225" customFormat="1">
      <c r="A79" s="198"/>
      <c r="X79" s="215"/>
      <c r="Z79" s="213"/>
    </row>
    <row r="80" spans="1:26">
      <c r="A80" s="198"/>
      <c r="B80" s="187" t="s">
        <v>512</v>
      </c>
    </row>
    <row r="81" spans="1:26">
      <c r="A81" s="198"/>
      <c r="B81" s="2" t="s">
        <v>438</v>
      </c>
      <c r="F81" s="2" t="s">
        <v>208</v>
      </c>
      <c r="J81" s="193"/>
      <c r="N81" s="265"/>
      <c r="O81" s="265"/>
      <c r="P81" s="265"/>
      <c r="Q81" s="234"/>
      <c r="R81" s="265"/>
      <c r="S81" s="265"/>
      <c r="X81" s="258" t="s">
        <v>923</v>
      </c>
    </row>
    <row r="82" spans="1:26">
      <c r="A82" s="198"/>
      <c r="B82" s="2" t="s">
        <v>439</v>
      </c>
      <c r="F82" s="2" t="s">
        <v>208</v>
      </c>
      <c r="J82" s="193"/>
      <c r="N82" s="265"/>
      <c r="O82" s="265"/>
      <c r="P82" s="265"/>
      <c r="Q82" s="234"/>
      <c r="R82" s="265"/>
      <c r="S82" s="265"/>
      <c r="X82" s="258" t="s">
        <v>923</v>
      </c>
    </row>
    <row r="83" spans="1:26">
      <c r="A83" s="198"/>
      <c r="B83" s="2" t="s">
        <v>452</v>
      </c>
      <c r="F83" s="2" t="s">
        <v>208</v>
      </c>
      <c r="J83" s="253"/>
      <c r="N83" s="265"/>
      <c r="O83" s="265"/>
      <c r="P83" s="265"/>
      <c r="Q83" s="234"/>
      <c r="R83" s="265"/>
      <c r="S83" s="265"/>
      <c r="X83" s="258" t="s">
        <v>923</v>
      </c>
    </row>
    <row r="84" spans="1:26">
      <c r="A84" s="198"/>
      <c r="J84" s="193"/>
      <c r="Q84" s="234"/>
    </row>
    <row r="85" spans="1:26">
      <c r="A85" s="198"/>
      <c r="B85" s="187" t="s">
        <v>513</v>
      </c>
      <c r="J85" s="253"/>
    </row>
    <row r="86" spans="1:26">
      <c r="A86" s="198"/>
      <c r="B86" s="2" t="s">
        <v>435</v>
      </c>
      <c r="F86" s="2" t="s">
        <v>208</v>
      </c>
      <c r="J86" s="193"/>
      <c r="N86" s="265"/>
      <c r="O86" s="265"/>
      <c r="P86" s="265"/>
      <c r="Q86" s="234"/>
      <c r="R86" s="265"/>
      <c r="S86" s="265"/>
      <c r="X86" s="258" t="s">
        <v>923</v>
      </c>
    </row>
    <row r="87" spans="1:26">
      <c r="A87" s="198"/>
      <c r="B87" s="2" t="s">
        <v>436</v>
      </c>
      <c r="F87" s="2" t="s">
        <v>208</v>
      </c>
      <c r="N87" s="265"/>
      <c r="O87" s="265"/>
      <c r="P87" s="265"/>
      <c r="Q87" s="234"/>
      <c r="R87" s="265"/>
      <c r="S87" s="265"/>
      <c r="X87" s="258" t="s">
        <v>923</v>
      </c>
    </row>
    <row r="88" spans="1:26">
      <c r="A88" s="198"/>
      <c r="B88" s="2" t="s">
        <v>437</v>
      </c>
      <c r="F88" s="2" t="s">
        <v>208</v>
      </c>
      <c r="N88" s="265"/>
      <c r="O88" s="265"/>
      <c r="P88" s="265"/>
      <c r="Q88" s="234"/>
      <c r="R88" s="265"/>
      <c r="S88" s="265"/>
      <c r="X88" s="258" t="s">
        <v>923</v>
      </c>
    </row>
    <row r="89" spans="1:26">
      <c r="A89" s="198"/>
      <c r="B89" s="2" t="s">
        <v>537</v>
      </c>
      <c r="F89" s="2" t="s">
        <v>208</v>
      </c>
      <c r="N89" s="265"/>
      <c r="O89" s="265"/>
      <c r="P89" s="266"/>
      <c r="Q89" s="234"/>
      <c r="X89" s="258" t="s">
        <v>923</v>
      </c>
      <c r="Z89" s="216"/>
    </row>
    <row r="90" spans="1:26" s="238" customFormat="1">
      <c r="X90" s="215"/>
      <c r="Z90" s="213"/>
    </row>
    <row r="91" spans="1:26" s="7" customFormat="1">
      <c r="B91" s="7" t="s">
        <v>543</v>
      </c>
      <c r="L91" s="86"/>
      <c r="M91" s="86"/>
      <c r="U91" s="86"/>
      <c r="V91" s="86"/>
      <c r="X91" s="177"/>
    </row>
    <row r="92" spans="1:26">
      <c r="X92" s="83"/>
    </row>
    <row r="93" spans="1:26">
      <c r="B93" s="1" t="s">
        <v>157</v>
      </c>
      <c r="X93" s="83"/>
    </row>
    <row r="94" spans="1:26">
      <c r="B94" s="2" t="s">
        <v>356</v>
      </c>
      <c r="F94" s="2" t="s">
        <v>208</v>
      </c>
      <c r="N94" s="43"/>
      <c r="O94" s="43"/>
      <c r="P94" s="43"/>
      <c r="Q94" s="43"/>
      <c r="S94" s="95">
        <v>18702402.757384323</v>
      </c>
      <c r="T94" s="5"/>
      <c r="U94" s="43"/>
      <c r="V94" s="43"/>
      <c r="X94" s="215" t="s">
        <v>661</v>
      </c>
      <c r="Z94" s="215" t="s">
        <v>544</v>
      </c>
    </row>
    <row r="95" spans="1:26">
      <c r="B95" s="2" t="s">
        <v>188</v>
      </c>
      <c r="F95" s="82" t="s">
        <v>208</v>
      </c>
      <c r="N95" s="203">
        <v>12414582.98</v>
      </c>
      <c r="O95" s="203">
        <v>14319292.699999999</v>
      </c>
      <c r="P95" s="203">
        <v>16907979.559999999</v>
      </c>
      <c r="S95" s="95">
        <v>21124302.600000001</v>
      </c>
      <c r="T95" s="5"/>
      <c r="U95" s="43"/>
      <c r="V95" s="43"/>
      <c r="X95" s="215" t="s">
        <v>663</v>
      </c>
    </row>
    <row r="96" spans="1:26">
      <c r="P96" s="43"/>
      <c r="R96" s="43"/>
      <c r="S96" s="43"/>
      <c r="T96" s="43"/>
      <c r="U96" s="43"/>
      <c r="V96" s="43"/>
      <c r="X96" s="83"/>
    </row>
    <row r="97" spans="1:26">
      <c r="B97" s="1" t="s">
        <v>133</v>
      </c>
      <c r="P97" s="43"/>
      <c r="R97" s="43"/>
      <c r="S97" s="43"/>
      <c r="T97" s="43"/>
      <c r="U97" s="43"/>
      <c r="V97" s="43"/>
      <c r="X97" s="83"/>
    </row>
    <row r="98" spans="1:26">
      <c r="B98" s="23" t="s">
        <v>358</v>
      </c>
      <c r="F98" s="2" t="s">
        <v>208</v>
      </c>
      <c r="N98" s="43"/>
      <c r="O98" s="43"/>
      <c r="P98" s="43"/>
      <c r="S98" s="95">
        <v>-4461691.8846240006</v>
      </c>
      <c r="T98" s="5"/>
      <c r="U98" s="43"/>
      <c r="V98" s="43"/>
      <c r="X98" s="215" t="s">
        <v>662</v>
      </c>
      <c r="Z98" s="215" t="s">
        <v>545</v>
      </c>
    </row>
    <row r="99" spans="1:26">
      <c r="B99" s="2" t="s">
        <v>189</v>
      </c>
      <c r="F99" s="82" t="s">
        <v>208</v>
      </c>
      <c r="N99" s="203">
        <v>1383422.63</v>
      </c>
      <c r="O99" s="203">
        <v>-1211200</v>
      </c>
      <c r="P99" s="203">
        <v>-14164357.859999999</v>
      </c>
      <c r="S99" s="95">
        <v>-10082448.097243795</v>
      </c>
      <c r="T99" s="5"/>
      <c r="U99" s="43"/>
      <c r="V99" s="43"/>
      <c r="X99" s="215" t="s">
        <v>664</v>
      </c>
      <c r="Z99" s="84"/>
    </row>
    <row r="100" spans="1:26" s="238" customFormat="1">
      <c r="X100" s="215"/>
      <c r="Z100" s="213"/>
    </row>
    <row r="101" spans="1:26" s="7" customFormat="1">
      <c r="B101" s="7" t="s">
        <v>130</v>
      </c>
      <c r="L101" s="86"/>
      <c r="M101" s="86"/>
      <c r="U101" s="86"/>
      <c r="V101" s="86"/>
      <c r="X101" s="177"/>
    </row>
    <row r="102" spans="1:26">
      <c r="X102" s="83"/>
    </row>
    <row r="103" spans="1:26">
      <c r="B103" s="2" t="s">
        <v>289</v>
      </c>
      <c r="F103" s="2" t="s">
        <v>208</v>
      </c>
      <c r="R103" s="95">
        <v>26550703</v>
      </c>
      <c r="S103" s="95">
        <v>26550703</v>
      </c>
      <c r="T103" s="95">
        <v>26550703</v>
      </c>
      <c r="U103" s="95">
        <v>26550703</v>
      </c>
      <c r="V103" s="28"/>
      <c r="X103" s="83" t="s">
        <v>665</v>
      </c>
    </row>
    <row r="104" spans="1:26">
      <c r="H104" s="8"/>
      <c r="J104" s="8"/>
      <c r="X104" s="83"/>
    </row>
    <row r="105" spans="1:26">
      <c r="B105" s="2" t="s">
        <v>290</v>
      </c>
      <c r="F105" s="2" t="s">
        <v>208</v>
      </c>
      <c r="V105" s="95">
        <v>75000000</v>
      </c>
      <c r="X105" s="83" t="s">
        <v>288</v>
      </c>
      <c r="Z105" s="183" t="s">
        <v>291</v>
      </c>
    </row>
    <row r="106" spans="1:26">
      <c r="A106" s="198"/>
      <c r="J106" s="8"/>
      <c r="K106" s="8"/>
      <c r="L106" s="8"/>
      <c r="M106" s="8"/>
      <c r="N106" s="8"/>
      <c r="O106" s="8"/>
      <c r="P106" s="8"/>
      <c r="Q106" s="8"/>
      <c r="T106" s="8"/>
      <c r="U106" s="8"/>
      <c r="V106" s="8"/>
      <c r="W106" s="8"/>
      <c r="X106" s="29"/>
    </row>
    <row r="107" spans="1:26">
      <c r="A107" s="198"/>
      <c r="B107" s="2" t="s">
        <v>134</v>
      </c>
      <c r="F107" s="2" t="s">
        <v>208</v>
      </c>
      <c r="H107" s="28"/>
      <c r="J107" s="28"/>
      <c r="K107" s="8"/>
      <c r="L107" s="8"/>
      <c r="M107" s="8"/>
      <c r="N107" s="178">
        <v>153199000</v>
      </c>
      <c r="O107" s="178">
        <v>133814454.8</v>
      </c>
      <c r="P107" s="178">
        <v>154182000</v>
      </c>
      <c r="Q107" s="178">
        <v>67581000</v>
      </c>
      <c r="R107" s="186">
        <v>51165706.090000004</v>
      </c>
      <c r="S107" s="186">
        <v>54737415.890000001</v>
      </c>
      <c r="T107" s="5"/>
      <c r="U107" s="8"/>
      <c r="V107" s="8"/>
      <c r="W107" s="8"/>
      <c r="X107" s="83" t="s">
        <v>666</v>
      </c>
      <c r="Z107" s="83"/>
    </row>
    <row r="108" spans="1:26">
      <c r="A108" s="198"/>
    </row>
    <row r="121" spans="1:1" s="225" customFormat="1">
      <c r="A121" s="198"/>
    </row>
  </sheetData>
  <mergeCells count="1">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V32"/>
  <sheetViews>
    <sheetView showGridLines="0" zoomScale="85" zoomScaleNormal="85" workbookViewId="0">
      <pane xSplit="6" ySplit="10" topLeftCell="G11" activePane="bottomRight" state="frozen"/>
      <selection pane="topRight"/>
      <selection pane="bottomLeft"/>
      <selection pane="bottomRight"/>
    </sheetView>
  </sheetViews>
  <sheetFormatPr defaultColWidth="9.140625" defaultRowHeight="12.75"/>
  <cols>
    <col min="1" max="1" width="4" style="2" customWidth="1"/>
    <col min="2" max="2" width="62.4257812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18" width="53.42578125" style="2" bestFit="1" customWidth="1"/>
    <col min="19" max="19" width="2.7109375" style="2" customWidth="1"/>
    <col min="20" max="32" width="13.7109375" style="2" customWidth="1"/>
    <col min="33" max="16384" width="9.140625" style="2"/>
  </cols>
  <sheetData>
    <row r="2" spans="1:20" s="20" customFormat="1" ht="18">
      <c r="B2" s="72" t="s">
        <v>304</v>
      </c>
    </row>
    <row r="3" spans="1:20">
      <c r="B3" s="21"/>
    </row>
    <row r="4" spans="1:20" s="82" customFormat="1">
      <c r="B4" s="271" t="s">
        <v>399</v>
      </c>
      <c r="C4" s="271"/>
      <c r="D4" s="271"/>
      <c r="E4" s="271"/>
    </row>
    <row r="5" spans="1:20" s="82" customFormat="1">
      <c r="B5" s="271"/>
      <c r="C5" s="271"/>
      <c r="D5" s="271"/>
      <c r="E5" s="271"/>
    </row>
    <row r="6" spans="1:20" s="82" customFormat="1">
      <c r="B6" s="271"/>
      <c r="C6" s="271"/>
      <c r="D6" s="271"/>
      <c r="E6" s="271"/>
    </row>
    <row r="7" spans="1:20" s="82" customFormat="1">
      <c r="B7" s="271"/>
      <c r="C7" s="271"/>
      <c r="D7" s="271"/>
      <c r="E7" s="271"/>
    </row>
    <row r="8" spans="1:20" s="82" customFormat="1">
      <c r="B8" s="271"/>
      <c r="C8" s="271"/>
      <c r="D8" s="271"/>
      <c r="E8" s="271"/>
    </row>
    <row r="9" spans="1:20" s="7" customFormat="1" ht="38.25">
      <c r="B9" s="7" t="s">
        <v>45</v>
      </c>
      <c r="F9" s="7" t="s">
        <v>27</v>
      </c>
      <c r="H9" s="7" t="s">
        <v>28</v>
      </c>
      <c r="J9" s="7" t="s">
        <v>49</v>
      </c>
      <c r="L9" s="41" t="s">
        <v>79</v>
      </c>
      <c r="M9" s="31" t="s">
        <v>262</v>
      </c>
      <c r="N9" s="31" t="s">
        <v>81</v>
      </c>
      <c r="O9" s="31" t="s">
        <v>261</v>
      </c>
      <c r="P9" s="31" t="s">
        <v>174</v>
      </c>
      <c r="R9" s="7" t="s">
        <v>46</v>
      </c>
      <c r="T9" s="7" t="s">
        <v>47</v>
      </c>
    </row>
    <row r="12" spans="1:20" s="7" customFormat="1">
      <c r="B12" s="7" t="s">
        <v>535</v>
      </c>
    </row>
    <row r="14" spans="1:20">
      <c r="A14" s="198"/>
      <c r="B14" s="1" t="s">
        <v>83</v>
      </c>
    </row>
    <row r="15" spans="1:20">
      <c r="A15" s="198"/>
      <c r="B15" s="23" t="s">
        <v>400</v>
      </c>
      <c r="F15" s="2" t="s">
        <v>127</v>
      </c>
      <c r="L15" s="40">
        <v>12478.96</v>
      </c>
      <c r="M15" s="40">
        <v>6.87</v>
      </c>
      <c r="N15" s="40">
        <v>0.7</v>
      </c>
      <c r="O15" s="40">
        <v>3.44</v>
      </c>
      <c r="P15" s="40">
        <v>0.24</v>
      </c>
      <c r="R15" s="215" t="s">
        <v>680</v>
      </c>
      <c r="T15" s="216"/>
    </row>
    <row r="16" spans="1:20" s="163" customFormat="1">
      <c r="A16" s="198"/>
      <c r="B16" s="83" t="s">
        <v>299</v>
      </c>
      <c r="F16" s="163" t="s">
        <v>84</v>
      </c>
      <c r="L16" s="181">
        <v>22.55</v>
      </c>
      <c r="M16" s="141">
        <v>1212716</v>
      </c>
      <c r="N16" s="141">
        <v>12026541</v>
      </c>
      <c r="O16" s="141">
        <v>235262</v>
      </c>
      <c r="P16" s="141">
        <v>3215320</v>
      </c>
      <c r="R16" s="83" t="s">
        <v>681</v>
      </c>
      <c r="T16" s="161"/>
    </row>
    <row r="17" spans="1:22">
      <c r="A17" s="198"/>
      <c r="B17" s="23"/>
      <c r="R17" s="83"/>
    </row>
    <row r="18" spans="1:22" s="82" customFormat="1">
      <c r="A18" s="198"/>
      <c r="B18" s="83" t="s">
        <v>401</v>
      </c>
      <c r="F18" s="214" t="s">
        <v>127</v>
      </c>
      <c r="H18" s="186">
        <v>270377.46666666667</v>
      </c>
      <c r="J18" s="216"/>
      <c r="R18" s="215" t="s">
        <v>682</v>
      </c>
    </row>
    <row r="19" spans="1:22" s="82" customFormat="1">
      <c r="A19" s="198"/>
      <c r="B19" s="83" t="s">
        <v>402</v>
      </c>
      <c r="F19" s="214" t="s">
        <v>127</v>
      </c>
      <c r="H19" s="186">
        <v>19631045.628011692</v>
      </c>
      <c r="J19" s="216"/>
      <c r="R19" s="215" t="s">
        <v>683</v>
      </c>
      <c r="T19" s="160" t="s">
        <v>536</v>
      </c>
    </row>
    <row r="20" spans="1:22" s="82" customFormat="1">
      <c r="A20" s="198"/>
      <c r="B20" s="83"/>
      <c r="H20" s="34"/>
      <c r="R20" s="83"/>
    </row>
    <row r="21" spans="1:22">
      <c r="A21" s="198"/>
      <c r="B21" s="1" t="s">
        <v>85</v>
      </c>
      <c r="R21" s="83"/>
    </row>
    <row r="22" spans="1:22">
      <c r="A22" s="198"/>
      <c r="B22" s="23" t="s">
        <v>400</v>
      </c>
      <c r="F22" s="214" t="s">
        <v>127</v>
      </c>
      <c r="L22" s="40">
        <v>2760</v>
      </c>
      <c r="M22" s="40">
        <v>17</v>
      </c>
      <c r="N22" s="40">
        <v>1.63</v>
      </c>
      <c r="O22" s="40">
        <v>8.51</v>
      </c>
      <c r="P22" s="40">
        <v>0.56000000000000005</v>
      </c>
      <c r="R22" s="215" t="s">
        <v>680</v>
      </c>
      <c r="T22" s="216"/>
    </row>
    <row r="23" spans="1:22" s="163" customFormat="1">
      <c r="A23" s="198"/>
      <c r="B23" s="83" t="s">
        <v>299</v>
      </c>
      <c r="F23" s="163" t="s">
        <v>84</v>
      </c>
      <c r="L23" s="181">
        <v>91.56</v>
      </c>
      <c r="M23" s="141">
        <v>14929120</v>
      </c>
      <c r="N23" s="141">
        <v>153986790</v>
      </c>
      <c r="O23" s="141">
        <v>226512</v>
      </c>
      <c r="P23" s="141">
        <v>1737592</v>
      </c>
      <c r="R23" s="215" t="s">
        <v>684</v>
      </c>
    </row>
    <row r="24" spans="1:22">
      <c r="A24" s="198"/>
      <c r="B24" s="23"/>
      <c r="R24" s="83"/>
    </row>
    <row r="25" spans="1:22" s="82" customFormat="1">
      <c r="A25" s="198"/>
      <c r="B25" s="83" t="s">
        <v>403</v>
      </c>
      <c r="F25" s="214" t="s">
        <v>127</v>
      </c>
      <c r="H25" s="186">
        <v>246100</v>
      </c>
      <c r="J25" s="216"/>
      <c r="R25" s="215" t="s">
        <v>685</v>
      </c>
    </row>
    <row r="26" spans="1:22">
      <c r="A26" s="198"/>
      <c r="B26" s="29" t="s">
        <v>404</v>
      </c>
      <c r="C26" s="29"/>
      <c r="D26" s="29"/>
      <c r="E26" s="29"/>
      <c r="F26" s="214" t="s">
        <v>127</v>
      </c>
      <c r="G26" s="29"/>
      <c r="H26" s="186">
        <v>500497514.48065543</v>
      </c>
      <c r="J26" s="216"/>
      <c r="L26" s="42"/>
      <c r="M26" s="42"/>
      <c r="N26" s="42"/>
      <c r="O26" s="42"/>
      <c r="P26" s="42"/>
      <c r="R26" s="215" t="s">
        <v>686</v>
      </c>
    </row>
    <row r="27" spans="1:22">
      <c r="A27" s="198"/>
      <c r="B27" s="273"/>
      <c r="C27" s="273"/>
      <c r="D27" s="8"/>
      <c r="E27" s="8"/>
      <c r="F27" s="8"/>
      <c r="G27" s="8"/>
      <c r="H27" s="78"/>
      <c r="T27" s="21"/>
    </row>
    <row r="28" spans="1:22">
      <c r="B28" s="273"/>
      <c r="C28" s="273"/>
      <c r="D28" s="8"/>
      <c r="E28" s="8"/>
      <c r="F28" s="8"/>
      <c r="G28" s="8"/>
      <c r="H28" s="78"/>
      <c r="L28" s="237"/>
      <c r="M28" s="237"/>
      <c r="N28" s="237"/>
      <c r="O28" s="237"/>
      <c r="P28" s="237"/>
      <c r="Q28" s="237"/>
      <c r="R28" s="237"/>
      <c r="S28" s="237"/>
    </row>
    <row r="29" spans="1:22">
      <c r="B29" s="8"/>
      <c r="C29" s="8"/>
      <c r="D29" s="8"/>
      <c r="E29" s="8"/>
      <c r="F29" s="8"/>
      <c r="G29" s="8"/>
      <c r="H29" s="8"/>
    </row>
    <row r="32" spans="1:22">
      <c r="M32" s="237"/>
      <c r="N32" s="237"/>
      <c r="O32" s="237"/>
      <c r="P32" s="237"/>
      <c r="Q32" s="237"/>
      <c r="R32" s="237"/>
      <c r="S32" s="237"/>
      <c r="T32" s="237"/>
      <c r="U32" s="237"/>
      <c r="V32" s="237"/>
    </row>
  </sheetData>
  <mergeCells count="3">
    <mergeCell ref="B27:C27"/>
    <mergeCell ref="B28:C28"/>
    <mergeCell ref="B4:E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fitToPage="1"/>
  </sheetPr>
  <dimension ref="B2:X76"/>
  <sheetViews>
    <sheetView showGridLines="0" zoomScale="85" zoomScaleNormal="85" workbookViewId="0">
      <pane xSplit="6" ySplit="12" topLeftCell="G13" activePane="bottomRight" state="frozen"/>
      <selection pane="topRight"/>
      <selection pane="bottomLeft"/>
      <selection pane="bottomRight"/>
    </sheetView>
  </sheetViews>
  <sheetFormatPr defaultColWidth="9.140625" defaultRowHeight="12.75"/>
  <cols>
    <col min="1" max="1" width="4" style="2" customWidth="1"/>
    <col min="2" max="2" width="54"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2" width="12.5703125" style="2" customWidth="1"/>
    <col min="23" max="23" width="2.7109375" style="2" customWidth="1"/>
    <col min="24" max="24" width="18" style="2" customWidth="1"/>
    <col min="25" max="37" width="13.7109375" style="2" customWidth="1"/>
    <col min="38" max="16384" width="9.140625" style="2"/>
  </cols>
  <sheetData>
    <row r="2" spans="2:24" s="20" customFormat="1" ht="18">
      <c r="B2" s="20" t="s">
        <v>241</v>
      </c>
    </row>
    <row r="4" spans="2:24" s="82" customFormat="1" ht="12.75" customHeight="1">
      <c r="B4" s="269" t="s">
        <v>285</v>
      </c>
      <c r="C4" s="270"/>
      <c r="D4" s="270"/>
      <c r="E4" s="270"/>
    </row>
    <row r="5" spans="2:24" s="82" customFormat="1">
      <c r="B5" s="270"/>
      <c r="C5" s="270"/>
      <c r="D5" s="270"/>
      <c r="E5" s="270"/>
    </row>
    <row r="6" spans="2:24" s="82" customFormat="1">
      <c r="B6" s="270"/>
      <c r="C6" s="270"/>
      <c r="D6" s="270"/>
      <c r="E6" s="270"/>
    </row>
    <row r="7" spans="2:24" s="82" customFormat="1">
      <c r="B7" s="270"/>
      <c r="C7" s="270"/>
      <c r="D7" s="270"/>
      <c r="E7" s="270"/>
    </row>
    <row r="8" spans="2:24" s="82" customFormat="1">
      <c r="B8" s="270"/>
      <c r="C8" s="270"/>
      <c r="D8" s="270"/>
      <c r="E8" s="270"/>
    </row>
    <row r="9" spans="2:24" s="82" customFormat="1">
      <c r="B9" s="270"/>
      <c r="C9" s="270"/>
      <c r="D9" s="270"/>
      <c r="E9" s="270"/>
    </row>
    <row r="10" spans="2:24">
      <c r="B10" s="84"/>
      <c r="C10" s="23"/>
      <c r="D10" s="23"/>
      <c r="H10" s="21"/>
    </row>
    <row r="11" spans="2:24" s="7" customFormat="1">
      <c r="B11" s="7" t="s">
        <v>45</v>
      </c>
      <c r="F11" s="7" t="s">
        <v>27</v>
      </c>
      <c r="H11" s="7" t="s">
        <v>28</v>
      </c>
      <c r="J11" s="7" t="s">
        <v>49</v>
      </c>
      <c r="L11" s="73">
        <v>2011</v>
      </c>
      <c r="M11" s="73">
        <v>2012</v>
      </c>
      <c r="N11" s="73">
        <v>2013</v>
      </c>
      <c r="O11" s="73">
        <v>2014</v>
      </c>
      <c r="P11" s="73">
        <v>2015</v>
      </c>
      <c r="Q11" s="73">
        <v>2016</v>
      </c>
      <c r="R11" s="73">
        <v>2017</v>
      </c>
      <c r="S11" s="73">
        <v>2018</v>
      </c>
      <c r="T11" s="73">
        <v>2019</v>
      </c>
      <c r="U11" s="73">
        <v>2020</v>
      </c>
      <c r="V11" s="73">
        <v>2021</v>
      </c>
      <c r="X11" s="7" t="s">
        <v>47</v>
      </c>
    </row>
    <row r="13" spans="2:24" s="82" customFormat="1"/>
    <row r="14" spans="2:24" s="7" customFormat="1">
      <c r="B14" s="7" t="s">
        <v>48</v>
      </c>
    </row>
    <row r="16" spans="2:24">
      <c r="B16" s="1" t="s">
        <v>161</v>
      </c>
    </row>
    <row r="17" spans="2:24">
      <c r="B17" s="2" t="s">
        <v>162</v>
      </c>
      <c r="F17" s="2" t="s">
        <v>63</v>
      </c>
      <c r="L17" s="92">
        <f>'Tab 9_Parameters'!L17</f>
        <v>1.4999999999999999E-2</v>
      </c>
      <c r="M17" s="92">
        <f>'Tab 9_Parameters'!M17</f>
        <v>2.5999999999999999E-2</v>
      </c>
      <c r="N17" s="92">
        <f>'Tab 9_Parameters'!N17</f>
        <v>2.3E-2</v>
      </c>
      <c r="O17" s="92">
        <f>'Tab 9_Parameters'!O17</f>
        <v>2.8000000000000001E-2</v>
      </c>
      <c r="P17" s="92">
        <f>'Tab 9_Parameters'!P17</f>
        <v>0.01</v>
      </c>
      <c r="Q17" s="92">
        <f>'Tab 9_Parameters'!Q17</f>
        <v>8.0000000000000002E-3</v>
      </c>
      <c r="R17" s="92">
        <f>'Tab 9_Parameters'!R17</f>
        <v>2E-3</v>
      </c>
      <c r="S17" s="92">
        <f>'Tab 9_Parameters'!S17</f>
        <v>1.4E-2</v>
      </c>
      <c r="T17" s="92">
        <f>'Tab 9_Parameters'!T17</f>
        <v>2.1000000000000001E-2</v>
      </c>
      <c r="U17" s="92">
        <f>'Tab 9_Parameters'!U17</f>
        <v>2.8000000000000001E-2</v>
      </c>
      <c r="V17" s="92">
        <f>'Tab 9_Parameters'!V17</f>
        <v>1.2E-2</v>
      </c>
      <c r="X17" s="83"/>
    </row>
    <row r="19" spans="2:24">
      <c r="B19" s="1" t="s">
        <v>70</v>
      </c>
    </row>
    <row r="20" spans="2:24">
      <c r="B20" s="2" t="s">
        <v>71</v>
      </c>
      <c r="F20" s="2" t="s">
        <v>63</v>
      </c>
      <c r="L20" s="104">
        <f>'Tab 9_Parameters'!L26</f>
        <v>2.5000000000000001E-2</v>
      </c>
      <c r="M20" s="104">
        <f>'Tab 9_Parameters'!M26</f>
        <v>2.8500000000000001E-2</v>
      </c>
      <c r="N20" s="104">
        <f>'Tab 9_Parameters'!N26</f>
        <v>0.03</v>
      </c>
      <c r="O20" s="104">
        <f>'Tab 9_Parameters'!O26</f>
        <v>0.03</v>
      </c>
      <c r="P20" s="104">
        <f>'Tab 9_Parameters'!P26</f>
        <v>0.04</v>
      </c>
      <c r="Q20" s="104">
        <f>'Tab 9_Parameters'!Q26</f>
        <v>0.04</v>
      </c>
      <c r="R20" s="104">
        <f>'Tab 9_Parameters'!R26</f>
        <v>0.04</v>
      </c>
      <c r="S20" s="104">
        <f>'Tab 9_Parameters'!S26</f>
        <v>0.04</v>
      </c>
      <c r="T20" s="104">
        <f>'Tab 9_Parameters'!T26</f>
        <v>0.04</v>
      </c>
      <c r="U20" s="104">
        <f>'Tab 9_Parameters'!U26</f>
        <v>0.04</v>
      </c>
      <c r="X20" s="5"/>
    </row>
    <row r="21" spans="2:24">
      <c r="B21" s="2" t="s">
        <v>72</v>
      </c>
      <c r="F21" s="2" t="s">
        <v>63</v>
      </c>
      <c r="L21" s="104">
        <f>'Tab 9_Parameters'!L27</f>
        <v>2.5000000000000001E-2</v>
      </c>
      <c r="M21" s="104">
        <f>'Tab 9_Parameters'!M27</f>
        <v>2.3E-2</v>
      </c>
      <c r="N21" s="104">
        <f>'Tab 9_Parameters'!N27</f>
        <v>0.03</v>
      </c>
      <c r="O21" s="104">
        <f>'Tab 9_Parameters'!O27</f>
        <v>0.04</v>
      </c>
      <c r="P21" s="104">
        <f>'Tab 9_Parameters'!P27</f>
        <v>0.04</v>
      </c>
      <c r="Q21" s="104">
        <f>'Tab 9_Parameters'!Q27</f>
        <v>0.04</v>
      </c>
      <c r="R21" s="104">
        <f>'Tab 9_Parameters'!R27</f>
        <v>0.04</v>
      </c>
      <c r="S21" s="104">
        <f>'Tab 9_Parameters'!S27</f>
        <v>0.04</v>
      </c>
      <c r="T21" s="104">
        <f>'Tab 9_Parameters'!T27</f>
        <v>0.04</v>
      </c>
      <c r="U21" s="104">
        <f>'Tab 9_Parameters'!U27</f>
        <v>0.04</v>
      </c>
    </row>
    <row r="22" spans="2:24">
      <c r="B22" s="2" t="s">
        <v>73</v>
      </c>
      <c r="F22" s="2" t="s">
        <v>63</v>
      </c>
      <c r="L22" s="104">
        <f>'Tab 9_Parameters'!L28</f>
        <v>2.75E-2</v>
      </c>
      <c r="M22" s="104">
        <f>'Tab 9_Parameters'!M28</f>
        <v>2.5000000000000001E-2</v>
      </c>
      <c r="N22" s="104">
        <f>'Tab 9_Parameters'!N28</f>
        <v>0.03</v>
      </c>
      <c r="O22" s="104">
        <f>'Tab 9_Parameters'!O28</f>
        <v>0.04</v>
      </c>
      <c r="P22" s="104">
        <f>'Tab 9_Parameters'!P28</f>
        <v>0.04</v>
      </c>
      <c r="Q22" s="104">
        <f>'Tab 9_Parameters'!Q28</f>
        <v>0.04</v>
      </c>
      <c r="R22" s="104">
        <f>'Tab 9_Parameters'!R28</f>
        <v>0.04</v>
      </c>
      <c r="S22" s="104">
        <f>'Tab 9_Parameters'!S28</f>
        <v>0.04</v>
      </c>
      <c r="T22" s="104">
        <f>'Tab 9_Parameters'!T28</f>
        <v>0.04</v>
      </c>
    </row>
    <row r="23" spans="2:24">
      <c r="B23" s="2" t="s">
        <v>74</v>
      </c>
      <c r="F23" s="2" t="s">
        <v>63</v>
      </c>
      <c r="L23" s="104">
        <f>'Tab 9_Parameters'!L29</f>
        <v>0.03</v>
      </c>
      <c r="M23" s="104">
        <f>'Tab 9_Parameters'!M29</f>
        <v>2.2499999999999999E-2</v>
      </c>
      <c r="N23" s="104">
        <f>'Tab 9_Parameters'!N29</f>
        <v>0.03</v>
      </c>
      <c r="O23" s="104">
        <f>'Tab 9_Parameters'!O29</f>
        <v>0.04</v>
      </c>
      <c r="P23" s="104">
        <f>'Tab 9_Parameters'!P29</f>
        <v>0.04</v>
      </c>
      <c r="Q23" s="104">
        <f>'Tab 9_Parameters'!Q29</f>
        <v>0.04</v>
      </c>
      <c r="R23" s="104">
        <f>'Tab 9_Parameters'!R29</f>
        <v>0.04</v>
      </c>
      <c r="S23" s="104">
        <f>'Tab 9_Parameters'!S29</f>
        <v>0.04</v>
      </c>
      <c r="T23" s="104">
        <f>'Tab 9_Parameters'!T29</f>
        <v>0.04</v>
      </c>
    </row>
    <row r="25" spans="2:24">
      <c r="B25" s="1" t="s">
        <v>75</v>
      </c>
    </row>
    <row r="26" spans="2:24">
      <c r="B26" s="39" t="s">
        <v>195</v>
      </c>
      <c r="F26" s="2" t="s">
        <v>63</v>
      </c>
      <c r="H26" s="92">
        <f>'Tab 9_Parameters'!H43</f>
        <v>1.0999999999999999E-2</v>
      </c>
      <c r="P26" s="91"/>
      <c r="Q26" s="91"/>
      <c r="R26" s="8"/>
      <c r="S26" s="91"/>
      <c r="T26" s="91"/>
      <c r="U26" s="91"/>
      <c r="V26" s="91"/>
      <c r="X26" s="26"/>
    </row>
    <row r="27" spans="2:24">
      <c r="B27" s="39" t="s">
        <v>196</v>
      </c>
      <c r="F27" s="82" t="s">
        <v>63</v>
      </c>
      <c r="H27" s="92">
        <f>'Tab 9_Parameters'!H44</f>
        <v>0</v>
      </c>
      <c r="X27" s="26"/>
    </row>
    <row r="28" spans="2:24" s="82" customFormat="1">
      <c r="B28" s="39"/>
      <c r="X28" s="26"/>
    </row>
    <row r="29" spans="2:24" s="7" customFormat="1">
      <c r="B29" s="7" t="s">
        <v>86</v>
      </c>
    </row>
    <row r="31" spans="2:24">
      <c r="B31" s="1" t="s">
        <v>87</v>
      </c>
    </row>
    <row r="32" spans="2:24">
      <c r="B32" s="2" t="s">
        <v>191</v>
      </c>
      <c r="L32" s="75">
        <f t="shared" ref="L32:S32" si="0">L11</f>
        <v>2011</v>
      </c>
      <c r="M32" s="75">
        <f t="shared" si="0"/>
        <v>2012</v>
      </c>
      <c r="N32" s="75">
        <f t="shared" si="0"/>
        <v>2013</v>
      </c>
      <c r="O32" s="75">
        <f t="shared" si="0"/>
        <v>2014</v>
      </c>
      <c r="P32" s="75">
        <f t="shared" si="0"/>
        <v>2015</v>
      </c>
      <c r="Q32" s="75">
        <f t="shared" si="0"/>
        <v>2016</v>
      </c>
      <c r="R32" s="75">
        <f t="shared" si="0"/>
        <v>2017</v>
      </c>
      <c r="S32" s="75">
        <f t="shared" si="0"/>
        <v>2018</v>
      </c>
      <c r="T32" s="32">
        <v>2019</v>
      </c>
      <c r="U32" s="32">
        <v>2020</v>
      </c>
    </row>
    <row r="34" spans="2:21">
      <c r="B34" s="2" t="s">
        <v>88</v>
      </c>
      <c r="F34" s="2" t="s">
        <v>63</v>
      </c>
      <c r="L34" s="92">
        <f>$L$17</f>
        <v>1.4999999999999999E-2</v>
      </c>
      <c r="M34" s="60">
        <f>(1+L34)*(1+M$17)-1</f>
        <v>4.1389999999999816E-2</v>
      </c>
      <c r="N34" s="60">
        <f t="shared" ref="N34:S34" si="1">(1+M34)*(1+N17)-1</f>
        <v>6.5341969999999749E-2</v>
      </c>
      <c r="O34" s="60">
        <f t="shared" si="1"/>
        <v>9.5171545159999704E-2</v>
      </c>
      <c r="P34" s="60">
        <f t="shared" si="1"/>
        <v>0.1061232606115996</v>
      </c>
      <c r="Q34" s="60">
        <f t="shared" si="1"/>
        <v>0.11497224669649242</v>
      </c>
      <c r="R34" s="60">
        <f t="shared" si="1"/>
        <v>0.11720219118988551</v>
      </c>
      <c r="S34" s="60">
        <f t="shared" si="1"/>
        <v>0.13284302186654395</v>
      </c>
      <c r="T34" s="60">
        <f t="shared" ref="T34:U42" si="2">(1+S34)*(1+T$17)-1</f>
        <v>0.15663272532574135</v>
      </c>
      <c r="U34" s="60">
        <f t="shared" si="2"/>
        <v>0.18901844163486214</v>
      </c>
    </row>
    <row r="35" spans="2:21">
      <c r="B35" s="2" t="s">
        <v>89</v>
      </c>
      <c r="F35" s="2" t="s">
        <v>63</v>
      </c>
      <c r="L35" s="14"/>
      <c r="M35" s="92">
        <f>$M$17</f>
        <v>2.5999999999999999E-2</v>
      </c>
      <c r="N35" s="60">
        <f>(1+M35)*(1+N$17)-1</f>
        <v>4.9598000000000031E-2</v>
      </c>
      <c r="O35" s="60">
        <f t="shared" ref="O35:S38" si="3">(1+N35)*(1+O$17)-1</f>
        <v>7.8986744000000053E-2</v>
      </c>
      <c r="P35" s="60">
        <f t="shared" si="3"/>
        <v>8.9776611440000043E-2</v>
      </c>
      <c r="Q35" s="60">
        <f t="shared" si="3"/>
        <v>9.8494824331520014E-2</v>
      </c>
      <c r="R35" s="60">
        <f t="shared" si="3"/>
        <v>0.10069181398018312</v>
      </c>
      <c r="S35" s="60">
        <f t="shared" si="3"/>
        <v>0.11610149937590575</v>
      </c>
      <c r="T35" s="60">
        <f t="shared" si="2"/>
        <v>0.13953963086279964</v>
      </c>
      <c r="U35" s="60">
        <f t="shared" si="2"/>
        <v>0.17144674052695796</v>
      </c>
    </row>
    <row r="36" spans="2:21">
      <c r="B36" s="2" t="s">
        <v>90</v>
      </c>
      <c r="F36" s="2" t="s">
        <v>63</v>
      </c>
      <c r="L36" s="14"/>
      <c r="M36" s="14"/>
      <c r="N36" s="92">
        <f>$N$17</f>
        <v>2.3E-2</v>
      </c>
      <c r="O36" s="60">
        <f>(1+N36)*(1+O$17)-1</f>
        <v>5.1644000000000023E-2</v>
      </c>
      <c r="P36" s="60">
        <f t="shared" si="3"/>
        <v>6.2160439999999983E-2</v>
      </c>
      <c r="Q36" s="60">
        <f t="shared" si="3"/>
        <v>7.0657723519999882E-2</v>
      </c>
      <c r="R36" s="60">
        <f t="shared" si="3"/>
        <v>7.2799038967039875E-2</v>
      </c>
      <c r="S36" s="60">
        <f t="shared" si="3"/>
        <v>8.7818225512578341E-2</v>
      </c>
      <c r="T36" s="60">
        <f t="shared" si="2"/>
        <v>0.11066240824834228</v>
      </c>
      <c r="U36" s="60">
        <f t="shared" si="2"/>
        <v>0.14176095567929581</v>
      </c>
    </row>
    <row r="37" spans="2:21">
      <c r="B37" s="2" t="s">
        <v>91</v>
      </c>
      <c r="F37" s="2" t="s">
        <v>63</v>
      </c>
      <c r="L37" s="14"/>
      <c r="M37" s="14"/>
      <c r="N37" s="14"/>
      <c r="O37" s="92">
        <f>$O$17</f>
        <v>2.8000000000000001E-2</v>
      </c>
      <c r="P37" s="60">
        <f>(1+O37)*(1+P$17)-1</f>
        <v>3.8280000000000092E-2</v>
      </c>
      <c r="Q37" s="60">
        <f t="shared" si="3"/>
        <v>4.6586240000000112E-2</v>
      </c>
      <c r="R37" s="60">
        <f t="shared" si="3"/>
        <v>4.8679412480000073E-2</v>
      </c>
      <c r="S37" s="60">
        <f t="shared" si="3"/>
        <v>6.3360924254720175E-2</v>
      </c>
      <c r="T37" s="60">
        <f t="shared" si="2"/>
        <v>8.5691503664069302E-2</v>
      </c>
      <c r="U37" s="60">
        <f t="shared" si="2"/>
        <v>0.11609086576666328</v>
      </c>
    </row>
    <row r="38" spans="2:21">
      <c r="B38" s="2" t="s">
        <v>92</v>
      </c>
      <c r="F38" s="2" t="s">
        <v>63</v>
      </c>
      <c r="L38" s="14"/>
      <c r="M38" s="14"/>
      <c r="N38" s="14"/>
      <c r="O38" s="14"/>
      <c r="P38" s="92">
        <f>$P$17</f>
        <v>0.01</v>
      </c>
      <c r="Q38" s="60">
        <f>(1+P38)*(1+Q$17)-1</f>
        <v>1.8080000000000096E-2</v>
      </c>
      <c r="R38" s="60">
        <f t="shared" si="3"/>
        <v>2.0116160000000161E-2</v>
      </c>
      <c r="S38" s="60">
        <f t="shared" si="3"/>
        <v>3.4397786240000228E-2</v>
      </c>
      <c r="T38" s="60">
        <f t="shared" si="2"/>
        <v>5.6120139751040243E-2</v>
      </c>
      <c r="U38" s="60">
        <f t="shared" si="2"/>
        <v>8.5691503664069302E-2</v>
      </c>
    </row>
    <row r="39" spans="2:21">
      <c r="B39" s="2" t="s">
        <v>93</v>
      </c>
      <c r="F39" s="2" t="s">
        <v>63</v>
      </c>
      <c r="L39" s="14"/>
      <c r="M39" s="14"/>
      <c r="N39" s="14"/>
      <c r="O39" s="14"/>
      <c r="P39" s="14"/>
      <c r="Q39" s="92">
        <f>$Q$17</f>
        <v>8.0000000000000002E-3</v>
      </c>
      <c r="R39" s="60">
        <f>(1+Q39)*(1+R$17)-1</f>
        <v>1.0016000000000025E-2</v>
      </c>
      <c r="S39" s="60">
        <f>(1+R39)*(1+S$17)-1</f>
        <v>2.4156223999999948E-2</v>
      </c>
      <c r="T39" s="60">
        <f t="shared" si="2"/>
        <v>4.5663504703999935E-2</v>
      </c>
      <c r="U39" s="60">
        <f t="shared" si="2"/>
        <v>7.494208283571191E-2</v>
      </c>
    </row>
    <row r="40" spans="2:21">
      <c r="B40" s="2" t="s">
        <v>94</v>
      </c>
      <c r="F40" s="2" t="s">
        <v>63</v>
      </c>
      <c r="L40" s="14"/>
      <c r="M40" s="14"/>
      <c r="N40" s="14"/>
      <c r="O40" s="14"/>
      <c r="P40" s="14"/>
      <c r="Q40" s="14"/>
      <c r="R40" s="92">
        <f>$R$17</f>
        <v>2E-3</v>
      </c>
      <c r="S40" s="60">
        <f>(1+R40)*(1+S$17)-1</f>
        <v>1.6027999999999931E-2</v>
      </c>
      <c r="T40" s="60">
        <f>(1+S40)*(1+T$17)-1</f>
        <v>3.7364587999999754E-2</v>
      </c>
      <c r="U40" s="60">
        <f t="shared" si="2"/>
        <v>6.6410796463999722E-2</v>
      </c>
    </row>
    <row r="41" spans="2:21">
      <c r="B41" s="2" t="s">
        <v>95</v>
      </c>
      <c r="F41" s="2" t="s">
        <v>63</v>
      </c>
      <c r="L41" s="14"/>
      <c r="M41" s="14"/>
      <c r="N41" s="14"/>
      <c r="O41" s="14"/>
      <c r="P41" s="14"/>
      <c r="Q41" s="14"/>
      <c r="R41" s="14"/>
      <c r="S41" s="92">
        <f>$S$17</f>
        <v>1.4E-2</v>
      </c>
      <c r="T41" s="60">
        <f>(1+S41)*(1+T$17)-1</f>
        <v>3.5293999999999937E-2</v>
      </c>
      <c r="U41" s="60">
        <f t="shared" si="2"/>
        <v>6.428223200000005E-2</v>
      </c>
    </row>
    <row r="42" spans="2:21">
      <c r="B42" s="2" t="s">
        <v>143</v>
      </c>
      <c r="F42" s="2" t="s">
        <v>63</v>
      </c>
      <c r="L42" s="14"/>
      <c r="M42" s="14"/>
      <c r="N42" s="14"/>
      <c r="O42" s="14"/>
      <c r="P42" s="14"/>
      <c r="Q42" s="14"/>
      <c r="R42" s="14"/>
      <c r="S42" s="14"/>
      <c r="T42" s="92">
        <f>T17</f>
        <v>2.1000000000000001E-2</v>
      </c>
      <c r="U42" s="60">
        <f t="shared" si="2"/>
        <v>4.9587999999999965E-2</v>
      </c>
    </row>
    <row r="43" spans="2:21" s="214" customFormat="1">
      <c r="B43" s="214" t="s">
        <v>433</v>
      </c>
      <c r="F43" s="220" t="s">
        <v>63</v>
      </c>
      <c r="L43" s="14"/>
      <c r="M43" s="14"/>
      <c r="N43" s="14"/>
      <c r="O43" s="14"/>
      <c r="P43" s="14"/>
      <c r="Q43" s="14"/>
      <c r="R43" s="14"/>
      <c r="S43" s="14"/>
      <c r="T43" s="14"/>
      <c r="U43" s="92">
        <f>U17</f>
        <v>2.8000000000000001E-2</v>
      </c>
    </row>
    <row r="45" spans="2:21" s="7" customFormat="1">
      <c r="B45" s="7" t="s">
        <v>96</v>
      </c>
    </row>
    <row r="47" spans="2:21">
      <c r="B47" s="1" t="s">
        <v>97</v>
      </c>
    </row>
    <row r="48" spans="2:21">
      <c r="B48" s="2" t="s">
        <v>98</v>
      </c>
      <c r="M48" s="44">
        <f t="shared" ref="M48:T48" si="4">M11</f>
        <v>2012</v>
      </c>
      <c r="N48" s="44">
        <f t="shared" si="4"/>
        <v>2013</v>
      </c>
      <c r="O48" s="44">
        <f t="shared" si="4"/>
        <v>2014</v>
      </c>
      <c r="P48" s="44">
        <f t="shared" si="4"/>
        <v>2015</v>
      </c>
      <c r="Q48" s="44">
        <f t="shared" si="4"/>
        <v>2016</v>
      </c>
      <c r="R48" s="44">
        <f t="shared" si="4"/>
        <v>2017</v>
      </c>
      <c r="S48" s="44">
        <f t="shared" si="4"/>
        <v>2018</v>
      </c>
      <c r="T48" s="44">
        <f t="shared" si="4"/>
        <v>2019</v>
      </c>
      <c r="U48" s="44">
        <v>2020</v>
      </c>
    </row>
    <row r="49" spans="2:24">
      <c r="B49" s="2" t="s">
        <v>99</v>
      </c>
      <c r="F49" s="2" t="s">
        <v>63</v>
      </c>
      <c r="M49" s="146">
        <f t="shared" ref="M49:U49" si="5">((1+L22)*(1+L23)*(1+M20)*(1+M21))^(1/4)-1</f>
        <v>2.7246679826694153E-2</v>
      </c>
      <c r="N49" s="146">
        <f t="shared" si="5"/>
        <v>2.6869862241643006E-2</v>
      </c>
      <c r="O49" s="146">
        <f t="shared" si="5"/>
        <v>3.2490949264880609E-2</v>
      </c>
      <c r="P49" s="146">
        <f t="shared" si="5"/>
        <v>4.0000000000000036E-2</v>
      </c>
      <c r="Q49" s="146">
        <f t="shared" si="5"/>
        <v>4.0000000000000036E-2</v>
      </c>
      <c r="R49" s="146">
        <f t="shared" si="5"/>
        <v>4.0000000000000036E-2</v>
      </c>
      <c r="S49" s="146">
        <f t="shared" si="5"/>
        <v>4.0000000000000036E-2</v>
      </c>
      <c r="T49" s="146">
        <f t="shared" si="5"/>
        <v>4.0000000000000036E-2</v>
      </c>
      <c r="U49" s="146">
        <f t="shared" si="5"/>
        <v>4.0000000000000036E-2</v>
      </c>
      <c r="X49" s="83"/>
    </row>
    <row r="50" spans="2:24">
      <c r="X50" s="26"/>
    </row>
    <row r="51" spans="2:24">
      <c r="B51" s="1" t="s">
        <v>87</v>
      </c>
    </row>
    <row r="52" spans="2:24">
      <c r="B52" s="2" t="s">
        <v>89</v>
      </c>
      <c r="F52" s="2" t="s">
        <v>63</v>
      </c>
      <c r="M52" s="104">
        <f>M49</f>
        <v>2.7246679826694153E-2</v>
      </c>
      <c r="N52" s="146">
        <f>(1+M52)*(1+N$49)-1</f>
        <v>5.4848656601822476E-2</v>
      </c>
      <c r="O52" s="146">
        <f t="shared" ref="O52:U59" si="6">(1+N52)*(1+O$49)-1</f>
        <v>8.9121690785599839E-2</v>
      </c>
      <c r="P52" s="146">
        <f t="shared" si="6"/>
        <v>0.13268655841702381</v>
      </c>
      <c r="Q52" s="146">
        <f t="shared" si="6"/>
        <v>0.17799402075370474</v>
      </c>
      <c r="R52" s="146">
        <f t="shared" si="6"/>
        <v>0.22511378158385287</v>
      </c>
      <c r="S52" s="146">
        <f t="shared" si="6"/>
        <v>0.27411833284720699</v>
      </c>
      <c r="T52" s="146">
        <f t="shared" si="6"/>
        <v>0.32508306616109528</v>
      </c>
      <c r="U52" s="146">
        <f t="shared" si="6"/>
        <v>0.3780863888075392</v>
      </c>
    </row>
    <row r="53" spans="2:24">
      <c r="B53" s="2" t="s">
        <v>90</v>
      </c>
      <c r="F53" s="2" t="s">
        <v>63</v>
      </c>
      <c r="M53" s="147"/>
      <c r="N53" s="104">
        <f>N49</f>
        <v>2.6869862241643006E-2</v>
      </c>
      <c r="O53" s="146">
        <f>(1+N53)*(1+O$49)-1</f>
        <v>6.0233838837371101E-2</v>
      </c>
      <c r="P53" s="146">
        <f t="shared" si="6"/>
        <v>0.10264319239086594</v>
      </c>
      <c r="Q53" s="146">
        <f t="shared" si="6"/>
        <v>0.14674892008650064</v>
      </c>
      <c r="R53" s="146">
        <f t="shared" si="6"/>
        <v>0.19261887688996082</v>
      </c>
      <c r="S53" s="146">
        <f t="shared" si="6"/>
        <v>0.24032363196555928</v>
      </c>
      <c r="T53" s="146">
        <f t="shared" si="6"/>
        <v>0.28993657724418176</v>
      </c>
      <c r="U53" s="146">
        <f t="shared" si="6"/>
        <v>0.34153404033394907</v>
      </c>
    </row>
    <row r="54" spans="2:24">
      <c r="B54" s="2" t="s">
        <v>91</v>
      </c>
      <c r="F54" s="2" t="s">
        <v>63</v>
      </c>
      <c r="M54" s="147"/>
      <c r="N54" s="147"/>
      <c r="O54" s="104">
        <f>O49</f>
        <v>3.2490949264880609E-2</v>
      </c>
      <c r="P54" s="146">
        <f>(1+O54)*(1+P$49)-1</f>
        <v>7.3790587235475824E-2</v>
      </c>
      <c r="Q54" s="146">
        <f t="shared" si="6"/>
        <v>0.11674221072489499</v>
      </c>
      <c r="R54" s="146">
        <f t="shared" si="6"/>
        <v>0.16141189915389087</v>
      </c>
      <c r="S54" s="146">
        <f t="shared" si="6"/>
        <v>0.20786837512004652</v>
      </c>
      <c r="T54" s="146">
        <f t="shared" si="6"/>
        <v>0.2561831101248484</v>
      </c>
      <c r="U54" s="146">
        <f t="shared" si="6"/>
        <v>0.30643043452984231</v>
      </c>
    </row>
    <row r="55" spans="2:24">
      <c r="B55" s="2" t="s">
        <v>92</v>
      </c>
      <c r="F55" s="2" t="s">
        <v>63</v>
      </c>
      <c r="M55" s="147"/>
      <c r="N55" s="147"/>
      <c r="O55" s="147"/>
      <c r="P55" s="104">
        <f>P49</f>
        <v>4.0000000000000036E-2</v>
      </c>
      <c r="Q55" s="146">
        <f>(1+P55)*(1+Q$49)-1</f>
        <v>8.1600000000000117E-2</v>
      </c>
      <c r="R55" s="146">
        <f t="shared" si="6"/>
        <v>0.12486400000000009</v>
      </c>
      <c r="S55" s="146">
        <f t="shared" si="6"/>
        <v>0.16985856000000021</v>
      </c>
      <c r="T55" s="146">
        <f t="shared" si="6"/>
        <v>0.21665290240000035</v>
      </c>
      <c r="U55" s="146">
        <f t="shared" si="6"/>
        <v>0.26531901849600037</v>
      </c>
    </row>
    <row r="56" spans="2:24">
      <c r="B56" s="2" t="s">
        <v>93</v>
      </c>
      <c r="F56" s="2" t="s">
        <v>63</v>
      </c>
      <c r="M56" s="147"/>
      <c r="N56" s="147"/>
      <c r="O56" s="147"/>
      <c r="P56" s="147"/>
      <c r="Q56" s="104">
        <f>Q49</f>
        <v>4.0000000000000036E-2</v>
      </c>
      <c r="R56" s="146">
        <f>(1+Q56)*(1+R$49)-1</f>
        <v>8.1600000000000117E-2</v>
      </c>
      <c r="S56" s="146">
        <f t="shared" si="6"/>
        <v>0.12486400000000009</v>
      </c>
      <c r="T56" s="146">
        <f t="shared" si="6"/>
        <v>0.16985856000000021</v>
      </c>
      <c r="U56" s="146">
        <f t="shared" si="6"/>
        <v>0.21665290240000035</v>
      </c>
    </row>
    <row r="57" spans="2:24">
      <c r="B57" s="2" t="s">
        <v>94</v>
      </c>
      <c r="F57" s="2" t="s">
        <v>63</v>
      </c>
      <c r="M57" s="147"/>
      <c r="N57" s="147"/>
      <c r="O57" s="147"/>
      <c r="P57" s="147"/>
      <c r="Q57" s="147"/>
      <c r="R57" s="104">
        <f>R49</f>
        <v>4.0000000000000036E-2</v>
      </c>
      <c r="S57" s="146">
        <f>(1+R57)*(1+S$49)-1</f>
        <v>8.1600000000000117E-2</v>
      </c>
      <c r="T57" s="146">
        <f>(1+S57)*(1+T$49)-1</f>
        <v>0.12486400000000009</v>
      </c>
      <c r="U57" s="146">
        <f t="shared" si="6"/>
        <v>0.16985856000000021</v>
      </c>
    </row>
    <row r="58" spans="2:24">
      <c r="B58" s="2" t="s">
        <v>95</v>
      </c>
      <c r="F58" s="2" t="s">
        <v>63</v>
      </c>
      <c r="M58" s="147"/>
      <c r="N58" s="147"/>
      <c r="O58" s="147"/>
      <c r="P58" s="147"/>
      <c r="Q58" s="147"/>
      <c r="R58" s="147"/>
      <c r="S58" s="104">
        <f>S49</f>
        <v>4.0000000000000036E-2</v>
      </c>
      <c r="T58" s="146">
        <f>(1+S58)*(1+T$49)-1</f>
        <v>8.1600000000000117E-2</v>
      </c>
      <c r="U58" s="146">
        <f t="shared" si="6"/>
        <v>0.12486400000000009</v>
      </c>
    </row>
    <row r="59" spans="2:24">
      <c r="B59" s="2" t="s">
        <v>143</v>
      </c>
      <c r="F59" s="2" t="s">
        <v>63</v>
      </c>
      <c r="M59" s="147"/>
      <c r="N59" s="147"/>
      <c r="O59" s="147"/>
      <c r="P59" s="147"/>
      <c r="Q59" s="147"/>
      <c r="R59" s="147"/>
      <c r="S59" s="147"/>
      <c r="T59" s="104">
        <f>T49</f>
        <v>4.0000000000000036E-2</v>
      </c>
      <c r="U59" s="146">
        <f t="shared" si="6"/>
        <v>8.1600000000000117E-2</v>
      </c>
    </row>
    <row r="60" spans="2:24">
      <c r="B60" s="214" t="s">
        <v>433</v>
      </c>
      <c r="F60" s="220" t="s">
        <v>63</v>
      </c>
      <c r="M60" s="147"/>
      <c r="N60" s="147"/>
      <c r="O60" s="147"/>
      <c r="P60" s="147"/>
      <c r="Q60" s="147"/>
      <c r="R60" s="147"/>
      <c r="S60" s="147"/>
      <c r="T60" s="147"/>
      <c r="U60" s="104">
        <f>U49</f>
        <v>4.0000000000000036E-2</v>
      </c>
    </row>
    <row r="61" spans="2:24" s="214" customFormat="1"/>
    <row r="62" spans="2:24" s="196" customFormat="1">
      <c r="B62" s="196" t="s">
        <v>434</v>
      </c>
      <c r="F62" s="196" t="s">
        <v>63</v>
      </c>
      <c r="H62" s="146">
        <f>(1+T20)^(1/4)*(1+T21)^(1/4)*(1+T22)^(1/4)*(1+T23)^(1/4)*(1+U20)^(1/4)*(1+U21)^(1/4)-1</f>
        <v>6.0596058827298904E-2</v>
      </c>
    </row>
    <row r="63" spans="2:24" s="196" customFormat="1"/>
    <row r="64" spans="2:24" s="7" customFormat="1">
      <c r="B64" s="7" t="s">
        <v>100</v>
      </c>
    </row>
    <row r="66" spans="2:24">
      <c r="B66" s="1" t="s">
        <v>101</v>
      </c>
    </row>
    <row r="67" spans="2:24">
      <c r="B67" s="2" t="s">
        <v>102</v>
      </c>
      <c r="O67" s="44">
        <f t="shared" ref="O67:V67" si="7">O11</f>
        <v>2014</v>
      </c>
      <c r="P67" s="44">
        <f t="shared" si="7"/>
        <v>2015</v>
      </c>
      <c r="Q67" s="44">
        <f t="shared" si="7"/>
        <v>2016</v>
      </c>
      <c r="R67" s="44">
        <f t="shared" si="7"/>
        <v>2017</v>
      </c>
      <c r="S67" s="44">
        <f t="shared" si="7"/>
        <v>2018</v>
      </c>
      <c r="T67" s="44">
        <f t="shared" si="7"/>
        <v>2019</v>
      </c>
      <c r="U67" s="44">
        <f t="shared" si="7"/>
        <v>2020</v>
      </c>
      <c r="V67" s="44">
        <f t="shared" si="7"/>
        <v>2021</v>
      </c>
    </row>
    <row r="69" spans="2:24">
      <c r="B69" s="2" t="s">
        <v>144</v>
      </c>
      <c r="F69" s="2" t="s">
        <v>63</v>
      </c>
      <c r="O69" s="92">
        <f>H$26</f>
        <v>1.0999999999999999E-2</v>
      </c>
      <c r="P69" s="60">
        <f>(1+O69)*(1+H$26)-1</f>
        <v>2.2120999999999835E-2</v>
      </c>
      <c r="Q69" s="60">
        <f>(1+P69)*(1+H$26)-1</f>
        <v>3.3364330999999803E-2</v>
      </c>
      <c r="R69" s="60">
        <f>(1+Q69)*(1+H$27)-1</f>
        <v>3.3364330999999803E-2</v>
      </c>
      <c r="S69" s="60">
        <f>(1+R69)*(1+H$27)-1</f>
        <v>3.3364330999999803E-2</v>
      </c>
      <c r="T69" s="60">
        <f>(1+S69)*(1+H$27)-1</f>
        <v>3.3364330999999803E-2</v>
      </c>
      <c r="U69" s="60">
        <f>(1+T69)*(1+H$27)-1</f>
        <v>3.3364330999999803E-2</v>
      </c>
      <c r="V69" s="60">
        <f>(1+U69)*(1+H$27)-1</f>
        <v>3.3364330999999803E-2</v>
      </c>
      <c r="X69" s="5"/>
    </row>
    <row r="70" spans="2:24">
      <c r="B70" s="2" t="s">
        <v>103</v>
      </c>
      <c r="F70" s="2" t="s">
        <v>63</v>
      </c>
      <c r="O70" s="14"/>
      <c r="P70" s="92">
        <f>H$26</f>
        <v>1.0999999999999999E-2</v>
      </c>
      <c r="Q70" s="60">
        <f>(1+P70)*(1+H$26)-1</f>
        <v>2.2120999999999835E-2</v>
      </c>
      <c r="R70" s="60">
        <f t="shared" ref="R70:R71" si="8">(1+Q70)*(1+H$27)-1</f>
        <v>2.2120999999999835E-2</v>
      </c>
      <c r="S70" s="60">
        <f t="shared" ref="S70:S72" si="9">(1+R70)*(1+H$27)-1</f>
        <v>2.2120999999999835E-2</v>
      </c>
      <c r="T70" s="60">
        <f t="shared" ref="T70:T73" si="10">(1+S70)*(1+H$27)-1</f>
        <v>2.2120999999999835E-2</v>
      </c>
      <c r="U70" s="60">
        <f t="shared" ref="U70:U74" si="11">(1+T70)*(1+H$27)-1</f>
        <v>2.2120999999999835E-2</v>
      </c>
      <c r="V70" s="60">
        <f t="shared" ref="V70:V75" si="12">(1+U70)*(1+H$27)-1</f>
        <v>2.2120999999999835E-2</v>
      </c>
      <c r="X70" s="5"/>
    </row>
    <row r="71" spans="2:24">
      <c r="B71" s="2" t="s">
        <v>104</v>
      </c>
      <c r="F71" s="2" t="s">
        <v>63</v>
      </c>
      <c r="O71" s="14"/>
      <c r="P71" s="14"/>
      <c r="Q71" s="92">
        <f>H$26</f>
        <v>1.0999999999999999E-2</v>
      </c>
      <c r="R71" s="89">
        <f t="shared" si="8"/>
        <v>1.0999999999999899E-2</v>
      </c>
      <c r="S71" s="89">
        <f t="shared" si="9"/>
        <v>1.0999999999999899E-2</v>
      </c>
      <c r="T71" s="89">
        <f t="shared" si="10"/>
        <v>1.0999999999999899E-2</v>
      </c>
      <c r="U71" s="89">
        <f t="shared" si="11"/>
        <v>1.0999999999999899E-2</v>
      </c>
      <c r="V71" s="89">
        <f t="shared" si="12"/>
        <v>1.0999999999999899E-2</v>
      </c>
    </row>
    <row r="72" spans="2:24">
      <c r="B72" s="2" t="s">
        <v>105</v>
      </c>
      <c r="F72" s="2" t="s">
        <v>63</v>
      </c>
      <c r="O72" s="14"/>
      <c r="P72" s="14"/>
      <c r="Q72" s="14"/>
      <c r="R72" s="92">
        <f>H$27</f>
        <v>0</v>
      </c>
      <c r="S72" s="89">
        <f t="shared" si="9"/>
        <v>0</v>
      </c>
      <c r="T72" s="89">
        <f t="shared" si="10"/>
        <v>0</v>
      </c>
      <c r="U72" s="89">
        <f t="shared" si="11"/>
        <v>0</v>
      </c>
      <c r="V72" s="89">
        <f t="shared" si="12"/>
        <v>0</v>
      </c>
    </row>
    <row r="73" spans="2:24">
      <c r="B73" s="2" t="s">
        <v>106</v>
      </c>
      <c r="F73" s="2" t="s">
        <v>63</v>
      </c>
      <c r="O73" s="14"/>
      <c r="P73" s="14"/>
      <c r="Q73" s="14"/>
      <c r="R73" s="14"/>
      <c r="S73" s="92">
        <f>H$27</f>
        <v>0</v>
      </c>
      <c r="T73" s="89">
        <f t="shared" si="10"/>
        <v>0</v>
      </c>
      <c r="U73" s="89">
        <f t="shared" si="11"/>
        <v>0</v>
      </c>
      <c r="V73" s="89">
        <f t="shared" si="12"/>
        <v>0</v>
      </c>
    </row>
    <row r="74" spans="2:24">
      <c r="B74" s="2" t="s">
        <v>107</v>
      </c>
      <c r="F74" s="2" t="s">
        <v>63</v>
      </c>
      <c r="O74" s="14"/>
      <c r="P74" s="14"/>
      <c r="Q74" s="14"/>
      <c r="R74" s="14"/>
      <c r="S74" s="14"/>
      <c r="T74" s="92">
        <f>H$27</f>
        <v>0</v>
      </c>
      <c r="U74" s="89">
        <f t="shared" si="11"/>
        <v>0</v>
      </c>
      <c r="V74" s="89">
        <f t="shared" si="12"/>
        <v>0</v>
      </c>
    </row>
    <row r="75" spans="2:24">
      <c r="B75" s="2" t="s">
        <v>108</v>
      </c>
      <c r="F75" s="2" t="s">
        <v>63</v>
      </c>
      <c r="O75" s="14"/>
      <c r="P75" s="14"/>
      <c r="Q75" s="14"/>
      <c r="R75" s="14"/>
      <c r="S75" s="14"/>
      <c r="T75" s="14"/>
      <c r="U75" s="92">
        <f>H$27</f>
        <v>0</v>
      </c>
      <c r="V75" s="89">
        <f t="shared" si="12"/>
        <v>0</v>
      </c>
    </row>
    <row r="76" spans="2:24">
      <c r="B76" s="2" t="s">
        <v>109</v>
      </c>
      <c r="F76" s="2" t="s">
        <v>63</v>
      </c>
      <c r="O76" s="14"/>
      <c r="P76" s="14"/>
      <c r="Q76" s="14"/>
      <c r="R76" s="14"/>
      <c r="S76" s="14"/>
      <c r="T76" s="14"/>
      <c r="U76" s="14"/>
      <c r="V76" s="92">
        <f>H$27</f>
        <v>0</v>
      </c>
    </row>
  </sheetData>
  <mergeCells count="1">
    <mergeCell ref="B4:E9"/>
  </mergeCells>
  <pageMargins left="0.7" right="0.7" top="0.75" bottom="0.75" header="0.3" footer="0.3"/>
  <pageSetup paperSize="8" scale="43" orientation="portrait" r:id="rId1"/>
  <colBreaks count="2" manualBreakCount="2">
    <brk id="7" max="70" man="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2:Z85"/>
  <sheetViews>
    <sheetView showGridLines="0" zoomScale="85" zoomScaleNormal="85" workbookViewId="0">
      <pane xSplit="6" ySplit="14" topLeftCell="G15" activePane="bottomRight" state="frozen"/>
      <selection pane="topRight"/>
      <selection pane="bottomLeft"/>
      <selection pane="bottomRight"/>
    </sheetView>
  </sheetViews>
  <sheetFormatPr defaultColWidth="9.140625" defaultRowHeight="12.75" outlineLevelCol="1"/>
  <cols>
    <col min="1" max="1" width="4" style="82" customWidth="1"/>
    <col min="2" max="2" width="68" style="82" customWidth="1"/>
    <col min="3" max="5" width="4.5703125" style="82" customWidth="1"/>
    <col min="6" max="6" width="16.7109375" style="82" customWidth="1"/>
    <col min="7" max="7" width="2.7109375" style="82" customWidth="1"/>
    <col min="8" max="8" width="13.7109375" style="82" customWidth="1"/>
    <col min="9" max="9" width="2.7109375" style="82" customWidth="1"/>
    <col min="10" max="10" width="13.7109375" style="82" customWidth="1"/>
    <col min="11" max="11" width="2.7109375" style="82" customWidth="1"/>
    <col min="12" max="16" width="13.7109375" style="82" hidden="1" customWidth="1" outlineLevel="1"/>
    <col min="17" max="17" width="13.7109375" style="82" customWidth="1" collapsed="1"/>
    <col min="18" max="23" width="13.7109375" style="82" customWidth="1"/>
    <col min="24" max="24" width="2.7109375" style="82" customWidth="1"/>
    <col min="25" max="36" width="13.7109375" style="82" customWidth="1"/>
    <col min="37" max="16384" width="9.140625" style="82"/>
  </cols>
  <sheetData>
    <row r="2" spans="1:26" s="20" customFormat="1" ht="18">
      <c r="A2" s="159"/>
      <c r="B2" s="72" t="s">
        <v>242</v>
      </c>
      <c r="Y2" s="235"/>
    </row>
    <row r="3" spans="1:26">
      <c r="A3" s="198"/>
    </row>
    <row r="4" spans="1:26" ht="12.75" customHeight="1">
      <c r="A4" s="198"/>
      <c r="B4" s="274" t="s">
        <v>698</v>
      </c>
      <c r="C4" s="274"/>
      <c r="D4" s="274"/>
      <c r="E4" s="274"/>
      <c r="F4" s="274"/>
      <c r="G4" s="274"/>
      <c r="H4" s="274"/>
    </row>
    <row r="5" spans="1:26">
      <c r="A5" s="198"/>
      <c r="B5" s="274"/>
      <c r="C5" s="274"/>
      <c r="D5" s="274"/>
      <c r="E5" s="274"/>
      <c r="F5" s="274"/>
      <c r="G5" s="274"/>
      <c r="H5" s="274"/>
      <c r="Y5" s="216"/>
    </row>
    <row r="6" spans="1:26">
      <c r="A6" s="198"/>
      <c r="B6" s="274"/>
      <c r="C6" s="274"/>
      <c r="D6" s="274"/>
      <c r="E6" s="274"/>
      <c r="F6" s="274"/>
      <c r="G6" s="274"/>
      <c r="H6" s="274"/>
    </row>
    <row r="7" spans="1:26">
      <c r="A7" s="198"/>
      <c r="B7" s="274"/>
      <c r="C7" s="274"/>
      <c r="D7" s="274"/>
      <c r="E7" s="274"/>
      <c r="F7" s="274"/>
      <c r="G7" s="274"/>
      <c r="H7" s="274"/>
    </row>
    <row r="8" spans="1:26">
      <c r="A8" s="198"/>
      <c r="B8" s="274"/>
      <c r="C8" s="274"/>
      <c r="D8" s="274"/>
      <c r="E8" s="274"/>
      <c r="F8" s="274"/>
      <c r="G8" s="274"/>
      <c r="H8" s="274"/>
    </row>
    <row r="9" spans="1:26">
      <c r="A9" s="198"/>
      <c r="B9" s="274"/>
      <c r="C9" s="274"/>
      <c r="D9" s="274"/>
      <c r="E9" s="274"/>
      <c r="F9" s="274"/>
      <c r="G9" s="274"/>
      <c r="H9" s="274"/>
    </row>
    <row r="10" spans="1:26">
      <c r="A10" s="198"/>
      <c r="B10" s="274"/>
      <c r="C10" s="274"/>
      <c r="D10" s="274"/>
      <c r="E10" s="274"/>
      <c r="F10" s="274"/>
      <c r="G10" s="274"/>
      <c r="H10" s="274"/>
    </row>
    <row r="11" spans="1:26">
      <c r="A11" s="198"/>
      <c r="B11" s="274"/>
      <c r="C11" s="274"/>
      <c r="D11" s="274"/>
      <c r="E11" s="274"/>
      <c r="F11" s="274"/>
      <c r="G11" s="274"/>
      <c r="H11" s="274"/>
      <c r="Y11" s="216"/>
    </row>
    <row r="13" spans="1:26" s="86" customFormat="1">
      <c r="A13" s="190"/>
      <c r="B13" s="86" t="s">
        <v>45</v>
      </c>
      <c r="F13" s="86" t="s">
        <v>27</v>
      </c>
      <c r="H13" s="86" t="s">
        <v>28</v>
      </c>
      <c r="J13" s="86" t="s">
        <v>49</v>
      </c>
      <c r="L13" s="73">
        <v>2011</v>
      </c>
      <c r="M13" s="73">
        <v>2012</v>
      </c>
      <c r="N13" s="73">
        <v>2013</v>
      </c>
      <c r="O13" s="73">
        <v>2014</v>
      </c>
      <c r="P13" s="73">
        <v>2015</v>
      </c>
      <c r="Q13" s="73">
        <v>2016</v>
      </c>
      <c r="R13" s="73">
        <v>2017</v>
      </c>
      <c r="S13" s="73">
        <v>2018</v>
      </c>
      <c r="T13" s="73">
        <v>2019</v>
      </c>
      <c r="U13" s="73">
        <v>2020</v>
      </c>
      <c r="V13" s="73">
        <v>2021</v>
      </c>
      <c r="W13" s="73"/>
      <c r="Y13" s="86" t="s">
        <v>47</v>
      </c>
      <c r="Z13" s="35"/>
    </row>
    <row r="16" spans="1:26" s="86" customFormat="1">
      <c r="A16" s="190"/>
      <c r="B16" s="86" t="s">
        <v>48</v>
      </c>
      <c r="Y16" s="35"/>
    </row>
    <row r="17" spans="1:25">
      <c r="A17" s="198"/>
    </row>
    <row r="18" spans="1:25">
      <c r="A18" s="198"/>
      <c r="B18" s="82" t="s">
        <v>162</v>
      </c>
      <c r="F18" s="82" t="s">
        <v>63</v>
      </c>
      <c r="J18" s="8"/>
      <c r="R18" s="92">
        <f>'Tab 9_Parameters'!R17</f>
        <v>2E-3</v>
      </c>
      <c r="S18" s="92">
        <f>'Tab 9_Parameters'!S17</f>
        <v>1.4E-2</v>
      </c>
      <c r="T18" s="92">
        <f>'Tab 9_Parameters'!T17</f>
        <v>2.1000000000000001E-2</v>
      </c>
      <c r="U18" s="92">
        <f>'Tab 9_Parameters'!U17</f>
        <v>2.8000000000000001E-2</v>
      </c>
      <c r="V18" s="92">
        <f>'Tab 9_Parameters'!V17</f>
        <v>1.2E-2</v>
      </c>
    </row>
    <row r="19" spans="1:25">
      <c r="A19" s="198"/>
      <c r="J19" s="8"/>
      <c r="R19" s="91"/>
      <c r="S19" s="91"/>
      <c r="T19" s="91"/>
      <c r="U19" s="91"/>
      <c r="V19" s="91"/>
    </row>
    <row r="20" spans="1:25">
      <c r="A20" s="198"/>
      <c r="B20" s="39" t="s">
        <v>77</v>
      </c>
      <c r="H20" s="97">
        <f>'Tab 9_Parameters'!H47</f>
        <v>0.6</v>
      </c>
      <c r="S20" s="94"/>
      <c r="T20" s="94"/>
      <c r="U20" s="94"/>
      <c r="V20" s="94"/>
    </row>
    <row r="21" spans="1:25">
      <c r="A21" s="198"/>
    </row>
    <row r="22" spans="1:25">
      <c r="A22" s="198"/>
      <c r="B22" s="187" t="s">
        <v>70</v>
      </c>
    </row>
    <row r="23" spans="1:25">
      <c r="A23" s="198"/>
      <c r="B23" s="82" t="s">
        <v>388</v>
      </c>
      <c r="H23" s="104">
        <f>'Tab 12_Berekening parameters'!U58</f>
        <v>0.12486400000000009</v>
      </c>
    </row>
    <row r="24" spans="1:25" s="220" customFormat="1">
      <c r="A24" s="198"/>
      <c r="B24" s="220" t="s">
        <v>375</v>
      </c>
      <c r="H24" s="104">
        <f>'Tab 12_Berekening parameters'!U59</f>
        <v>8.1600000000000117E-2</v>
      </c>
    </row>
    <row r="25" spans="1:25" s="220" customFormat="1">
      <c r="A25" s="198"/>
      <c r="B25" s="220" t="s">
        <v>389</v>
      </c>
      <c r="H25" s="104">
        <f>'Tab 12_Berekening parameters'!U60</f>
        <v>4.0000000000000036E-2</v>
      </c>
    </row>
    <row r="26" spans="1:25" s="225" customFormat="1">
      <c r="A26" s="198"/>
    </row>
    <row r="27" spans="1:25">
      <c r="A27" s="198"/>
      <c r="B27" s="187" t="s">
        <v>699</v>
      </c>
      <c r="Y27" s="216"/>
    </row>
    <row r="28" spans="1:25">
      <c r="A28" s="198"/>
      <c r="B28" s="8" t="s">
        <v>136</v>
      </c>
      <c r="F28" s="82" t="s">
        <v>208</v>
      </c>
      <c r="J28" s="193"/>
      <c r="Q28" s="36">
        <f>'Tab 10_Brondata'!Q13</f>
        <v>101313843.66754709</v>
      </c>
    </row>
    <row r="29" spans="1:25">
      <c r="A29" s="198"/>
      <c r="B29" s="8" t="s">
        <v>137</v>
      </c>
      <c r="F29" s="82" t="s">
        <v>208</v>
      </c>
      <c r="J29" s="193"/>
      <c r="Q29" s="36">
        <f>'Tab 10_Brondata'!Q14</f>
        <v>38077861.317479417</v>
      </c>
    </row>
    <row r="30" spans="1:25">
      <c r="A30" s="198"/>
      <c r="B30" s="8" t="s">
        <v>138</v>
      </c>
      <c r="F30" s="82" t="s">
        <v>208</v>
      </c>
      <c r="J30" s="193"/>
      <c r="Q30" s="36">
        <f>'Tab 10_Brondata'!Q15</f>
        <v>266898647.7088967</v>
      </c>
    </row>
    <row r="31" spans="1:25">
      <c r="A31" s="198"/>
      <c r="B31" s="8" t="s">
        <v>139</v>
      </c>
      <c r="F31" s="82" t="s">
        <v>208</v>
      </c>
      <c r="J31" s="193"/>
      <c r="Q31" s="36">
        <f>'Tab 10_Brondata'!Q16</f>
        <v>32839100.114819307</v>
      </c>
    </row>
    <row r="32" spans="1:25">
      <c r="A32" s="198"/>
      <c r="B32" s="82" t="s">
        <v>135</v>
      </c>
      <c r="F32" s="82" t="s">
        <v>208</v>
      </c>
      <c r="J32" s="193"/>
      <c r="Q32" s="36">
        <f>'Tab 10_Brondata'!Q17</f>
        <v>439129452.80874246</v>
      </c>
      <c r="Y32" s="84"/>
    </row>
    <row r="33" spans="1:25">
      <c r="A33" s="198"/>
      <c r="J33" s="33"/>
    </row>
    <row r="34" spans="1:25">
      <c r="A34" s="198"/>
      <c r="B34" s="187" t="s">
        <v>702</v>
      </c>
    </row>
    <row r="35" spans="1:25">
      <c r="A35" s="198"/>
      <c r="B35" s="82" t="s">
        <v>136</v>
      </c>
      <c r="F35" s="82" t="s">
        <v>208</v>
      </c>
      <c r="R35" s="194">
        <f>'Tab 10_Brondata'!R20</f>
        <v>99063380.897515282</v>
      </c>
      <c r="S35" s="194">
        <f>'Tab 10_Brondata'!S20</f>
        <v>99538885.125823349</v>
      </c>
      <c r="T35" s="194">
        <f>'Tab 10_Brondata'!T20</f>
        <v>100713443.97030807</v>
      </c>
      <c r="U35" s="45"/>
      <c r="V35" s="45"/>
      <c r="Y35" s="216"/>
    </row>
    <row r="36" spans="1:25">
      <c r="A36" s="198"/>
      <c r="B36" s="82" t="s">
        <v>137</v>
      </c>
      <c r="F36" s="82" t="s">
        <v>208</v>
      </c>
      <c r="R36" s="194">
        <f>'Tab 10_Brondata'!R21</f>
        <v>37803700.715993568</v>
      </c>
      <c r="S36" s="194">
        <f>'Tab 10_Brondata'!S21</f>
        <v>37985158.479430333</v>
      </c>
      <c r="T36" s="194">
        <f>'Tab 10_Brondata'!T21</f>
        <v>38433383.34948761</v>
      </c>
      <c r="U36" s="45"/>
      <c r="V36" s="45"/>
    </row>
    <row r="37" spans="1:25">
      <c r="A37" s="198"/>
      <c r="B37" s="82" t="s">
        <v>138</v>
      </c>
      <c r="F37" s="82" t="s">
        <v>208</v>
      </c>
      <c r="R37" s="194">
        <f>'Tab 10_Brondata'!R22</f>
        <v>261681938.5988377</v>
      </c>
      <c r="S37" s="194">
        <f>'Tab 10_Brondata'!S22</f>
        <v>262938011.9041121</v>
      </c>
      <c r="T37" s="194">
        <f>'Tab 10_Brondata'!T22</f>
        <v>266040680.44458064</v>
      </c>
      <c r="U37" s="45"/>
      <c r="V37" s="45"/>
    </row>
    <row r="38" spans="1:25">
      <c r="A38" s="198"/>
      <c r="B38" s="82" t="s">
        <v>139</v>
      </c>
      <c r="F38" s="82" t="s">
        <v>208</v>
      </c>
      <c r="R38" s="194">
        <f>'Tab 10_Brondata'!R23</f>
        <v>32602658.59399261</v>
      </c>
      <c r="S38" s="194">
        <f>'Tab 10_Brondata'!S23</f>
        <v>32759151.355243772</v>
      </c>
      <c r="T38" s="194">
        <f>'Tab 10_Brondata'!T23</f>
        <v>33145709.341235649</v>
      </c>
      <c r="U38" s="45"/>
      <c r="V38" s="45"/>
    </row>
    <row r="39" spans="1:25">
      <c r="A39" s="198"/>
      <c r="B39" s="82" t="s">
        <v>178</v>
      </c>
      <c r="F39" s="82" t="s">
        <v>208</v>
      </c>
      <c r="R39" s="194">
        <f>'Tab 10_Brondata'!R24</f>
        <v>431151678.80633914</v>
      </c>
      <c r="S39" s="194">
        <f>'Tab 10_Brondata'!S24</f>
        <v>433221206.86460954</v>
      </c>
      <c r="T39" s="194">
        <f>'Tab 10_Brondata'!T24</f>
        <v>438333217.10561192</v>
      </c>
      <c r="U39" s="45"/>
      <c r="V39" s="45"/>
    </row>
    <row r="40" spans="1:25" s="238" customFormat="1">
      <c r="A40" s="198"/>
      <c r="J40" s="33"/>
    </row>
    <row r="41" spans="1:25" s="86" customFormat="1">
      <c r="A41" s="190"/>
      <c r="B41" s="86" t="s">
        <v>708</v>
      </c>
      <c r="Y41" s="35"/>
    </row>
    <row r="43" spans="1:25" s="238" customFormat="1">
      <c r="A43" s="198"/>
      <c r="B43" s="187" t="s">
        <v>707</v>
      </c>
    </row>
    <row r="44" spans="1:25">
      <c r="A44" s="198"/>
      <c r="B44" s="82" t="s">
        <v>136</v>
      </c>
      <c r="F44" s="82" t="s">
        <v>208</v>
      </c>
      <c r="R44" s="37">
        <f>(1+((R$18*100)-$H$20)/100)*$Q28</f>
        <v>100908588.2928769</v>
      </c>
      <c r="S44" s="37">
        <f>(1+((S$18*100)-$H$20)/100)*R44</f>
        <v>101715856.99921991</v>
      </c>
      <c r="T44" s="37">
        <f t="shared" ref="T44:V44" si="0">(1+((T$18*100)-$H$20)/100)*S44</f>
        <v>103241594.8542082</v>
      </c>
      <c r="U44" s="38">
        <f t="shared" si="0"/>
        <v>105512909.94100079</v>
      </c>
      <c r="V44" s="37">
        <f t="shared" si="0"/>
        <v>106145987.40064679</v>
      </c>
      <c r="Y44" s="82" t="s">
        <v>377</v>
      </c>
    </row>
    <row r="45" spans="1:25">
      <c r="A45" s="198"/>
      <c r="B45" s="82" t="s">
        <v>137</v>
      </c>
      <c r="F45" s="82" t="s">
        <v>208</v>
      </c>
      <c r="R45" s="37">
        <f>(1+((R$18*100)-$H$20)/100)*$Q29</f>
        <v>37925549.872209497</v>
      </c>
      <c r="S45" s="37">
        <f t="shared" ref="S45:V48" si="1">(1+((S$18*100)-$H$20)/100)*R45</f>
        <v>38228954.271187171</v>
      </c>
      <c r="T45" s="37">
        <f t="shared" si="1"/>
        <v>38802388.585254975</v>
      </c>
      <c r="U45" s="38">
        <f t="shared" si="1"/>
        <v>39656041.134130582</v>
      </c>
      <c r="V45" s="37">
        <f t="shared" si="1"/>
        <v>39893977.380935363</v>
      </c>
      <c r="Y45" s="210" t="s">
        <v>377</v>
      </c>
    </row>
    <row r="46" spans="1:25">
      <c r="A46" s="198"/>
      <c r="B46" s="82" t="s">
        <v>138</v>
      </c>
      <c r="F46" s="82" t="s">
        <v>208</v>
      </c>
      <c r="R46" s="37">
        <f>(1+((R$18*100)-$H$20)/100)*$Q30</f>
        <v>265831053.1180611</v>
      </c>
      <c r="S46" s="37">
        <f t="shared" si="1"/>
        <v>267957701.54300559</v>
      </c>
      <c r="T46" s="37">
        <f t="shared" si="1"/>
        <v>271977067.06615067</v>
      </c>
      <c r="U46" s="38">
        <f t="shared" si="1"/>
        <v>277960562.54160601</v>
      </c>
      <c r="V46" s="37">
        <f t="shared" si="1"/>
        <v>279628325.91685563</v>
      </c>
      <c r="Y46" s="210" t="s">
        <v>377</v>
      </c>
    </row>
    <row r="47" spans="1:25">
      <c r="A47" s="198"/>
      <c r="B47" s="8" t="s">
        <v>139</v>
      </c>
      <c r="F47" s="82" t="s">
        <v>208</v>
      </c>
      <c r="R47" s="37">
        <f>(1+((R$18*100)-$H$20)/100)*$Q31</f>
        <v>32707743.714360029</v>
      </c>
      <c r="S47" s="37">
        <f t="shared" si="1"/>
        <v>32969405.664074909</v>
      </c>
      <c r="T47" s="37">
        <f t="shared" si="1"/>
        <v>33463946.749036029</v>
      </c>
      <c r="U47" s="38">
        <f t="shared" si="1"/>
        <v>34200153.57751482</v>
      </c>
      <c r="V47" s="37">
        <f t="shared" si="1"/>
        <v>34405354.498979911</v>
      </c>
      <c r="Y47" s="210" t="s">
        <v>377</v>
      </c>
    </row>
    <row r="48" spans="1:25">
      <c r="A48" s="198"/>
      <c r="B48" s="8" t="s">
        <v>178</v>
      </c>
      <c r="F48" s="82" t="s">
        <v>208</v>
      </c>
      <c r="R48" s="37">
        <f>(1+((R$18*100)-$H$20)/100)*$Q32</f>
        <v>437372934.99750751</v>
      </c>
      <c r="S48" s="37">
        <f t="shared" si="1"/>
        <v>440871918.47748756</v>
      </c>
      <c r="T48" s="37">
        <f t="shared" si="1"/>
        <v>447484997.25464982</v>
      </c>
      <c r="U48" s="37">
        <f t="shared" si="1"/>
        <v>457329667.19425213</v>
      </c>
      <c r="V48" s="37">
        <f t="shared" si="1"/>
        <v>460073645.19741768</v>
      </c>
      <c r="Y48" s="210" t="s">
        <v>377</v>
      </c>
    </row>
    <row r="49" spans="1:25" s="220" customFormat="1">
      <c r="A49" s="198"/>
      <c r="B49" s="198"/>
    </row>
    <row r="50" spans="1:25" s="190" customFormat="1">
      <c r="B50" s="190" t="s">
        <v>709</v>
      </c>
    </row>
    <row r="51" spans="1:25" s="220" customFormat="1">
      <c r="B51" s="198"/>
    </row>
    <row r="52" spans="1:25">
      <c r="A52" s="192"/>
      <c r="B52" s="187" t="s">
        <v>546</v>
      </c>
      <c r="U52" s="198"/>
      <c r="V52" s="198"/>
    </row>
    <row r="53" spans="1:25">
      <c r="A53" s="192"/>
      <c r="B53" s="82" t="s">
        <v>136</v>
      </c>
      <c r="F53" s="82" t="s">
        <v>208</v>
      </c>
      <c r="R53" s="37">
        <f t="shared" ref="R53:T57" si="2">R44-R35</f>
        <v>1845207.3953616172</v>
      </c>
      <c r="S53" s="37">
        <f t="shared" si="2"/>
        <v>2176971.8733965605</v>
      </c>
      <c r="T53" s="37">
        <f t="shared" si="2"/>
        <v>2528150.8839001358</v>
      </c>
      <c r="U53" s="102"/>
      <c r="V53" s="102"/>
    </row>
    <row r="54" spans="1:25">
      <c r="A54" s="192"/>
      <c r="B54" s="82" t="s">
        <v>137</v>
      </c>
      <c r="F54" s="82" t="s">
        <v>208</v>
      </c>
      <c r="R54" s="37">
        <f t="shared" si="2"/>
        <v>121849.15621592849</v>
      </c>
      <c r="S54" s="37">
        <f t="shared" si="2"/>
        <v>243795.79175683856</v>
      </c>
      <c r="T54" s="37">
        <f t="shared" si="2"/>
        <v>369005.2357673645</v>
      </c>
      <c r="U54" s="102"/>
      <c r="V54" s="102"/>
    </row>
    <row r="55" spans="1:25">
      <c r="A55" s="192"/>
      <c r="B55" s="82" t="s">
        <v>138</v>
      </c>
      <c r="F55" s="82" t="s">
        <v>208</v>
      </c>
      <c r="R55" s="37">
        <f t="shared" si="2"/>
        <v>4149114.519223392</v>
      </c>
      <c r="S55" s="37">
        <f t="shared" si="2"/>
        <v>5019689.6388934851</v>
      </c>
      <c r="T55" s="37">
        <f t="shared" si="2"/>
        <v>5936386.6215700209</v>
      </c>
      <c r="U55" s="102"/>
      <c r="V55" s="102"/>
    </row>
    <row r="56" spans="1:25">
      <c r="A56" s="192"/>
      <c r="B56" s="82" t="s">
        <v>139</v>
      </c>
      <c r="F56" s="82" t="s">
        <v>208</v>
      </c>
      <c r="R56" s="37">
        <f t="shared" si="2"/>
        <v>105085.12036741897</v>
      </c>
      <c r="S56" s="37">
        <f t="shared" si="2"/>
        <v>210254.30883113667</v>
      </c>
      <c r="T56" s="37">
        <f t="shared" si="2"/>
        <v>318237.40780038014</v>
      </c>
      <c r="U56" s="102"/>
      <c r="V56" s="102"/>
    </row>
    <row r="57" spans="1:25">
      <c r="A57" s="192"/>
      <c r="B57" s="82" t="s">
        <v>178</v>
      </c>
      <c r="F57" s="82" t="s">
        <v>208</v>
      </c>
      <c r="R57" s="37">
        <f t="shared" si="2"/>
        <v>6221256.1911683679</v>
      </c>
      <c r="S57" s="37">
        <f t="shared" si="2"/>
        <v>7650711.6128780246</v>
      </c>
      <c r="T57" s="37">
        <f t="shared" si="2"/>
        <v>9151780.1490378976</v>
      </c>
      <c r="U57" s="102"/>
      <c r="V57" s="102"/>
    </row>
    <row r="58" spans="1:25">
      <c r="A58" s="198"/>
    </row>
    <row r="59" spans="1:25" s="220" customFormat="1">
      <c r="A59" s="198"/>
      <c r="B59" s="187" t="s">
        <v>529</v>
      </c>
    </row>
    <row r="60" spans="1:25">
      <c r="A60" s="198"/>
      <c r="B60" s="82" t="s">
        <v>136</v>
      </c>
      <c r="F60" s="82" t="s">
        <v>208</v>
      </c>
      <c r="R60" s="47"/>
      <c r="S60" s="47"/>
      <c r="U60" s="38">
        <f>R53*(1+$H$23)+S53*(1+$H$24)+T53*(1+$H$25)</f>
        <v>7059497.0690979119</v>
      </c>
      <c r="Y60" s="216"/>
    </row>
    <row r="61" spans="1:25">
      <c r="A61" s="198"/>
      <c r="B61" s="82" t="s">
        <v>137</v>
      </c>
      <c r="F61" s="82" t="s">
        <v>208</v>
      </c>
      <c r="U61" s="38">
        <f>R54*(1+$H$23)+S54*(1+$H$24)+T54*(1+$H$25)</f>
        <v>784518.70281992992</v>
      </c>
    </row>
    <row r="62" spans="1:25">
      <c r="A62" s="198"/>
      <c r="B62" s="220" t="s">
        <v>138</v>
      </c>
      <c r="F62" s="82" t="s">
        <v>208</v>
      </c>
      <c r="U62" s="38">
        <f>R55*(1+$H$23)+S55*(1+$H$24)+T55*(1+$H$25)</f>
        <v>16270327.954411719</v>
      </c>
    </row>
    <row r="63" spans="1:25">
      <c r="A63" s="198"/>
      <c r="B63" s="82" t="s">
        <v>139</v>
      </c>
      <c r="F63" s="82" t="s">
        <v>208</v>
      </c>
      <c r="U63" s="38">
        <f>R56*(1+$H$23)+S56*(1+$H$24)+T56*(1+$H$25)</f>
        <v>676584.43338112917</v>
      </c>
    </row>
    <row r="64" spans="1:25">
      <c r="A64" s="198"/>
      <c r="B64" s="82" t="s">
        <v>178</v>
      </c>
      <c r="F64" s="82" t="s">
        <v>208</v>
      </c>
      <c r="U64" s="37">
        <f>R57*(1+$H$23)+S57*(1+$H$24)+T57*(1+$H$25)</f>
        <v>24790928.159710702</v>
      </c>
      <c r="Y64" s="216"/>
    </row>
    <row r="67" spans="17:21">
      <c r="R67" s="225"/>
      <c r="S67" s="225"/>
      <c r="T67" s="225"/>
      <c r="U67" s="225"/>
    </row>
    <row r="68" spans="17:21">
      <c r="R68" s="225"/>
      <c r="S68" s="225"/>
      <c r="T68" s="225"/>
      <c r="U68" s="225"/>
    </row>
    <row r="69" spans="17:21">
      <c r="Q69" s="234"/>
      <c r="R69" s="234"/>
      <c r="S69" s="234"/>
      <c r="T69" s="225"/>
      <c r="U69" s="225"/>
    </row>
    <row r="70" spans="17:21">
      <c r="Q70" s="234"/>
      <c r="R70" s="234"/>
      <c r="S70" s="234"/>
      <c r="T70" s="225"/>
      <c r="U70" s="225"/>
    </row>
    <row r="71" spans="17:21">
      <c r="Q71" s="234"/>
      <c r="R71" s="234"/>
      <c r="S71" s="234"/>
      <c r="T71" s="225"/>
      <c r="U71" s="225"/>
    </row>
    <row r="72" spans="17:21">
      <c r="Q72" s="234"/>
      <c r="R72" s="234"/>
      <c r="S72" s="234"/>
      <c r="T72" s="225"/>
      <c r="U72" s="225"/>
    </row>
    <row r="73" spans="17:21">
      <c r="Q73" s="234"/>
      <c r="R73" s="234"/>
      <c r="S73" s="234"/>
      <c r="T73" s="225"/>
      <c r="U73" s="225"/>
    </row>
    <row r="74" spans="17:21">
      <c r="Q74" s="234"/>
      <c r="R74" s="234"/>
      <c r="S74" s="234"/>
      <c r="T74" s="225"/>
      <c r="U74" s="225"/>
    </row>
    <row r="75" spans="17:21" s="225" customFormat="1">
      <c r="Q75" s="234"/>
      <c r="R75" s="234"/>
      <c r="S75" s="234"/>
    </row>
    <row r="76" spans="17:21">
      <c r="Q76" s="234"/>
      <c r="R76" s="234"/>
      <c r="S76" s="234"/>
      <c r="T76" s="225"/>
      <c r="U76" s="225"/>
    </row>
    <row r="77" spans="17:21">
      <c r="Q77" s="234"/>
      <c r="R77" s="234"/>
      <c r="S77" s="234"/>
      <c r="T77" s="225"/>
      <c r="U77" s="225"/>
    </row>
    <row r="78" spans="17:21">
      <c r="Q78" s="234"/>
      <c r="R78" s="234"/>
      <c r="S78" s="234"/>
      <c r="T78" s="225"/>
      <c r="U78" s="225"/>
    </row>
    <row r="79" spans="17:21">
      <c r="Q79" s="234"/>
      <c r="R79" s="234"/>
      <c r="S79" s="234"/>
    </row>
    <row r="80" spans="17:21">
      <c r="Q80" s="234"/>
      <c r="R80" s="234"/>
      <c r="S80" s="234"/>
    </row>
    <row r="81" spans="17:19">
      <c r="Q81" s="234"/>
      <c r="R81" s="234"/>
      <c r="S81" s="234"/>
    </row>
    <row r="82" spans="17:19">
      <c r="Q82" s="234"/>
      <c r="R82" s="234"/>
      <c r="S82" s="234"/>
    </row>
    <row r="83" spans="17:19">
      <c r="Q83" s="234"/>
      <c r="R83" s="234"/>
      <c r="S83" s="234"/>
    </row>
    <row r="84" spans="17:19">
      <c r="Q84" s="234"/>
      <c r="R84" s="234"/>
      <c r="S84" s="234"/>
    </row>
    <row r="85" spans="17:19">
      <c r="Q85" s="234"/>
      <c r="R85" s="234"/>
      <c r="S85" s="234"/>
    </row>
  </sheetData>
  <mergeCells count="1">
    <mergeCell ref="B4:H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Y104"/>
  <sheetViews>
    <sheetView showGridLines="0" zoomScale="85" zoomScaleNormal="85" workbookViewId="0">
      <pane xSplit="6" ySplit="13" topLeftCell="G14" activePane="bottomRight" state="frozen"/>
      <selection pane="topRight" activeCell="G1" sqref="G1"/>
      <selection pane="bottomLeft" activeCell="A14" sqref="A14"/>
      <selection pane="bottomRight"/>
    </sheetView>
  </sheetViews>
  <sheetFormatPr defaultColWidth="9.140625" defaultRowHeight="12.75" outlineLevelCol="1"/>
  <cols>
    <col min="1" max="1" width="4" style="2" customWidth="1"/>
    <col min="2" max="2" width="75.5703125" style="2" customWidth="1"/>
    <col min="3" max="5" width="4.5703125" style="2" customWidth="1"/>
    <col min="6" max="6" width="15.28515625" style="2" customWidth="1"/>
    <col min="7" max="7" width="2.7109375" style="2" customWidth="1"/>
    <col min="8" max="8" width="13" style="2" bestFit="1" customWidth="1"/>
    <col min="9" max="9" width="2.7109375" style="2" customWidth="1"/>
    <col min="10" max="10" width="13" style="2" bestFit="1" customWidth="1"/>
    <col min="11" max="11" width="2.7109375" style="2" customWidth="1"/>
    <col min="12" max="12" width="14.7109375" style="225" hidden="1" customWidth="1" outlineLevel="1"/>
    <col min="13" max="13" width="12.5703125" style="225" hidden="1" customWidth="1" outlineLevel="1"/>
    <col min="14" max="14" width="14.7109375" style="2" bestFit="1" customWidth="1" collapsed="1"/>
    <col min="15" max="16" width="12.5703125" style="2" customWidth="1"/>
    <col min="17" max="22" width="13.7109375" style="2" customWidth="1"/>
    <col min="23" max="23" width="2.5703125" style="225" customWidth="1"/>
    <col min="24" max="24" width="12.7109375" style="2" customWidth="1"/>
    <col min="25" max="32" width="13.7109375" style="2" customWidth="1"/>
    <col min="33" max="16384" width="9.140625" style="2"/>
  </cols>
  <sheetData>
    <row r="1" spans="1:24">
      <c r="A1" s="8"/>
    </row>
    <row r="2" spans="1:24" s="20" customFormat="1" ht="18">
      <c r="B2" s="20" t="s">
        <v>243</v>
      </c>
      <c r="X2" s="235"/>
    </row>
    <row r="3" spans="1:24">
      <c r="A3" s="198"/>
    </row>
    <row r="4" spans="1:24" s="82" customFormat="1" ht="12.75" customHeight="1">
      <c r="A4" s="198"/>
      <c r="B4" s="274" t="s">
        <v>710</v>
      </c>
      <c r="C4" s="274"/>
      <c r="D4" s="274"/>
      <c r="E4" s="274"/>
      <c r="F4" s="252"/>
      <c r="G4" s="252"/>
      <c r="H4" s="252"/>
      <c r="L4" s="225"/>
      <c r="M4" s="225"/>
      <c r="W4" s="225"/>
    </row>
    <row r="5" spans="1:24" s="82" customFormat="1">
      <c r="A5" s="198"/>
      <c r="B5" s="274"/>
      <c r="C5" s="274"/>
      <c r="D5" s="274"/>
      <c r="E5" s="274"/>
      <c r="F5" s="252"/>
      <c r="G5" s="252"/>
      <c r="H5" s="252"/>
      <c r="L5" s="225"/>
      <c r="M5" s="225"/>
      <c r="W5" s="225"/>
      <c r="X5" s="216"/>
    </row>
    <row r="6" spans="1:24" s="82" customFormat="1">
      <c r="A6" s="198"/>
      <c r="B6" s="274"/>
      <c r="C6" s="274"/>
      <c r="D6" s="274"/>
      <c r="E6" s="274"/>
      <c r="F6" s="252"/>
      <c r="G6" s="252"/>
      <c r="H6" s="252"/>
      <c r="L6" s="225"/>
      <c r="M6" s="225"/>
      <c r="W6" s="225"/>
    </row>
    <row r="7" spans="1:24" s="82" customFormat="1">
      <c r="A7" s="198"/>
      <c r="B7" s="274"/>
      <c r="C7" s="274"/>
      <c r="D7" s="274"/>
      <c r="E7" s="274"/>
      <c r="F7" s="252"/>
      <c r="G7" s="252"/>
      <c r="H7" s="252"/>
      <c r="L7" s="225"/>
      <c r="M7" s="225"/>
      <c r="W7" s="225"/>
    </row>
    <row r="8" spans="1:24" s="82" customFormat="1">
      <c r="A8" s="198"/>
      <c r="B8" s="274"/>
      <c r="C8" s="274"/>
      <c r="D8" s="274"/>
      <c r="E8" s="274"/>
      <c r="F8" s="252"/>
      <c r="G8" s="252"/>
      <c r="H8" s="252"/>
      <c r="L8" s="225"/>
      <c r="M8" s="225"/>
      <c r="W8" s="225"/>
    </row>
    <row r="9" spans="1:24" s="166" customFormat="1">
      <c r="A9" s="198"/>
      <c r="B9" s="274"/>
      <c r="C9" s="274"/>
      <c r="D9" s="274"/>
      <c r="E9" s="274"/>
      <c r="F9" s="252"/>
      <c r="G9" s="252"/>
      <c r="H9" s="252"/>
      <c r="L9" s="225"/>
      <c r="M9" s="225"/>
      <c r="W9" s="225"/>
    </row>
    <row r="10" spans="1:24" s="166" customFormat="1">
      <c r="A10" s="198"/>
      <c r="B10" s="274"/>
      <c r="C10" s="274"/>
      <c r="D10" s="274"/>
      <c r="E10" s="274"/>
      <c r="F10" s="252"/>
      <c r="G10" s="252"/>
      <c r="H10" s="252"/>
      <c r="L10" s="225"/>
      <c r="M10" s="225"/>
      <c r="W10" s="225"/>
    </row>
    <row r="12" spans="1:24" s="7" customFormat="1">
      <c r="B12" s="7" t="s">
        <v>45</v>
      </c>
      <c r="F12" s="7" t="s">
        <v>27</v>
      </c>
      <c r="H12" s="7" t="s">
        <v>28</v>
      </c>
      <c r="J12" s="7" t="s">
        <v>49</v>
      </c>
      <c r="L12" s="190" t="s">
        <v>504</v>
      </c>
      <c r="M12" s="190" t="s">
        <v>505</v>
      </c>
      <c r="N12" s="232">
        <v>2013</v>
      </c>
      <c r="O12" s="73">
        <v>2014</v>
      </c>
      <c r="P12" s="73">
        <v>2015</v>
      </c>
      <c r="Q12" s="73">
        <v>2016</v>
      </c>
      <c r="R12" s="73">
        <v>2017</v>
      </c>
      <c r="S12" s="73">
        <v>2018</v>
      </c>
      <c r="T12" s="73">
        <v>2019</v>
      </c>
      <c r="U12" s="73">
        <v>2020</v>
      </c>
      <c r="V12" s="73">
        <v>2021</v>
      </c>
      <c r="W12" s="190"/>
      <c r="X12" s="7" t="s">
        <v>47</v>
      </c>
    </row>
    <row r="15" spans="1:24" s="7" customFormat="1">
      <c r="B15" s="7" t="s">
        <v>48</v>
      </c>
      <c r="L15" s="190"/>
      <c r="M15" s="190"/>
      <c r="W15" s="190"/>
    </row>
    <row r="17" spans="1:24" s="224" customFormat="1">
      <c r="A17" s="198"/>
      <c r="B17" s="187" t="s">
        <v>161</v>
      </c>
      <c r="L17" s="225"/>
      <c r="M17" s="225"/>
      <c r="W17" s="225"/>
    </row>
    <row r="18" spans="1:24" s="224" customFormat="1">
      <c r="A18" s="198"/>
      <c r="B18" s="224" t="s">
        <v>503</v>
      </c>
      <c r="F18" s="224" t="s">
        <v>63</v>
      </c>
      <c r="H18" s="92">
        <f>'Tab 9_Parameters'!H19</f>
        <v>1.2E-2</v>
      </c>
      <c r="L18" s="226"/>
      <c r="M18" s="226"/>
      <c r="N18" s="226"/>
      <c r="O18" s="226"/>
      <c r="P18" s="226"/>
      <c r="Q18" s="226"/>
      <c r="R18" s="226"/>
      <c r="S18" s="226"/>
      <c r="T18" s="226"/>
      <c r="U18" s="226"/>
      <c r="V18" s="226"/>
      <c r="W18" s="226"/>
    </row>
    <row r="19" spans="1:24" s="224" customFormat="1">
      <c r="A19" s="198"/>
      <c r="B19" s="224" t="s">
        <v>162</v>
      </c>
      <c r="F19" s="224" t="s">
        <v>63</v>
      </c>
      <c r="L19" s="92">
        <f>'Tab 12_Berekening parameters'!L17</f>
        <v>1.4999999999999999E-2</v>
      </c>
      <c r="M19" s="92">
        <f>'Tab 12_Berekening parameters'!M17</f>
        <v>2.5999999999999999E-2</v>
      </c>
      <c r="N19" s="92">
        <f>'Tab 12_Berekening parameters'!N17</f>
        <v>2.3E-2</v>
      </c>
      <c r="O19" s="92">
        <f>'Tab 12_Berekening parameters'!O17</f>
        <v>2.8000000000000001E-2</v>
      </c>
      <c r="P19" s="92">
        <f>'Tab 12_Berekening parameters'!P17</f>
        <v>0.01</v>
      </c>
      <c r="Q19" s="92">
        <f>'Tab 12_Berekening parameters'!Q17</f>
        <v>8.0000000000000002E-3</v>
      </c>
      <c r="R19" s="92">
        <f>'Tab 12_Berekening parameters'!R17</f>
        <v>2E-3</v>
      </c>
      <c r="S19" s="92">
        <f>'Tab 12_Berekening parameters'!S17</f>
        <v>1.4E-2</v>
      </c>
      <c r="T19" s="92">
        <f>'Tab 12_Berekening parameters'!T17</f>
        <v>2.1000000000000001E-2</v>
      </c>
      <c r="U19" s="92">
        <f>'Tab 12_Berekening parameters'!U17</f>
        <v>2.8000000000000001E-2</v>
      </c>
      <c r="V19" s="92">
        <f>'Tab 12_Berekening parameters'!V17</f>
        <v>1.2E-2</v>
      </c>
      <c r="W19" s="226"/>
    </row>
    <row r="20" spans="1:24" s="224" customFormat="1">
      <c r="A20" s="198"/>
      <c r="L20" s="225"/>
      <c r="M20" s="225"/>
      <c r="W20" s="225"/>
    </row>
    <row r="21" spans="1:24" s="224" customFormat="1">
      <c r="A21" s="198"/>
      <c r="B21" s="224" t="s">
        <v>483</v>
      </c>
      <c r="F21" s="224" t="s">
        <v>63</v>
      </c>
      <c r="H21" s="92">
        <f>'Tab 12_Berekening parameters'!R39</f>
        <v>1.0016000000000025E-2</v>
      </c>
      <c r="L21" s="225"/>
      <c r="M21" s="225"/>
      <c r="W21" s="225"/>
    </row>
    <row r="22" spans="1:24" s="224" customFormat="1">
      <c r="A22" s="198"/>
      <c r="B22" s="224" t="s">
        <v>484</v>
      </c>
      <c r="F22" s="225" t="s">
        <v>63</v>
      </c>
      <c r="H22" s="92">
        <f>'Tab 12_Berekening parameters'!S40</f>
        <v>1.6027999999999931E-2</v>
      </c>
      <c r="L22" s="225"/>
      <c r="M22" s="225"/>
      <c r="W22" s="225"/>
    </row>
    <row r="23" spans="1:24" s="224" customFormat="1">
      <c r="A23" s="198"/>
      <c r="B23" s="224" t="s">
        <v>485</v>
      </c>
      <c r="F23" s="225" t="s">
        <v>63</v>
      </c>
      <c r="H23" s="92">
        <f>'Tab 12_Berekening parameters'!T41</f>
        <v>3.5293999999999937E-2</v>
      </c>
      <c r="L23" s="225"/>
      <c r="M23" s="225"/>
      <c r="W23" s="225"/>
    </row>
    <row r="24" spans="1:24" s="224" customFormat="1">
      <c r="A24" s="198"/>
      <c r="B24" s="224" t="s">
        <v>345</v>
      </c>
      <c r="F24" s="225" t="s">
        <v>63</v>
      </c>
      <c r="H24" s="92">
        <f>'Tab 12_Berekening parameters'!U42</f>
        <v>4.9587999999999965E-2</v>
      </c>
      <c r="L24" s="225"/>
      <c r="M24" s="225"/>
      <c r="W24" s="225"/>
    </row>
    <row r="25" spans="1:24" s="225" customFormat="1">
      <c r="A25" s="198"/>
    </row>
    <row r="26" spans="1:24" s="225" customFormat="1">
      <c r="A26" s="198"/>
      <c r="B26" s="187" t="s">
        <v>70</v>
      </c>
    </row>
    <row r="27" spans="1:24" s="225" customFormat="1">
      <c r="A27" s="192"/>
      <c r="B27" s="225" t="s">
        <v>70</v>
      </c>
      <c r="F27" s="225" t="s">
        <v>63</v>
      </c>
      <c r="M27" s="104">
        <f>'Tab 12_Berekening parameters'!M49</f>
        <v>2.7246679826694153E-2</v>
      </c>
      <c r="N27" s="104">
        <f>'Tab 12_Berekening parameters'!N49</f>
        <v>2.6869862241643006E-2</v>
      </c>
      <c r="O27" s="104">
        <f>'Tab 12_Berekening parameters'!O49</f>
        <v>3.2490949264880609E-2</v>
      </c>
      <c r="P27" s="104">
        <f>'Tab 12_Berekening parameters'!P49</f>
        <v>4.0000000000000036E-2</v>
      </c>
      <c r="Q27" s="104">
        <f>'Tab 12_Berekening parameters'!Q49</f>
        <v>4.0000000000000036E-2</v>
      </c>
      <c r="R27" s="104">
        <f>'Tab 12_Berekening parameters'!R49</f>
        <v>4.0000000000000036E-2</v>
      </c>
      <c r="S27" s="104">
        <f>'Tab 12_Berekening parameters'!S49</f>
        <v>4.0000000000000036E-2</v>
      </c>
      <c r="T27" s="104">
        <f>'Tab 12_Berekening parameters'!T49</f>
        <v>4.0000000000000036E-2</v>
      </c>
      <c r="U27" s="104">
        <f>'Tab 12_Berekening parameters'!U49</f>
        <v>4.0000000000000036E-2</v>
      </c>
      <c r="V27" s="230"/>
      <c r="W27" s="230"/>
      <c r="X27" s="216"/>
    </row>
    <row r="28" spans="1:24" s="225" customFormat="1">
      <c r="A28" s="198"/>
    </row>
    <row r="29" spans="1:24" s="224" customFormat="1">
      <c r="A29" s="198"/>
      <c r="B29" s="224" t="s">
        <v>470</v>
      </c>
      <c r="F29" s="224" t="s">
        <v>63</v>
      </c>
      <c r="H29" s="104">
        <f>'Tab 12_Berekening parameters'!U58</f>
        <v>0.12486400000000009</v>
      </c>
      <c r="L29" s="225"/>
      <c r="M29" s="225"/>
      <c r="W29" s="225"/>
    </row>
    <row r="30" spans="1:24" s="224" customFormat="1">
      <c r="A30" s="198"/>
      <c r="B30" s="224" t="s">
        <v>471</v>
      </c>
      <c r="F30" s="224" t="s">
        <v>63</v>
      </c>
      <c r="H30" s="104">
        <f>'Tab 12_Berekening parameters'!U59</f>
        <v>8.1600000000000117E-2</v>
      </c>
      <c r="L30" s="225"/>
      <c r="M30" s="225"/>
      <c r="W30" s="225"/>
    </row>
    <row r="31" spans="1:24" s="224" customFormat="1">
      <c r="A31" s="198"/>
      <c r="B31" s="224" t="s">
        <v>346</v>
      </c>
      <c r="F31" s="224" t="s">
        <v>63</v>
      </c>
      <c r="H31" s="104">
        <f>'Tab 12_Berekening parameters'!U60</f>
        <v>4.0000000000000036E-2</v>
      </c>
      <c r="L31" s="225"/>
      <c r="M31" s="225"/>
      <c r="W31" s="225"/>
    </row>
    <row r="32" spans="1:24" s="224" customFormat="1">
      <c r="A32" s="198"/>
      <c r="L32" s="225"/>
      <c r="M32" s="225"/>
      <c r="W32" s="225"/>
    </row>
    <row r="33" spans="1:25" s="225" customFormat="1">
      <c r="A33" s="198"/>
      <c r="B33" s="187" t="s">
        <v>264</v>
      </c>
    </row>
    <row r="34" spans="1:25" s="224" customFormat="1">
      <c r="A34" s="198"/>
      <c r="B34" s="224" t="s">
        <v>263</v>
      </c>
      <c r="F34" s="224" t="s">
        <v>63</v>
      </c>
      <c r="L34" s="225"/>
      <c r="M34" s="225"/>
      <c r="Q34" s="92">
        <f>'Tab 9_Parameters'!Q37</f>
        <v>4.4999999999999998E-2</v>
      </c>
      <c r="R34" s="92">
        <f>'Tab 9_Parameters'!R37</f>
        <v>4.1000000000000002E-2</v>
      </c>
      <c r="S34" s="92">
        <f>'Tab 9_Parameters'!S37</f>
        <v>3.7999999999999999E-2</v>
      </c>
      <c r="T34" s="92">
        <f>'Tab 9_Parameters'!T37</f>
        <v>3.5000000000000003E-2</v>
      </c>
      <c r="U34" s="92">
        <f>'Tab 9_Parameters'!U37</f>
        <v>3.2000000000000001E-2</v>
      </c>
      <c r="V34" s="92">
        <f>'Tab 9_Parameters'!V37</f>
        <v>2.8000000000000001E-2</v>
      </c>
      <c r="W34" s="225"/>
    </row>
    <row r="35" spans="1:25" s="225" customFormat="1">
      <c r="A35" s="198"/>
    </row>
    <row r="36" spans="1:25" s="225" customFormat="1">
      <c r="A36" s="198"/>
      <c r="B36" s="187" t="s">
        <v>498</v>
      </c>
    </row>
    <row r="37" spans="1:25" s="224" customFormat="1">
      <c r="A37" s="198"/>
      <c r="B37" s="224" t="s">
        <v>486</v>
      </c>
      <c r="F37" s="224" t="s">
        <v>63</v>
      </c>
      <c r="L37" s="225"/>
      <c r="M37" s="225"/>
      <c r="O37" s="92">
        <f>'Tab 12_Berekening parameters'!O69</f>
        <v>1.0999999999999999E-2</v>
      </c>
      <c r="P37" s="92">
        <f>'Tab 12_Berekening parameters'!P70</f>
        <v>1.0999999999999999E-2</v>
      </c>
      <c r="Q37" s="92">
        <f>'Tab 12_Berekening parameters'!Q71</f>
        <v>1.0999999999999999E-2</v>
      </c>
      <c r="R37" s="92">
        <f>'Tab 12_Berekening parameters'!R72</f>
        <v>0</v>
      </c>
      <c r="S37" s="92">
        <f>'Tab 12_Berekening parameters'!S73</f>
        <v>0</v>
      </c>
      <c r="T37" s="92">
        <f>'Tab 12_Berekening parameters'!T74</f>
        <v>0</v>
      </c>
      <c r="U37" s="92">
        <f>'Tab 12_Berekening parameters'!U75</f>
        <v>0</v>
      </c>
      <c r="V37" s="92">
        <f>'Tab 12_Berekening parameters'!V76</f>
        <v>0</v>
      </c>
      <c r="W37" s="226"/>
    </row>
    <row r="38" spans="1:25" s="225" customFormat="1">
      <c r="A38" s="198"/>
    </row>
    <row r="39" spans="1:25" s="225" customFormat="1">
      <c r="A39" s="198"/>
      <c r="B39" s="187" t="s">
        <v>142</v>
      </c>
    </row>
    <row r="40" spans="1:25" s="224" customFormat="1">
      <c r="A40" s="198"/>
      <c r="B40" s="224" t="s">
        <v>499</v>
      </c>
      <c r="F40" s="224" t="s">
        <v>208</v>
      </c>
      <c r="L40" s="225"/>
      <c r="M40" s="225"/>
      <c r="Q40" s="194">
        <f>'Tab 10_Brondata'!Q57</f>
        <v>67542562.44503139</v>
      </c>
      <c r="R40" s="225"/>
      <c r="S40" s="225"/>
      <c r="T40" s="225"/>
      <c r="W40" s="225"/>
      <c r="Y40" s="2"/>
    </row>
    <row r="41" spans="1:25" s="224" customFormat="1">
      <c r="A41" s="198"/>
      <c r="B41" s="224" t="s">
        <v>500</v>
      </c>
      <c r="F41" s="224" t="s">
        <v>208</v>
      </c>
      <c r="L41" s="225"/>
      <c r="M41" s="225"/>
      <c r="P41" s="225"/>
      <c r="R41" s="225"/>
      <c r="S41" s="225"/>
      <c r="T41" s="225"/>
      <c r="V41" s="194">
        <f>'Tab 10_Brondata'!V58</f>
        <v>65016880.262173384</v>
      </c>
      <c r="W41" s="225"/>
      <c r="X41" s="13"/>
    </row>
    <row r="42" spans="1:25" s="224" customFormat="1">
      <c r="A42" s="198"/>
      <c r="B42" s="224" t="s">
        <v>704</v>
      </c>
      <c r="F42" s="224" t="s">
        <v>208</v>
      </c>
      <c r="L42" s="225"/>
      <c r="M42" s="225"/>
      <c r="P42" s="225"/>
      <c r="Q42" s="225"/>
      <c r="R42" s="194">
        <f>'Tab 10_Brondata'!R59</f>
        <v>65323825.273999996</v>
      </c>
      <c r="S42" s="194">
        <f>'Tab 10_Brondata'!S59</f>
        <v>64931882.049999997</v>
      </c>
      <c r="T42" s="194">
        <f>'Tab 10_Brondata'!T59</f>
        <v>64996813.93204999</v>
      </c>
      <c r="W42" s="225"/>
    </row>
    <row r="43" spans="1:25" s="225" customFormat="1">
      <c r="A43" s="198"/>
    </row>
    <row r="44" spans="1:25" s="225" customFormat="1">
      <c r="A44" s="198"/>
      <c r="B44" s="187" t="s">
        <v>131</v>
      </c>
    </row>
    <row r="45" spans="1:25" s="225" customFormat="1">
      <c r="A45" s="198"/>
      <c r="B45" s="225" t="s">
        <v>511</v>
      </c>
      <c r="F45" s="225" t="s">
        <v>208</v>
      </c>
      <c r="P45" s="264" t="s">
        <v>915</v>
      </c>
      <c r="Q45" s="264" t="s">
        <v>919</v>
      </c>
      <c r="R45" s="264" t="s">
        <v>883</v>
      </c>
      <c r="S45" s="264" t="s">
        <v>887</v>
      </c>
    </row>
    <row r="46" spans="1:25" s="225" customFormat="1">
      <c r="A46" s="198"/>
      <c r="B46" s="225" t="s">
        <v>440</v>
      </c>
      <c r="F46" s="225" t="s">
        <v>208</v>
      </c>
      <c r="P46" s="264" t="s">
        <v>916</v>
      </c>
      <c r="Q46" s="264" t="s">
        <v>920</v>
      </c>
      <c r="R46" s="264" t="s">
        <v>884</v>
      </c>
      <c r="S46" s="264" t="s">
        <v>888</v>
      </c>
    </row>
    <row r="47" spans="1:25" s="225" customFormat="1">
      <c r="A47" s="198"/>
      <c r="B47" s="225" t="s">
        <v>441</v>
      </c>
      <c r="F47" s="225" t="s">
        <v>208</v>
      </c>
      <c r="P47" s="264" t="s">
        <v>917</v>
      </c>
      <c r="Q47" s="264" t="s">
        <v>921</v>
      </c>
      <c r="R47" s="264" t="s">
        <v>885</v>
      </c>
      <c r="S47" s="264" t="s">
        <v>889</v>
      </c>
    </row>
    <row r="48" spans="1:25" s="225" customFormat="1">
      <c r="A48" s="198"/>
      <c r="B48" s="225" t="s">
        <v>442</v>
      </c>
      <c r="F48" s="225" t="s">
        <v>208</v>
      </c>
      <c r="P48" s="264" t="s">
        <v>918</v>
      </c>
      <c r="Q48" s="264" t="s">
        <v>922</v>
      </c>
      <c r="R48" s="264" t="s">
        <v>886</v>
      </c>
      <c r="S48" s="264" t="s">
        <v>890</v>
      </c>
    </row>
    <row r="49" spans="1:24" s="225" customFormat="1">
      <c r="A49" s="198"/>
    </row>
    <row r="50" spans="1:24" s="224" customFormat="1">
      <c r="A50" s="198"/>
      <c r="B50" s="224" t="s">
        <v>492</v>
      </c>
      <c r="F50" s="224" t="s">
        <v>208</v>
      </c>
      <c r="L50" s="225"/>
      <c r="M50" s="225"/>
      <c r="P50" s="225"/>
      <c r="Q50" s="194">
        <f>'Tab 10_Brondata'!Q67</f>
        <v>23005695</v>
      </c>
      <c r="R50" s="194">
        <f>'Tab 10_Brondata'!R67</f>
        <v>20762344.710000001</v>
      </c>
      <c r="S50" s="194">
        <f>'Tab 10_Brondata'!S67</f>
        <v>30673020.929000001</v>
      </c>
      <c r="T50" s="194">
        <f>'Tab 6_Correcties en prognoses'!T29</f>
        <v>22230156.690000001</v>
      </c>
      <c r="W50" s="225"/>
      <c r="X50" s="216"/>
    </row>
    <row r="51" spans="1:24" s="224" customFormat="1">
      <c r="A51" s="198"/>
      <c r="L51" s="225"/>
      <c r="M51" s="225"/>
      <c r="P51" s="225"/>
      <c r="Q51" s="225"/>
      <c r="R51" s="225"/>
      <c r="S51" s="225"/>
      <c r="T51" s="225"/>
      <c r="W51" s="225"/>
    </row>
    <row r="52" spans="1:24" s="224" customFormat="1">
      <c r="A52" s="198"/>
      <c r="B52" s="224" t="s">
        <v>705</v>
      </c>
      <c r="F52" s="224" t="s">
        <v>208</v>
      </c>
      <c r="L52" s="225"/>
      <c r="M52" s="225"/>
      <c r="P52" s="225"/>
      <c r="Q52" s="225"/>
      <c r="R52" s="194">
        <f>'Tab 10_Brondata'!R69</f>
        <v>42174644.687895529</v>
      </c>
      <c r="S52" s="194">
        <f>'Tab 10_Brondata'!S69</f>
        <v>32824403.06228197</v>
      </c>
      <c r="T52" s="194">
        <f>'Tab 10_Brondata'!T69</f>
        <v>26709737.625569224</v>
      </c>
      <c r="W52" s="225"/>
    </row>
    <row r="53" spans="1:24" s="225" customFormat="1">
      <c r="A53" s="198"/>
    </row>
    <row r="54" spans="1:24">
      <c r="A54" s="198"/>
      <c r="B54" s="187" t="s">
        <v>132</v>
      </c>
      <c r="P54" s="225"/>
      <c r="Q54" s="225"/>
      <c r="R54" s="225"/>
      <c r="S54" s="225"/>
      <c r="T54" s="225"/>
    </row>
    <row r="55" spans="1:24" s="224" customFormat="1">
      <c r="A55" s="248"/>
      <c r="B55" s="224" t="s">
        <v>507</v>
      </c>
      <c r="F55" s="224" t="s">
        <v>208</v>
      </c>
      <c r="L55" s="225"/>
      <c r="M55" s="225"/>
      <c r="P55" s="194">
        <f>'Tab 10_Brondata'!P72</f>
        <v>82438219.703185529</v>
      </c>
      <c r="Q55" s="194">
        <f>'Tab 10_Brondata'!Q72</f>
        <v>74752939</v>
      </c>
      <c r="R55" s="194">
        <f>'Tab 10_Brondata'!R72</f>
        <v>64609693</v>
      </c>
      <c r="S55" s="194">
        <f>'Tab 10_Brondata'!S72</f>
        <v>64609693</v>
      </c>
      <c r="T55" s="225"/>
      <c r="W55" s="225"/>
      <c r="X55" s="216"/>
    </row>
    <row r="56" spans="1:24" s="224" customFormat="1">
      <c r="A56" s="248"/>
      <c r="B56" s="224" t="s">
        <v>508</v>
      </c>
      <c r="F56" s="224" t="s">
        <v>208</v>
      </c>
      <c r="L56" s="225"/>
      <c r="M56" s="225"/>
      <c r="P56" s="194">
        <f>'Tab 10_Brondata'!P73</f>
        <v>15408542.0901512</v>
      </c>
      <c r="Q56" s="194">
        <f>'Tab 10_Brondata'!Q73</f>
        <v>15408538</v>
      </c>
      <c r="R56" s="194">
        <f>'Tab 10_Brondata'!R73</f>
        <v>14673449</v>
      </c>
      <c r="S56" s="194">
        <f>'Tab 10_Brondata'!S73</f>
        <v>14673449</v>
      </c>
      <c r="T56" s="225"/>
      <c r="W56" s="225"/>
      <c r="X56" s="216"/>
    </row>
    <row r="57" spans="1:24" s="224" customFormat="1">
      <c r="A57" s="198"/>
      <c r="B57" s="224" t="s">
        <v>509</v>
      </c>
      <c r="F57" s="224" t="s">
        <v>208</v>
      </c>
      <c r="L57" s="225"/>
      <c r="M57" s="225"/>
      <c r="P57" s="194">
        <f>'Tab 10_Brondata'!P74</f>
        <v>43492896.481880009</v>
      </c>
      <c r="Q57" s="194">
        <f>'Tab 10_Brondata'!Q74</f>
        <v>19400807</v>
      </c>
      <c r="R57" s="194">
        <f>'Tab 10_Brondata'!R74</f>
        <v>22307533.757362377</v>
      </c>
      <c r="S57" s="194">
        <f>'Tab 10_Brondata'!S74</f>
        <v>22170305.974530518</v>
      </c>
      <c r="T57" s="225"/>
      <c r="W57" s="225"/>
    </row>
    <row r="58" spans="1:24" s="198" customFormat="1">
      <c r="P58" s="225"/>
      <c r="Q58" s="225"/>
      <c r="R58" s="225"/>
      <c r="S58" s="225"/>
      <c r="T58" s="225"/>
    </row>
    <row r="59" spans="1:24" s="224" customFormat="1">
      <c r="A59" s="198"/>
      <c r="B59" s="224" t="s">
        <v>706</v>
      </c>
      <c r="F59" s="224" t="s">
        <v>208</v>
      </c>
      <c r="L59" s="225"/>
      <c r="M59" s="225"/>
      <c r="P59" s="225"/>
      <c r="Q59" s="225"/>
      <c r="R59" s="194">
        <f>'Tab 10_Brondata'!R76</f>
        <v>62319376.599500075</v>
      </c>
      <c r="S59" s="194">
        <f>'Tab 10_Brondata'!S76</f>
        <v>37643803.842947915</v>
      </c>
      <c r="T59" s="194">
        <f>'Tab 10_Brondata'!T76</f>
        <v>39974702.927265584</v>
      </c>
      <c r="W59" s="225"/>
    </row>
    <row r="60" spans="1:24" s="225" customFormat="1">
      <c r="A60" s="198"/>
    </row>
    <row r="61" spans="1:24" s="190" customFormat="1">
      <c r="B61" s="190" t="s">
        <v>712</v>
      </c>
    </row>
    <row r="62" spans="1:24" s="224" customFormat="1">
      <c r="A62" s="198"/>
      <c r="L62" s="225"/>
      <c r="M62" s="225"/>
      <c r="W62" s="225"/>
    </row>
    <row r="63" spans="1:24" s="224" customFormat="1">
      <c r="A63" s="198"/>
      <c r="B63" s="224" t="s">
        <v>469</v>
      </c>
      <c r="H63" s="227">
        <f>(1+H18)-(V41/Q40)^(1/5)</f>
        <v>1.9593228942773377E-2</v>
      </c>
      <c r="L63" s="225"/>
      <c r="M63" s="225"/>
      <c r="W63" s="225"/>
      <c r="X63" s="224" t="s">
        <v>487</v>
      </c>
    </row>
    <row r="64" spans="1:24" s="224" customFormat="1">
      <c r="A64" s="198"/>
      <c r="B64" s="224" t="s">
        <v>497</v>
      </c>
      <c r="H64" s="98">
        <f>ROUNDDOWN(H63,2)</f>
        <v>0.01</v>
      </c>
      <c r="L64" s="225"/>
      <c r="M64" s="225"/>
      <c r="W64" s="225"/>
      <c r="X64" s="216"/>
    </row>
    <row r="65" spans="1:24" s="224" customFormat="1">
      <c r="A65" s="198"/>
      <c r="L65" s="225"/>
      <c r="M65" s="225"/>
      <c r="W65" s="225"/>
    </row>
    <row r="66" spans="1:24" s="224" customFormat="1">
      <c r="A66" s="198"/>
      <c r="B66" s="224" t="s">
        <v>711</v>
      </c>
      <c r="F66" s="224" t="s">
        <v>208</v>
      </c>
      <c r="L66" s="225"/>
      <c r="M66" s="225"/>
      <c r="Q66" s="194">
        <f>Q40</f>
        <v>67542562.44503139</v>
      </c>
      <c r="R66" s="37">
        <f>Q66*(1+R19-$H$64)</f>
        <v>67002221.945471138</v>
      </c>
      <c r="S66" s="37">
        <f>R66*(1+S19-$H$64)</f>
        <v>67270230.833253026</v>
      </c>
      <c r="T66" s="37">
        <f>S66*(1+T19-$H$64)</f>
        <v>68010203.372418806</v>
      </c>
      <c r="U66" s="37">
        <f>T66*(1+U19-$H$64)</f>
        <v>69234387.033122346</v>
      </c>
      <c r="V66" s="216"/>
      <c r="W66" s="225"/>
      <c r="X66" s="224" t="s">
        <v>488</v>
      </c>
    </row>
    <row r="67" spans="1:24" s="198" customFormat="1">
      <c r="Q67" s="45"/>
      <c r="R67" s="102"/>
      <c r="S67" s="102"/>
      <c r="T67" s="102"/>
      <c r="U67" s="228"/>
    </row>
    <row r="68" spans="1:24" s="224" customFormat="1">
      <c r="A68" s="198"/>
      <c r="B68" s="224" t="s">
        <v>476</v>
      </c>
      <c r="F68" s="224" t="s">
        <v>208</v>
      </c>
      <c r="L68" s="225"/>
      <c r="M68" s="225"/>
      <c r="R68" s="37">
        <f>R66-R42</f>
        <v>1678396.6714711413</v>
      </c>
      <c r="S68" s="37">
        <f>S66-S42</f>
        <v>2338348.783253029</v>
      </c>
      <c r="T68" s="37">
        <f>T66-T42</f>
        <v>3013389.4403688163</v>
      </c>
      <c r="W68" s="225"/>
      <c r="X68" s="216"/>
    </row>
    <row r="69" spans="1:24" s="224" customFormat="1">
      <c r="A69" s="198"/>
      <c r="B69" s="224" t="s">
        <v>472</v>
      </c>
      <c r="F69" s="224" t="s">
        <v>208</v>
      </c>
      <c r="L69" s="225"/>
      <c r="M69" s="225"/>
      <c r="U69" s="37">
        <f>R68*(1+H29)+S68*(1+H30)+T68*(1+H31)</f>
        <v>7551051.0554077588</v>
      </c>
      <c r="W69" s="225"/>
      <c r="X69" s="216"/>
    </row>
    <row r="70" spans="1:24" s="224" customFormat="1">
      <c r="L70" s="225"/>
      <c r="M70" s="225"/>
      <c r="W70" s="225"/>
    </row>
    <row r="71" spans="1:24" s="190" customFormat="1">
      <c r="B71" s="190" t="s">
        <v>713</v>
      </c>
    </row>
    <row r="72" spans="1:24" s="224" customFormat="1">
      <c r="A72" s="198"/>
      <c r="L72" s="225"/>
      <c r="M72" s="225"/>
      <c r="W72" s="225"/>
    </row>
    <row r="73" spans="1:24" s="224" customFormat="1">
      <c r="A73" s="198"/>
      <c r="B73" s="224" t="s">
        <v>448</v>
      </c>
      <c r="F73" s="224" t="s">
        <v>208</v>
      </c>
      <c r="L73" s="225"/>
      <c r="M73" s="225"/>
      <c r="R73" s="263" t="s">
        <v>899</v>
      </c>
      <c r="S73" s="263" t="s">
        <v>903</v>
      </c>
      <c r="T73" s="263" t="s">
        <v>907</v>
      </c>
      <c r="U73" s="263" t="s">
        <v>911</v>
      </c>
      <c r="W73" s="225"/>
      <c r="X73" s="224" t="s">
        <v>493</v>
      </c>
    </row>
    <row r="74" spans="1:24" s="224" customFormat="1">
      <c r="A74" s="198"/>
      <c r="B74" s="224" t="s">
        <v>449</v>
      </c>
      <c r="F74" s="224" t="s">
        <v>208</v>
      </c>
      <c r="L74" s="225"/>
      <c r="M74" s="225"/>
      <c r="R74" s="263" t="s">
        <v>900</v>
      </c>
      <c r="S74" s="263" t="s">
        <v>904</v>
      </c>
      <c r="T74" s="263" t="s">
        <v>908</v>
      </c>
      <c r="U74" s="263" t="s">
        <v>912</v>
      </c>
      <c r="W74" s="225"/>
      <c r="X74" s="225" t="s">
        <v>493</v>
      </c>
    </row>
    <row r="75" spans="1:24" s="224" customFormat="1">
      <c r="A75" s="198"/>
      <c r="B75" s="224" t="s">
        <v>450</v>
      </c>
      <c r="F75" s="224" t="s">
        <v>208</v>
      </c>
      <c r="L75" s="225"/>
      <c r="M75" s="225"/>
      <c r="R75" s="263" t="s">
        <v>901</v>
      </c>
      <c r="S75" s="263" t="s">
        <v>905</v>
      </c>
      <c r="T75" s="263" t="s">
        <v>909</v>
      </c>
      <c r="U75" s="263" t="s">
        <v>913</v>
      </c>
      <c r="W75" s="225"/>
      <c r="X75" s="225" t="s">
        <v>493</v>
      </c>
    </row>
    <row r="76" spans="1:24" s="224" customFormat="1">
      <c r="A76" s="198"/>
      <c r="B76" s="224" t="s">
        <v>451</v>
      </c>
      <c r="F76" s="224" t="s">
        <v>208</v>
      </c>
      <c r="L76" s="225"/>
      <c r="M76" s="225"/>
      <c r="R76" s="263" t="s">
        <v>902</v>
      </c>
      <c r="S76" s="263" t="s">
        <v>906</v>
      </c>
      <c r="T76" s="263" t="s">
        <v>910</v>
      </c>
      <c r="U76" s="263" t="s">
        <v>914</v>
      </c>
      <c r="W76" s="225"/>
      <c r="X76" s="225" t="s">
        <v>493</v>
      </c>
    </row>
    <row r="77" spans="1:24" s="198" customFormat="1">
      <c r="R77" s="102"/>
      <c r="S77" s="102"/>
      <c r="T77" s="102"/>
      <c r="U77" s="102"/>
    </row>
    <row r="78" spans="1:24" s="224" customFormat="1">
      <c r="A78" s="198"/>
      <c r="B78" s="224" t="s">
        <v>714</v>
      </c>
      <c r="F78" s="224" t="s">
        <v>208</v>
      </c>
      <c r="L78" s="225"/>
      <c r="M78" s="225"/>
      <c r="R78" s="37">
        <v>41974743.778153911</v>
      </c>
      <c r="S78" s="37">
        <v>33705638.349533275</v>
      </c>
      <c r="T78" s="37">
        <v>27666614.759029992</v>
      </c>
      <c r="U78" s="37">
        <v>140165723.38501197</v>
      </c>
      <c r="V78" s="216"/>
      <c r="W78" s="225"/>
      <c r="X78" s="224" t="s">
        <v>494</v>
      </c>
    </row>
    <row r="79" spans="1:24" s="224" customFormat="1">
      <c r="A79" s="198"/>
      <c r="L79" s="225"/>
      <c r="M79" s="225"/>
      <c r="W79" s="225"/>
    </row>
    <row r="80" spans="1:24" s="224" customFormat="1">
      <c r="A80" s="198"/>
      <c r="B80" s="224" t="s">
        <v>495</v>
      </c>
      <c r="F80" s="224" t="s">
        <v>208</v>
      </c>
      <c r="L80" s="225"/>
      <c r="M80" s="225"/>
      <c r="O80" s="236"/>
      <c r="R80" s="37">
        <f>R78-R52</f>
        <v>-199900.90974161774</v>
      </c>
      <c r="S80" s="37">
        <f>S78-S52</f>
        <v>881235.28725130484</v>
      </c>
      <c r="T80" s="37">
        <f>T78-T52</f>
        <v>956877.13346076757</v>
      </c>
      <c r="W80" s="225"/>
      <c r="X80" s="216"/>
    </row>
    <row r="81" spans="1:24" s="224" customFormat="1">
      <c r="A81" s="198"/>
      <c r="B81" s="224" t="s">
        <v>491</v>
      </c>
      <c r="F81" s="224" t="s">
        <v>208</v>
      </c>
      <c r="L81" s="225"/>
      <c r="M81" s="225"/>
      <c r="U81" s="37">
        <f>R80*(1+H29)+S80*(1+H30)+T80*(1+H31)</f>
        <v>1723434.9685546146</v>
      </c>
      <c r="W81" s="225"/>
      <c r="X81" s="216"/>
    </row>
    <row r="82" spans="1:24" s="224" customFormat="1">
      <c r="L82" s="225"/>
      <c r="M82" s="225"/>
      <c r="W82" s="225"/>
    </row>
    <row r="83" spans="1:24" s="190" customFormat="1">
      <c r="B83" s="190" t="s">
        <v>715</v>
      </c>
    </row>
    <row r="84" spans="1:24" s="224" customFormat="1">
      <c r="A84" s="198"/>
      <c r="L84" s="225"/>
      <c r="M84" s="225"/>
      <c r="W84" s="225"/>
    </row>
    <row r="85" spans="1:24" s="224" customFormat="1">
      <c r="A85" s="198"/>
      <c r="B85" s="215" t="s">
        <v>716</v>
      </c>
      <c r="F85" s="224" t="s">
        <v>208</v>
      </c>
      <c r="L85" s="225"/>
      <c r="M85" s="225"/>
      <c r="P85" s="37">
        <f>R34*P55+P56+P57</f>
        <v>62281405.57986182</v>
      </c>
      <c r="Q85" s="37">
        <f>S34*Q55+Q56+Q57</f>
        <v>37649956.681999996</v>
      </c>
      <c r="R85" s="37">
        <f>T34*R55+R56+R57</f>
        <v>39242322.012362376</v>
      </c>
      <c r="S85" s="37">
        <f>U34*S55+S56+S57</f>
        <v>38911265.150530517</v>
      </c>
      <c r="V85" s="13"/>
      <c r="W85" s="225"/>
      <c r="X85" s="224" t="s">
        <v>489</v>
      </c>
    </row>
    <row r="86" spans="1:24" s="224" customFormat="1">
      <c r="A86" s="248"/>
      <c r="B86" s="224" t="s">
        <v>717</v>
      </c>
      <c r="F86" s="224" t="s">
        <v>208</v>
      </c>
      <c r="L86" s="225"/>
      <c r="M86" s="225"/>
      <c r="R86" s="37">
        <f>P85*(1+H21)*(1-Q37)*(1-R37)</f>
        <v>62213258.760630071</v>
      </c>
      <c r="S86" s="37">
        <f>Q85*(1+H22)*(1-R37)*(1-S37)</f>
        <v>38253410.187699087</v>
      </c>
      <c r="T86" s="37">
        <f>R85*(1+H23)*(1-S37)*(1-T37)</f>
        <v>40627340.525466688</v>
      </c>
      <c r="U86" s="37">
        <f>S85*(1+H24)*(1-T37)*(1-U37)</f>
        <v>40840796.966815025</v>
      </c>
      <c r="W86" s="225"/>
      <c r="X86" s="224" t="s">
        <v>490</v>
      </c>
    </row>
    <row r="87" spans="1:24" s="224" customFormat="1">
      <c r="A87" s="198"/>
      <c r="L87" s="225"/>
      <c r="M87" s="225"/>
      <c r="W87" s="225"/>
    </row>
    <row r="88" spans="1:24" s="224" customFormat="1">
      <c r="A88" s="198"/>
      <c r="B88" s="224" t="s">
        <v>477</v>
      </c>
      <c r="F88" s="224" t="s">
        <v>208</v>
      </c>
      <c r="L88" s="225"/>
      <c r="M88" s="225"/>
      <c r="R88" s="37">
        <f>R86-R59</f>
        <v>-106117.83887000382</v>
      </c>
      <c r="S88" s="37">
        <f>S86-S59</f>
        <v>609606.34475117177</v>
      </c>
      <c r="T88" s="37">
        <f>T86-T59</f>
        <v>652637.59820110351</v>
      </c>
      <c r="W88" s="225"/>
    </row>
    <row r="89" spans="1:24" s="224" customFormat="1">
      <c r="A89" s="198"/>
      <c r="B89" s="224" t="s">
        <v>478</v>
      </c>
      <c r="F89" s="224" t="s">
        <v>208</v>
      </c>
      <c r="L89" s="225"/>
      <c r="M89" s="225"/>
      <c r="U89" s="37">
        <f>R88*(1+H29)+S88*(1+H30)+T88*(1+H31)</f>
        <v>1218725.187909347</v>
      </c>
      <c r="W89" s="225"/>
      <c r="X89" s="216"/>
    </row>
    <row r="90" spans="1:24" s="224" customFormat="1">
      <c r="L90" s="225"/>
      <c r="M90" s="225"/>
      <c r="W90" s="225"/>
    </row>
    <row r="91" spans="1:24" s="190" customFormat="1">
      <c r="B91" s="190" t="s">
        <v>479</v>
      </c>
    </row>
    <row r="92" spans="1:24" s="224" customFormat="1">
      <c r="A92" s="198"/>
      <c r="L92" s="225"/>
      <c r="M92" s="225"/>
      <c r="W92" s="225"/>
    </row>
    <row r="93" spans="1:24" s="224" customFormat="1">
      <c r="A93" s="198"/>
      <c r="B93" s="224" t="s">
        <v>480</v>
      </c>
      <c r="F93" s="224" t="s">
        <v>208</v>
      </c>
      <c r="L93" s="225"/>
      <c r="M93" s="225"/>
      <c r="U93" s="194">
        <f>U66</f>
        <v>69234387.033122346</v>
      </c>
      <c r="W93" s="225"/>
      <c r="X93" s="216"/>
    </row>
    <row r="94" spans="1:24" s="224" customFormat="1">
      <c r="A94" s="198"/>
      <c r="B94" s="224" t="s">
        <v>481</v>
      </c>
      <c r="F94" s="224" t="s">
        <v>208</v>
      </c>
      <c r="L94" s="225"/>
      <c r="M94" s="225"/>
      <c r="U94" s="194">
        <f>U78</f>
        <v>140165723.38501197</v>
      </c>
      <c r="W94" s="225"/>
    </row>
    <row r="95" spans="1:24" s="224" customFormat="1">
      <c r="A95" s="198"/>
      <c r="B95" s="224" t="s">
        <v>482</v>
      </c>
      <c r="F95" s="224" t="s">
        <v>208</v>
      </c>
      <c r="L95" s="225"/>
      <c r="M95" s="225"/>
      <c r="U95" s="194">
        <f>U86</f>
        <v>40840796.966815025</v>
      </c>
      <c r="W95" s="225"/>
    </row>
    <row r="96" spans="1:24" s="224" customFormat="1">
      <c r="A96" s="198"/>
      <c r="B96" s="224" t="s">
        <v>328</v>
      </c>
      <c r="F96" s="224" t="s">
        <v>208</v>
      </c>
      <c r="L96" s="225"/>
      <c r="M96" s="225"/>
      <c r="U96" s="222">
        <f>U93+U94+U95</f>
        <v>250240907.38494936</v>
      </c>
      <c r="W96" s="225"/>
      <c r="X96" s="224" t="s">
        <v>496</v>
      </c>
    </row>
    <row r="97" spans="1:24" s="224" customFormat="1">
      <c r="A97" s="198"/>
      <c r="L97" s="225"/>
      <c r="M97" s="225"/>
      <c r="W97" s="225"/>
    </row>
    <row r="98" spans="1:24" s="190" customFormat="1">
      <c r="B98" s="190" t="s">
        <v>506</v>
      </c>
    </row>
    <row r="99" spans="1:24" s="225" customFormat="1"/>
    <row r="100" spans="1:24" s="225" customFormat="1">
      <c r="A100" s="198"/>
      <c r="B100" s="225" t="s">
        <v>472</v>
      </c>
      <c r="F100" s="225" t="s">
        <v>208</v>
      </c>
      <c r="U100" s="194">
        <f>U69</f>
        <v>7551051.0554077588</v>
      </c>
      <c r="X100" s="216"/>
    </row>
    <row r="101" spans="1:24" s="225" customFormat="1">
      <c r="A101" s="198"/>
      <c r="B101" s="225" t="s">
        <v>491</v>
      </c>
      <c r="F101" s="225" t="s">
        <v>208</v>
      </c>
      <c r="U101" s="194">
        <f>U81</f>
        <v>1723434.9685546146</v>
      </c>
    </row>
    <row r="102" spans="1:24" s="225" customFormat="1">
      <c r="A102" s="198"/>
      <c r="B102" s="225" t="s">
        <v>478</v>
      </c>
      <c r="F102" s="225" t="s">
        <v>208</v>
      </c>
      <c r="U102" s="194">
        <f>U89</f>
        <v>1218725.187909347</v>
      </c>
    </row>
    <row r="103" spans="1:24" s="225" customFormat="1">
      <c r="A103" s="198"/>
      <c r="B103" s="225" t="s">
        <v>501</v>
      </c>
      <c r="F103" s="225" t="s">
        <v>208</v>
      </c>
      <c r="U103" s="222">
        <f>U100+U101+U102</f>
        <v>10493211.211871721</v>
      </c>
    </row>
    <row r="104" spans="1:24" s="225" customFormat="1">
      <c r="A104" s="198"/>
    </row>
  </sheetData>
  <mergeCells count="1">
    <mergeCell ref="B4:E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Y158"/>
  <sheetViews>
    <sheetView showGridLines="0" zoomScale="85" zoomScaleNormal="85" workbookViewId="0">
      <pane xSplit="6" ySplit="14" topLeftCell="G15" activePane="bottomRight" state="frozen"/>
      <selection pane="topRight"/>
      <selection pane="bottomLeft"/>
      <selection pane="bottomRight"/>
    </sheetView>
  </sheetViews>
  <sheetFormatPr defaultColWidth="9.140625" defaultRowHeight="12.75"/>
  <cols>
    <col min="1" max="1" width="4" style="220" customWidth="1"/>
    <col min="2" max="2" width="62.140625" style="220" customWidth="1"/>
    <col min="3" max="5" width="4.5703125" style="220" customWidth="1"/>
    <col min="6" max="6" width="16.7109375" style="220" customWidth="1"/>
    <col min="7" max="7" width="2.7109375" style="220" customWidth="1"/>
    <col min="8" max="8" width="13.7109375" style="220" customWidth="1"/>
    <col min="9" max="9" width="2.7109375" style="220" customWidth="1"/>
    <col min="10" max="10" width="12.5703125" style="220" customWidth="1"/>
    <col min="11" max="11" width="2.7109375" style="220" customWidth="1"/>
    <col min="12" max="22" width="12.5703125" style="220" customWidth="1"/>
    <col min="23" max="23" width="2.7109375" style="220" customWidth="1"/>
    <col min="24" max="38" width="13.7109375" style="220" customWidth="1"/>
    <col min="39" max="16384" width="9.140625" style="220"/>
  </cols>
  <sheetData>
    <row r="1" spans="1:25">
      <c r="A1" s="198"/>
    </row>
    <row r="2" spans="1:25" s="20" customFormat="1" ht="18">
      <c r="B2" s="20" t="s">
        <v>606</v>
      </c>
    </row>
    <row r="3" spans="1:25">
      <c r="A3" s="198"/>
    </row>
    <row r="4" spans="1:25">
      <c r="A4" s="198"/>
      <c r="B4" s="187" t="s">
        <v>57</v>
      </c>
      <c r="C4" s="187"/>
      <c r="D4" s="187"/>
    </row>
    <row r="5" spans="1:25" ht="12.75" customHeight="1">
      <c r="A5" s="198"/>
      <c r="B5" s="272" t="s">
        <v>718</v>
      </c>
      <c r="C5" s="272"/>
      <c r="D5" s="272"/>
      <c r="E5" s="272"/>
      <c r="F5" s="272"/>
      <c r="G5" s="272"/>
      <c r="H5" s="272"/>
      <c r="I5" s="272"/>
      <c r="J5" s="272"/>
      <c r="K5" s="272"/>
      <c r="L5" s="272"/>
      <c r="M5" s="272"/>
      <c r="N5" s="272"/>
      <c r="O5" s="272"/>
      <c r="P5" s="272"/>
    </row>
    <row r="6" spans="1:25">
      <c r="A6" s="198"/>
      <c r="B6" s="272"/>
      <c r="C6" s="272"/>
      <c r="D6" s="272"/>
      <c r="E6" s="272"/>
      <c r="F6" s="272"/>
      <c r="G6" s="272"/>
      <c r="H6" s="272"/>
      <c r="I6" s="272"/>
      <c r="J6" s="272"/>
      <c r="K6" s="272"/>
      <c r="L6" s="272"/>
      <c r="M6" s="272"/>
      <c r="N6" s="272"/>
      <c r="O6" s="272"/>
      <c r="P6" s="272"/>
    </row>
    <row r="7" spans="1:25">
      <c r="A7" s="198"/>
      <c r="B7" s="272"/>
      <c r="C7" s="272"/>
      <c r="D7" s="272"/>
      <c r="E7" s="272"/>
      <c r="F7" s="272"/>
      <c r="G7" s="272"/>
      <c r="H7" s="272"/>
      <c r="I7" s="272"/>
      <c r="J7" s="272"/>
      <c r="K7" s="272"/>
      <c r="L7" s="272"/>
      <c r="M7" s="272"/>
      <c r="N7" s="272"/>
      <c r="O7" s="272"/>
      <c r="P7" s="272"/>
    </row>
    <row r="8" spans="1:25">
      <c r="A8" s="198"/>
      <c r="B8" s="272"/>
      <c r="C8" s="272"/>
      <c r="D8" s="272"/>
      <c r="E8" s="272"/>
      <c r="F8" s="272"/>
      <c r="G8" s="272"/>
      <c r="H8" s="272"/>
      <c r="I8" s="272"/>
      <c r="J8" s="272"/>
      <c r="K8" s="272"/>
      <c r="L8" s="272"/>
      <c r="M8" s="272"/>
      <c r="N8" s="272"/>
      <c r="O8" s="272"/>
      <c r="P8" s="272"/>
    </row>
    <row r="9" spans="1:25">
      <c r="A9" s="198"/>
      <c r="B9" s="272"/>
      <c r="C9" s="272"/>
      <c r="D9" s="272"/>
      <c r="E9" s="272"/>
      <c r="F9" s="272"/>
      <c r="G9" s="272"/>
      <c r="H9" s="272"/>
      <c r="I9" s="272"/>
      <c r="J9" s="272"/>
      <c r="K9" s="272"/>
      <c r="L9" s="272"/>
      <c r="M9" s="272"/>
      <c r="N9" s="272"/>
      <c r="O9" s="272"/>
      <c r="P9" s="272"/>
    </row>
    <row r="10" spans="1:25">
      <c r="A10" s="198"/>
      <c r="B10" s="272"/>
      <c r="C10" s="272"/>
      <c r="D10" s="272"/>
      <c r="E10" s="272"/>
      <c r="F10" s="272"/>
      <c r="G10" s="272"/>
      <c r="H10" s="272"/>
      <c r="I10" s="272"/>
      <c r="J10" s="272"/>
      <c r="K10" s="272"/>
      <c r="L10" s="272"/>
      <c r="M10" s="272"/>
      <c r="N10" s="272"/>
      <c r="O10" s="272"/>
      <c r="P10" s="272"/>
    </row>
    <row r="11" spans="1:25">
      <c r="A11" s="198"/>
      <c r="B11" s="272"/>
      <c r="C11" s="272"/>
      <c r="D11" s="272"/>
      <c r="E11" s="272"/>
      <c r="F11" s="272"/>
      <c r="G11" s="272"/>
      <c r="H11" s="272"/>
      <c r="I11" s="272"/>
      <c r="J11" s="272"/>
      <c r="K11" s="272"/>
      <c r="L11" s="272"/>
      <c r="M11" s="272"/>
      <c r="N11" s="272"/>
      <c r="O11" s="272"/>
      <c r="P11" s="272"/>
    </row>
    <row r="13" spans="1:25" s="190" customFormat="1">
      <c r="B13" s="190" t="s">
        <v>45</v>
      </c>
      <c r="F13" s="190" t="s">
        <v>27</v>
      </c>
      <c r="H13" s="190" t="s">
        <v>28</v>
      </c>
      <c r="J13" s="190" t="s">
        <v>49</v>
      </c>
      <c r="L13" s="73">
        <v>2011</v>
      </c>
      <c r="M13" s="73">
        <v>2012</v>
      </c>
      <c r="N13" s="73">
        <v>2013</v>
      </c>
      <c r="O13" s="73">
        <v>2014</v>
      </c>
      <c r="P13" s="73">
        <v>2015</v>
      </c>
      <c r="Q13" s="73">
        <v>2016</v>
      </c>
      <c r="R13" s="73">
        <v>2017</v>
      </c>
      <c r="S13" s="73">
        <v>2018</v>
      </c>
      <c r="T13" s="73">
        <v>2019</v>
      </c>
      <c r="U13" s="73">
        <v>2020</v>
      </c>
      <c r="V13" s="73">
        <v>2021</v>
      </c>
      <c r="X13" s="190" t="s">
        <v>47</v>
      </c>
      <c r="Y13" s="35"/>
    </row>
    <row r="16" spans="1:25" s="190" customFormat="1">
      <c r="B16" s="190" t="s">
        <v>48</v>
      </c>
    </row>
    <row r="17" spans="1:24">
      <c r="A17" s="198"/>
    </row>
    <row r="18" spans="1:24">
      <c r="A18" s="198"/>
      <c r="B18" s="187" t="s">
        <v>161</v>
      </c>
    </row>
    <row r="19" spans="1:24">
      <c r="A19" s="198"/>
      <c r="B19" s="220" t="s">
        <v>162</v>
      </c>
      <c r="F19" s="220" t="s">
        <v>63</v>
      </c>
      <c r="N19" s="92">
        <f>'Tab 12_Berekening parameters'!N17</f>
        <v>2.3E-2</v>
      </c>
      <c r="O19" s="92">
        <f>'Tab 12_Berekening parameters'!O17</f>
        <v>2.8000000000000001E-2</v>
      </c>
      <c r="P19" s="92">
        <f>'Tab 12_Berekening parameters'!P17</f>
        <v>0.01</v>
      </c>
      <c r="Q19" s="92">
        <f>'Tab 12_Berekening parameters'!Q17</f>
        <v>8.0000000000000002E-3</v>
      </c>
      <c r="R19" s="92">
        <f>'Tab 12_Berekening parameters'!R17</f>
        <v>2E-3</v>
      </c>
      <c r="S19" s="92">
        <f>'Tab 12_Berekening parameters'!S17</f>
        <v>1.4E-2</v>
      </c>
      <c r="T19" s="92">
        <f>'Tab 12_Berekening parameters'!T17</f>
        <v>2.1000000000000001E-2</v>
      </c>
      <c r="U19" s="92">
        <f>'Tab 12_Berekening parameters'!U17</f>
        <v>2.8000000000000001E-2</v>
      </c>
      <c r="V19" s="92">
        <f>'Tab 12_Berekening parameters'!V17</f>
        <v>1.2E-2</v>
      </c>
      <c r="X19" s="216"/>
    </row>
    <row r="20" spans="1:24">
      <c r="A20" s="198"/>
    </row>
    <row r="21" spans="1:24">
      <c r="A21" s="248"/>
      <c r="B21" s="220" t="s">
        <v>443</v>
      </c>
      <c r="F21" s="220" t="s">
        <v>63</v>
      </c>
      <c r="H21" s="92">
        <f>'Tab 12_Berekening parameters'!Q37</f>
        <v>4.6586240000000112E-2</v>
      </c>
    </row>
    <row r="22" spans="1:24">
      <c r="A22" s="248"/>
      <c r="B22" s="220" t="s">
        <v>444</v>
      </c>
      <c r="F22" s="225" t="s">
        <v>63</v>
      </c>
      <c r="H22" s="92">
        <f>'Tab 12_Berekening parameters'!Q38</f>
        <v>1.8080000000000096E-2</v>
      </c>
    </row>
    <row r="23" spans="1:24">
      <c r="A23" s="248"/>
      <c r="B23" s="220" t="s">
        <v>445</v>
      </c>
      <c r="F23" s="225" t="s">
        <v>63</v>
      </c>
      <c r="H23" s="92">
        <f>'Tab 12_Berekening parameters'!Q39</f>
        <v>8.0000000000000002E-3</v>
      </c>
    </row>
    <row r="24" spans="1:24">
      <c r="A24" s="248"/>
      <c r="B24" s="220" t="s">
        <v>446</v>
      </c>
      <c r="F24" s="225" t="s">
        <v>63</v>
      </c>
      <c r="H24" s="92">
        <f>'Tab 12_Berekening parameters'!R39</f>
        <v>1.0016000000000025E-2</v>
      </c>
    </row>
    <row r="25" spans="1:24">
      <c r="A25" s="248"/>
      <c r="B25" s="220" t="s">
        <v>457</v>
      </c>
      <c r="F25" s="225" t="s">
        <v>63</v>
      </c>
      <c r="H25" s="92">
        <f>'Tab 12_Berekening parameters'!S40</f>
        <v>1.6027999999999931E-2</v>
      </c>
    </row>
    <row r="26" spans="1:24">
      <c r="A26" s="198"/>
    </row>
    <row r="27" spans="1:24" s="225" customFormat="1">
      <c r="A27" s="198"/>
      <c r="B27" s="187" t="s">
        <v>70</v>
      </c>
    </row>
    <row r="28" spans="1:24">
      <c r="A28" s="198"/>
      <c r="B28" s="220" t="s">
        <v>388</v>
      </c>
      <c r="F28" s="220" t="s">
        <v>63</v>
      </c>
      <c r="H28" s="104">
        <f>'Tab 12_Berekening parameters'!U58</f>
        <v>0.12486400000000009</v>
      </c>
    </row>
    <row r="29" spans="1:24">
      <c r="A29" s="198"/>
      <c r="B29" s="220" t="s">
        <v>375</v>
      </c>
      <c r="F29" s="220" t="s">
        <v>63</v>
      </c>
      <c r="H29" s="104">
        <f>'Tab 12_Berekening parameters'!U59</f>
        <v>8.1600000000000117E-2</v>
      </c>
    </row>
    <row r="30" spans="1:24">
      <c r="A30" s="198"/>
    </row>
    <row r="31" spans="1:24" s="225" customFormat="1">
      <c r="A31" s="198"/>
      <c r="B31" s="187" t="s">
        <v>76</v>
      </c>
    </row>
    <row r="32" spans="1:24" s="225" customFormat="1">
      <c r="A32" s="198"/>
      <c r="B32" s="39" t="s">
        <v>280</v>
      </c>
      <c r="F32" s="225" t="s">
        <v>63</v>
      </c>
      <c r="H32" s="97">
        <f>'Tab 9_Parameters'!H47</f>
        <v>0.6</v>
      </c>
      <c r="J32" s="216"/>
    </row>
    <row r="33" spans="1:24" s="225" customFormat="1">
      <c r="A33" s="198"/>
    </row>
    <row r="34" spans="1:24">
      <c r="A34" s="198"/>
      <c r="B34" s="187" t="s">
        <v>512</v>
      </c>
    </row>
    <row r="35" spans="1:24">
      <c r="A35" s="198"/>
      <c r="B35" s="220" t="s">
        <v>438</v>
      </c>
      <c r="F35" s="220" t="s">
        <v>208</v>
      </c>
      <c r="N35" s="261" t="s">
        <v>850</v>
      </c>
      <c r="O35" s="261" t="s">
        <v>853</v>
      </c>
      <c r="P35" s="261" t="s">
        <v>856</v>
      </c>
      <c r="R35" s="261" t="s">
        <v>859</v>
      </c>
      <c r="S35" s="261" t="s">
        <v>862</v>
      </c>
    </row>
    <row r="36" spans="1:24">
      <c r="A36" s="198"/>
      <c r="B36" s="220" t="s">
        <v>439</v>
      </c>
      <c r="F36" s="220" t="s">
        <v>208</v>
      </c>
      <c r="N36" s="261" t="s">
        <v>851</v>
      </c>
      <c r="O36" s="261" t="s">
        <v>854</v>
      </c>
      <c r="P36" s="261" t="s">
        <v>857</v>
      </c>
      <c r="R36" s="261" t="s">
        <v>860</v>
      </c>
      <c r="S36" s="261" t="s">
        <v>863</v>
      </c>
    </row>
    <row r="37" spans="1:24">
      <c r="A37" s="198"/>
      <c r="B37" s="220" t="s">
        <v>452</v>
      </c>
      <c r="F37" s="220" t="s">
        <v>208</v>
      </c>
      <c r="N37" s="261" t="s">
        <v>852</v>
      </c>
      <c r="O37" s="261" t="s">
        <v>855</v>
      </c>
      <c r="P37" s="261" t="s">
        <v>858</v>
      </c>
      <c r="R37" s="261" t="s">
        <v>861</v>
      </c>
      <c r="S37" s="261" t="s">
        <v>864</v>
      </c>
    </row>
    <row r="38" spans="1:24">
      <c r="A38" s="198"/>
    </row>
    <row r="39" spans="1:24">
      <c r="A39" s="198"/>
      <c r="B39" s="187" t="s">
        <v>513</v>
      </c>
    </row>
    <row r="40" spans="1:24">
      <c r="A40" s="198"/>
      <c r="B40" s="220" t="s">
        <v>435</v>
      </c>
      <c r="F40" s="220" t="s">
        <v>208</v>
      </c>
      <c r="N40" s="261" t="s">
        <v>865</v>
      </c>
      <c r="O40" s="261" t="s">
        <v>869</v>
      </c>
      <c r="P40" s="261" t="s">
        <v>873</v>
      </c>
      <c r="R40" s="261" t="s">
        <v>877</v>
      </c>
      <c r="S40" s="261" t="s">
        <v>880</v>
      </c>
    </row>
    <row r="41" spans="1:24">
      <c r="A41" s="198"/>
      <c r="B41" s="220" t="s">
        <v>436</v>
      </c>
      <c r="F41" s="220" t="s">
        <v>208</v>
      </c>
      <c r="N41" s="261" t="s">
        <v>866</v>
      </c>
      <c r="O41" s="261" t="s">
        <v>870</v>
      </c>
      <c r="P41" s="261" t="s">
        <v>874</v>
      </c>
      <c r="R41" s="261" t="s">
        <v>878</v>
      </c>
      <c r="S41" s="261" t="s">
        <v>881</v>
      </c>
    </row>
    <row r="42" spans="1:24">
      <c r="A42" s="198"/>
      <c r="B42" s="220" t="s">
        <v>437</v>
      </c>
      <c r="F42" s="220" t="s">
        <v>208</v>
      </c>
      <c r="N42" s="261" t="s">
        <v>867</v>
      </c>
      <c r="O42" s="261" t="s">
        <v>871</v>
      </c>
      <c r="P42" s="261" t="s">
        <v>875</v>
      </c>
      <c r="R42" s="261" t="s">
        <v>879</v>
      </c>
      <c r="S42" s="261" t="s">
        <v>882</v>
      </c>
    </row>
    <row r="43" spans="1:24">
      <c r="A43" s="198"/>
      <c r="B43" s="220" t="s">
        <v>537</v>
      </c>
      <c r="F43" s="220" t="s">
        <v>208</v>
      </c>
      <c r="N43" s="261" t="s">
        <v>868</v>
      </c>
      <c r="O43" s="261" t="s">
        <v>872</v>
      </c>
      <c r="P43" s="262" t="s">
        <v>876</v>
      </c>
      <c r="Q43" s="216"/>
      <c r="X43" s="220" t="s">
        <v>538</v>
      </c>
    </row>
    <row r="44" spans="1:24" s="225" customFormat="1">
      <c r="A44" s="198"/>
    </row>
    <row r="45" spans="1:24">
      <c r="A45" s="198"/>
      <c r="B45" s="187" t="s">
        <v>514</v>
      </c>
    </row>
    <row r="46" spans="1:24">
      <c r="A46" s="198"/>
      <c r="B46" s="220" t="s">
        <v>511</v>
      </c>
      <c r="F46" s="220" t="s">
        <v>208</v>
      </c>
      <c r="P46" s="238"/>
      <c r="Q46" s="238"/>
      <c r="R46" s="261" t="s">
        <v>883</v>
      </c>
      <c r="S46" s="261" t="s">
        <v>887</v>
      </c>
      <c r="X46" s="216"/>
    </row>
    <row r="47" spans="1:24">
      <c r="A47" s="198"/>
      <c r="B47" s="220" t="s">
        <v>440</v>
      </c>
      <c r="F47" s="220" t="s">
        <v>208</v>
      </c>
      <c r="P47" s="238"/>
      <c r="Q47" s="238"/>
      <c r="R47" s="261" t="s">
        <v>884</v>
      </c>
      <c r="S47" s="261" t="s">
        <v>888</v>
      </c>
    </row>
    <row r="48" spans="1:24">
      <c r="A48" s="198"/>
      <c r="B48" s="220" t="s">
        <v>441</v>
      </c>
      <c r="F48" s="220" t="s">
        <v>208</v>
      </c>
      <c r="P48" s="238"/>
      <c r="Q48" s="238"/>
      <c r="R48" s="261" t="s">
        <v>885</v>
      </c>
      <c r="S48" s="261" t="s">
        <v>889</v>
      </c>
    </row>
    <row r="49" spans="1:24">
      <c r="A49" s="198"/>
      <c r="B49" s="220" t="s">
        <v>442</v>
      </c>
      <c r="F49" s="220" t="s">
        <v>208</v>
      </c>
      <c r="P49" s="238"/>
      <c r="Q49" s="238"/>
      <c r="R49" s="261" t="s">
        <v>886</v>
      </c>
      <c r="S49" s="261" t="s">
        <v>890</v>
      </c>
    </row>
    <row r="50" spans="1:24">
      <c r="A50" s="198"/>
    </row>
    <row r="51" spans="1:24" s="225" customFormat="1">
      <c r="A51" s="198"/>
      <c r="B51" s="225" t="s">
        <v>448</v>
      </c>
      <c r="F51" s="225" t="s">
        <v>208</v>
      </c>
      <c r="R51" s="261" t="s">
        <v>891</v>
      </c>
      <c r="S51" s="261" t="s">
        <v>895</v>
      </c>
      <c r="X51" s="225" t="s">
        <v>528</v>
      </c>
    </row>
    <row r="52" spans="1:24" s="225" customFormat="1">
      <c r="A52" s="198"/>
      <c r="B52" s="225" t="s">
        <v>449</v>
      </c>
      <c r="F52" s="225" t="s">
        <v>208</v>
      </c>
      <c r="R52" s="261" t="s">
        <v>892</v>
      </c>
      <c r="S52" s="261" t="s">
        <v>896</v>
      </c>
      <c r="X52" s="225" t="s">
        <v>528</v>
      </c>
    </row>
    <row r="53" spans="1:24" s="225" customFormat="1">
      <c r="A53" s="198"/>
      <c r="B53" s="225" t="s">
        <v>450</v>
      </c>
      <c r="F53" s="225" t="s">
        <v>208</v>
      </c>
      <c r="R53" s="261" t="s">
        <v>893</v>
      </c>
      <c r="S53" s="261" t="s">
        <v>897</v>
      </c>
      <c r="X53" s="225" t="s">
        <v>528</v>
      </c>
    </row>
    <row r="54" spans="1:24" s="225" customFormat="1">
      <c r="A54" s="198"/>
      <c r="B54" s="225" t="s">
        <v>451</v>
      </c>
      <c r="F54" s="225" t="s">
        <v>208</v>
      </c>
      <c r="R54" s="261" t="s">
        <v>894</v>
      </c>
      <c r="S54" s="261" t="s">
        <v>898</v>
      </c>
      <c r="X54" s="225" t="s">
        <v>528</v>
      </c>
    </row>
    <row r="55" spans="1:24" s="225" customFormat="1"/>
    <row r="56" spans="1:24" s="190" customFormat="1">
      <c r="B56" s="190" t="s">
        <v>447</v>
      </c>
    </row>
    <row r="58" spans="1:24" s="225" customFormat="1">
      <c r="A58" s="198"/>
      <c r="B58" s="187" t="s">
        <v>522</v>
      </c>
    </row>
    <row r="59" spans="1:24" s="225" customFormat="1">
      <c r="A59" s="198"/>
      <c r="B59" s="225" t="s">
        <v>515</v>
      </c>
      <c r="F59" s="225" t="s">
        <v>208</v>
      </c>
      <c r="Q59" s="259" t="s">
        <v>832</v>
      </c>
    </row>
    <row r="60" spans="1:24" s="225" customFormat="1">
      <c r="A60" s="198"/>
      <c r="B60" s="225" t="s">
        <v>516</v>
      </c>
      <c r="F60" s="225" t="s">
        <v>208</v>
      </c>
      <c r="Q60" s="259" t="s">
        <v>833</v>
      </c>
    </row>
    <row r="61" spans="1:24" s="225" customFormat="1">
      <c r="A61" s="198"/>
      <c r="B61" s="225" t="s">
        <v>517</v>
      </c>
      <c r="F61" s="225" t="s">
        <v>208</v>
      </c>
      <c r="Q61" s="259" t="s">
        <v>834</v>
      </c>
    </row>
    <row r="62" spans="1:24" s="225" customFormat="1">
      <c r="A62" s="198"/>
    </row>
    <row r="63" spans="1:24" s="225" customFormat="1">
      <c r="A63" s="198"/>
      <c r="B63" s="187" t="s">
        <v>523</v>
      </c>
    </row>
    <row r="64" spans="1:24" s="225" customFormat="1">
      <c r="A64" s="198"/>
      <c r="B64" s="225" t="s">
        <v>518</v>
      </c>
      <c r="F64" s="225" t="s">
        <v>208</v>
      </c>
      <c r="Q64" s="259" t="s">
        <v>835</v>
      </c>
    </row>
    <row r="65" spans="1:24" s="225" customFormat="1">
      <c r="A65" s="198"/>
      <c r="B65" s="225" t="s">
        <v>519</v>
      </c>
      <c r="F65" s="225" t="s">
        <v>208</v>
      </c>
      <c r="Q65" s="259" t="s">
        <v>836</v>
      </c>
    </row>
    <row r="66" spans="1:24" s="225" customFormat="1">
      <c r="A66" s="198"/>
      <c r="B66" s="225" t="s">
        <v>520</v>
      </c>
      <c r="F66" s="225" t="s">
        <v>208</v>
      </c>
      <c r="Q66" s="259" t="s">
        <v>837</v>
      </c>
    </row>
    <row r="67" spans="1:24" s="225" customFormat="1">
      <c r="A67" s="198"/>
    </row>
    <row r="68" spans="1:24">
      <c r="A68" s="198"/>
      <c r="B68" s="221" t="s">
        <v>521</v>
      </c>
    </row>
    <row r="69" spans="1:24">
      <c r="A69" s="198"/>
      <c r="B69" s="220" t="s">
        <v>453</v>
      </c>
      <c r="F69" s="220" t="s">
        <v>208</v>
      </c>
      <c r="Q69" s="225"/>
      <c r="R69" s="259" t="s">
        <v>838</v>
      </c>
      <c r="S69" s="259" t="s">
        <v>841</v>
      </c>
      <c r="T69" s="216"/>
      <c r="X69" s="220" t="s">
        <v>539</v>
      </c>
    </row>
    <row r="70" spans="1:24">
      <c r="A70" s="198"/>
      <c r="B70" s="220" t="s">
        <v>454</v>
      </c>
      <c r="F70" s="220" t="s">
        <v>208</v>
      </c>
      <c r="Q70" s="225"/>
      <c r="R70" s="259" t="s">
        <v>839</v>
      </c>
      <c r="S70" s="259" t="s">
        <v>842</v>
      </c>
      <c r="X70" s="225" t="s">
        <v>539</v>
      </c>
    </row>
    <row r="71" spans="1:24">
      <c r="A71" s="198"/>
      <c r="B71" s="220" t="s">
        <v>463</v>
      </c>
      <c r="F71" s="220" t="s">
        <v>208</v>
      </c>
      <c r="Q71" s="225"/>
      <c r="R71" s="259" t="s">
        <v>840</v>
      </c>
      <c r="S71" s="259" t="s">
        <v>843</v>
      </c>
      <c r="X71" s="225" t="s">
        <v>539</v>
      </c>
    </row>
    <row r="72" spans="1:24">
      <c r="A72" s="198"/>
      <c r="Q72" s="225"/>
      <c r="R72" s="225"/>
      <c r="S72" s="225"/>
    </row>
    <row r="73" spans="1:24">
      <c r="A73" s="198"/>
      <c r="B73" s="187" t="s">
        <v>524</v>
      </c>
      <c r="Q73" s="225"/>
      <c r="R73" s="225"/>
      <c r="S73" s="225"/>
    </row>
    <row r="74" spans="1:24">
      <c r="A74" s="198"/>
      <c r="B74" s="220" t="s">
        <v>455</v>
      </c>
      <c r="F74" s="220" t="s">
        <v>208</v>
      </c>
      <c r="Q74" s="225"/>
      <c r="R74" s="259" t="s">
        <v>844</v>
      </c>
      <c r="S74" s="259" t="s">
        <v>847</v>
      </c>
      <c r="T74" s="216"/>
      <c r="X74" s="220" t="s">
        <v>539</v>
      </c>
    </row>
    <row r="75" spans="1:24">
      <c r="A75" s="198"/>
      <c r="B75" s="220" t="s">
        <v>456</v>
      </c>
      <c r="F75" s="220" t="s">
        <v>208</v>
      </c>
      <c r="Q75" s="225"/>
      <c r="R75" s="259" t="s">
        <v>845</v>
      </c>
      <c r="S75" s="259" t="s">
        <v>848</v>
      </c>
      <c r="X75" s="225" t="s">
        <v>539</v>
      </c>
    </row>
    <row r="76" spans="1:24">
      <c r="A76" s="198"/>
      <c r="B76" s="220" t="s">
        <v>464</v>
      </c>
      <c r="F76" s="220" t="s">
        <v>208</v>
      </c>
      <c r="Q76" s="225"/>
      <c r="R76" s="259" t="s">
        <v>846</v>
      </c>
      <c r="S76" s="259" t="s">
        <v>849</v>
      </c>
      <c r="X76" s="225" t="s">
        <v>539</v>
      </c>
    </row>
    <row r="77" spans="1:24">
      <c r="A77" s="198"/>
    </row>
    <row r="78" spans="1:24" s="190" customFormat="1">
      <c r="B78" s="190" t="s">
        <v>502</v>
      </c>
    </row>
    <row r="79" spans="1:24">
      <c r="A79" s="198"/>
    </row>
    <row r="80" spans="1:24">
      <c r="A80" s="198"/>
      <c r="B80" s="187" t="s">
        <v>615</v>
      </c>
    </row>
    <row r="81" spans="1:19">
      <c r="A81" s="198"/>
      <c r="B81" s="215" t="s">
        <v>458</v>
      </c>
      <c r="F81" s="220" t="s">
        <v>208</v>
      </c>
      <c r="R81" s="259" t="s">
        <v>802</v>
      </c>
      <c r="S81" s="259" t="s">
        <v>807</v>
      </c>
    </row>
    <row r="82" spans="1:19">
      <c r="A82" s="198"/>
      <c r="B82" s="215" t="s">
        <v>459</v>
      </c>
      <c r="F82" s="220" t="s">
        <v>208</v>
      </c>
      <c r="R82" s="259" t="s">
        <v>803</v>
      </c>
      <c r="S82" s="259" t="s">
        <v>808</v>
      </c>
    </row>
    <row r="83" spans="1:19">
      <c r="A83" s="198"/>
      <c r="B83" s="215" t="s">
        <v>460</v>
      </c>
      <c r="F83" s="220" t="s">
        <v>208</v>
      </c>
      <c r="R83" s="259" t="s">
        <v>804</v>
      </c>
      <c r="S83" s="259" t="s">
        <v>809</v>
      </c>
    </row>
    <row r="84" spans="1:19">
      <c r="A84" s="198"/>
      <c r="B84" s="215" t="s">
        <v>461</v>
      </c>
      <c r="F84" s="220" t="s">
        <v>208</v>
      </c>
      <c r="R84" s="259" t="s">
        <v>805</v>
      </c>
      <c r="S84" s="259" t="s">
        <v>810</v>
      </c>
    </row>
    <row r="85" spans="1:19">
      <c r="A85" s="198"/>
      <c r="B85" s="215" t="s">
        <v>462</v>
      </c>
      <c r="F85" s="220" t="s">
        <v>208</v>
      </c>
      <c r="R85" s="259" t="s">
        <v>806</v>
      </c>
      <c r="S85" s="259" t="s">
        <v>811</v>
      </c>
    </row>
    <row r="86" spans="1:19">
      <c r="A86" s="198"/>
      <c r="B86" s="215"/>
    </row>
    <row r="87" spans="1:19">
      <c r="A87" s="198"/>
      <c r="B87" s="187" t="s">
        <v>616</v>
      </c>
    </row>
    <row r="88" spans="1:19">
      <c r="A88" s="198"/>
      <c r="B88" s="215" t="s">
        <v>458</v>
      </c>
      <c r="F88" s="220" t="s">
        <v>208</v>
      </c>
      <c r="R88" s="259" t="s">
        <v>812</v>
      </c>
      <c r="S88" s="259" t="s">
        <v>817</v>
      </c>
    </row>
    <row r="89" spans="1:19">
      <c r="A89" s="198"/>
      <c r="B89" s="215" t="s">
        <v>459</v>
      </c>
      <c r="F89" s="220" t="s">
        <v>208</v>
      </c>
      <c r="R89" s="259" t="s">
        <v>813</v>
      </c>
      <c r="S89" s="259" t="s">
        <v>818</v>
      </c>
    </row>
    <row r="90" spans="1:19">
      <c r="A90" s="198"/>
      <c r="B90" s="215" t="s">
        <v>460</v>
      </c>
      <c r="F90" s="220" t="s">
        <v>208</v>
      </c>
      <c r="R90" s="259" t="s">
        <v>814</v>
      </c>
      <c r="S90" s="259" t="s">
        <v>819</v>
      </c>
    </row>
    <row r="91" spans="1:19">
      <c r="A91" s="198"/>
      <c r="B91" s="215" t="s">
        <v>461</v>
      </c>
      <c r="F91" s="220" t="s">
        <v>208</v>
      </c>
      <c r="R91" s="259" t="s">
        <v>815</v>
      </c>
      <c r="S91" s="259" t="s">
        <v>820</v>
      </c>
    </row>
    <row r="92" spans="1:19">
      <c r="A92" s="198"/>
      <c r="B92" s="215" t="s">
        <v>462</v>
      </c>
      <c r="F92" s="220" t="s">
        <v>208</v>
      </c>
      <c r="R92" s="259" t="s">
        <v>816</v>
      </c>
      <c r="S92" s="259" t="s">
        <v>821</v>
      </c>
    </row>
    <row r="93" spans="1:19">
      <c r="A93" s="198"/>
      <c r="B93" s="215"/>
    </row>
    <row r="94" spans="1:19">
      <c r="A94" s="198"/>
      <c r="B94" s="187" t="s">
        <v>617</v>
      </c>
    </row>
    <row r="95" spans="1:19">
      <c r="A95" s="198"/>
      <c r="B95" s="215" t="s">
        <v>458</v>
      </c>
      <c r="F95" s="220" t="s">
        <v>208</v>
      </c>
      <c r="R95" s="259" t="s">
        <v>822</v>
      </c>
      <c r="S95" s="259" t="s">
        <v>827</v>
      </c>
    </row>
    <row r="96" spans="1:19">
      <c r="A96" s="198"/>
      <c r="B96" s="215" t="s">
        <v>459</v>
      </c>
      <c r="F96" s="220" t="s">
        <v>208</v>
      </c>
      <c r="R96" s="259" t="s">
        <v>823</v>
      </c>
      <c r="S96" s="259" t="s">
        <v>828</v>
      </c>
    </row>
    <row r="97" spans="1:24">
      <c r="A97" s="198"/>
      <c r="B97" s="215" t="s">
        <v>460</v>
      </c>
      <c r="F97" s="220" t="s">
        <v>208</v>
      </c>
      <c r="R97" s="259" t="s">
        <v>824</v>
      </c>
      <c r="S97" s="259" t="s">
        <v>829</v>
      </c>
    </row>
    <row r="98" spans="1:24">
      <c r="A98" s="198"/>
      <c r="B98" s="215" t="s">
        <v>461</v>
      </c>
      <c r="F98" s="220" t="s">
        <v>208</v>
      </c>
      <c r="R98" s="259" t="s">
        <v>825</v>
      </c>
      <c r="S98" s="259" t="s">
        <v>830</v>
      </c>
    </row>
    <row r="99" spans="1:24">
      <c r="A99" s="198"/>
      <c r="B99" s="215" t="s">
        <v>462</v>
      </c>
      <c r="F99" s="220" t="s">
        <v>208</v>
      </c>
      <c r="R99" s="259" t="s">
        <v>826</v>
      </c>
      <c r="S99" s="259" t="s">
        <v>831</v>
      </c>
    </row>
    <row r="100" spans="1:24">
      <c r="A100" s="198"/>
      <c r="B100" s="215"/>
    </row>
    <row r="101" spans="1:24">
      <c r="A101" s="198"/>
      <c r="B101" s="187" t="s">
        <v>618</v>
      </c>
      <c r="F101" s="220" t="s">
        <v>208</v>
      </c>
      <c r="R101" s="46">
        <v>7101896.2701699128</v>
      </c>
      <c r="S101" s="46">
        <v>16796463.796946067</v>
      </c>
    </row>
    <row r="102" spans="1:24">
      <c r="A102" s="198"/>
      <c r="B102" s="187" t="s">
        <v>525</v>
      </c>
      <c r="F102" s="220" t="s">
        <v>208</v>
      </c>
      <c r="U102" s="222">
        <f>R101*(1+H28)+S101*(1+H29)</f>
        <v>26155722.688825276</v>
      </c>
      <c r="X102" s="216"/>
    </row>
    <row r="103" spans="1:24">
      <c r="A103" s="198"/>
      <c r="B103" s="215"/>
    </row>
    <row r="104" spans="1:24">
      <c r="A104" s="198"/>
      <c r="B104" s="187" t="s">
        <v>619</v>
      </c>
    </row>
    <row r="105" spans="1:24">
      <c r="A105" s="198"/>
      <c r="B105" s="215" t="s">
        <v>458</v>
      </c>
      <c r="F105" s="220" t="s">
        <v>208</v>
      </c>
      <c r="R105" s="259" t="s">
        <v>772</v>
      </c>
      <c r="S105" s="259" t="s">
        <v>777</v>
      </c>
      <c r="X105" s="216"/>
    </row>
    <row r="106" spans="1:24">
      <c r="A106" s="198"/>
      <c r="B106" s="215" t="s">
        <v>459</v>
      </c>
      <c r="F106" s="220" t="s">
        <v>208</v>
      </c>
      <c r="R106" s="259" t="s">
        <v>773</v>
      </c>
      <c r="S106" s="259" t="s">
        <v>778</v>
      </c>
    </row>
    <row r="107" spans="1:24">
      <c r="A107" s="198"/>
      <c r="B107" s="215" t="s">
        <v>460</v>
      </c>
      <c r="F107" s="220" t="s">
        <v>208</v>
      </c>
      <c r="R107" s="259" t="s">
        <v>774</v>
      </c>
      <c r="S107" s="259" t="s">
        <v>779</v>
      </c>
    </row>
    <row r="108" spans="1:24">
      <c r="A108" s="198"/>
      <c r="B108" s="215" t="s">
        <v>461</v>
      </c>
      <c r="F108" s="220" t="s">
        <v>208</v>
      </c>
      <c r="R108" s="259" t="s">
        <v>775</v>
      </c>
      <c r="S108" s="259" t="s">
        <v>780</v>
      </c>
    </row>
    <row r="109" spans="1:24">
      <c r="A109" s="198"/>
      <c r="B109" s="215" t="s">
        <v>462</v>
      </c>
      <c r="F109" s="220" t="s">
        <v>208</v>
      </c>
      <c r="R109" s="259" t="s">
        <v>776</v>
      </c>
      <c r="S109" s="259" t="s">
        <v>781</v>
      </c>
    </row>
    <row r="110" spans="1:24">
      <c r="A110" s="198"/>
      <c r="B110" s="215"/>
    </row>
    <row r="111" spans="1:24">
      <c r="A111" s="198"/>
      <c r="B111" s="187" t="s">
        <v>620</v>
      </c>
    </row>
    <row r="112" spans="1:24">
      <c r="A112" s="198"/>
      <c r="B112" s="215" t="s">
        <v>458</v>
      </c>
      <c r="F112" s="220" t="s">
        <v>208</v>
      </c>
      <c r="R112" s="259" t="s">
        <v>782</v>
      </c>
      <c r="S112" s="259" t="s">
        <v>787</v>
      </c>
    </row>
    <row r="113" spans="1:24">
      <c r="A113" s="198"/>
      <c r="B113" s="215" t="s">
        <v>459</v>
      </c>
      <c r="F113" s="220" t="s">
        <v>208</v>
      </c>
      <c r="R113" s="259" t="s">
        <v>783</v>
      </c>
      <c r="S113" s="259" t="s">
        <v>788</v>
      </c>
    </row>
    <row r="114" spans="1:24">
      <c r="A114" s="198"/>
      <c r="B114" s="215" t="s">
        <v>460</v>
      </c>
      <c r="F114" s="220" t="s">
        <v>208</v>
      </c>
      <c r="R114" s="259" t="s">
        <v>784</v>
      </c>
      <c r="S114" s="259" t="s">
        <v>789</v>
      </c>
    </row>
    <row r="115" spans="1:24">
      <c r="A115" s="198"/>
      <c r="B115" s="215" t="s">
        <v>461</v>
      </c>
      <c r="F115" s="220" t="s">
        <v>208</v>
      </c>
      <c r="R115" s="259" t="s">
        <v>785</v>
      </c>
      <c r="S115" s="259" t="s">
        <v>790</v>
      </c>
    </row>
    <row r="116" spans="1:24">
      <c r="A116" s="198"/>
      <c r="B116" s="215" t="s">
        <v>462</v>
      </c>
      <c r="F116" s="220" t="s">
        <v>208</v>
      </c>
      <c r="R116" s="259" t="s">
        <v>786</v>
      </c>
      <c r="S116" s="259" t="s">
        <v>791</v>
      </c>
    </row>
    <row r="117" spans="1:24">
      <c r="A117" s="198"/>
      <c r="B117" s="215"/>
    </row>
    <row r="118" spans="1:24">
      <c r="A118" s="198"/>
      <c r="B118" s="187" t="s">
        <v>621</v>
      </c>
    </row>
    <row r="119" spans="1:24">
      <c r="A119" s="198"/>
      <c r="B119" s="215" t="s">
        <v>458</v>
      </c>
      <c r="F119" s="220" t="s">
        <v>208</v>
      </c>
      <c r="R119" s="259" t="s">
        <v>792</v>
      </c>
      <c r="S119" s="259" t="s">
        <v>797</v>
      </c>
    </row>
    <row r="120" spans="1:24">
      <c r="A120" s="198"/>
      <c r="B120" s="215" t="s">
        <v>459</v>
      </c>
      <c r="F120" s="220" t="s">
        <v>208</v>
      </c>
      <c r="R120" s="259" t="s">
        <v>793</v>
      </c>
      <c r="S120" s="259" t="s">
        <v>798</v>
      </c>
    </row>
    <row r="121" spans="1:24">
      <c r="A121" s="198"/>
      <c r="B121" s="215" t="s">
        <v>460</v>
      </c>
      <c r="F121" s="220" t="s">
        <v>208</v>
      </c>
      <c r="R121" s="259" t="s">
        <v>794</v>
      </c>
      <c r="S121" s="259" t="s">
        <v>799</v>
      </c>
    </row>
    <row r="122" spans="1:24">
      <c r="A122" s="198"/>
      <c r="B122" s="215" t="s">
        <v>461</v>
      </c>
      <c r="F122" s="220" t="s">
        <v>208</v>
      </c>
      <c r="R122" s="259" t="s">
        <v>795</v>
      </c>
      <c r="S122" s="259" t="s">
        <v>800</v>
      </c>
    </row>
    <row r="123" spans="1:24">
      <c r="A123" s="198"/>
      <c r="B123" s="215" t="s">
        <v>462</v>
      </c>
      <c r="F123" s="220" t="s">
        <v>208</v>
      </c>
      <c r="R123" s="259" t="s">
        <v>796</v>
      </c>
      <c r="S123" s="259" t="s">
        <v>801</v>
      </c>
    </row>
    <row r="124" spans="1:24">
      <c r="A124" s="198"/>
      <c r="B124" s="215"/>
    </row>
    <row r="125" spans="1:24">
      <c r="A125" s="198"/>
      <c r="B125" s="187" t="s">
        <v>622</v>
      </c>
      <c r="F125" s="220" t="s">
        <v>208</v>
      </c>
      <c r="R125" s="46">
        <v>-8231382.5286420323</v>
      </c>
      <c r="S125" s="46">
        <v>-6878076.9840532392</v>
      </c>
    </row>
    <row r="126" spans="1:24">
      <c r="A126" s="198"/>
      <c r="B126" s="187" t="s">
        <v>526</v>
      </c>
      <c r="F126" s="220" t="s">
        <v>208</v>
      </c>
      <c r="U126" s="222">
        <f>R125*(1+H28)+S125*(1+H29)</f>
        <v>-16698513.942650376</v>
      </c>
      <c r="X126" s="216"/>
    </row>
    <row r="127" spans="1:24">
      <c r="A127" s="198"/>
      <c r="B127" s="215"/>
    </row>
    <row r="128" spans="1:24">
      <c r="A128" s="198"/>
      <c r="B128" s="187" t="s">
        <v>623</v>
      </c>
      <c r="X128" s="216"/>
    </row>
    <row r="129" spans="1:19">
      <c r="A129" s="198"/>
      <c r="B129" s="215" t="s">
        <v>458</v>
      </c>
      <c r="F129" s="220" t="s">
        <v>208</v>
      </c>
      <c r="R129" s="259" t="s">
        <v>732</v>
      </c>
      <c r="S129" s="259" t="s">
        <v>737</v>
      </c>
    </row>
    <row r="130" spans="1:19">
      <c r="A130" s="198"/>
      <c r="B130" s="215" t="s">
        <v>459</v>
      </c>
      <c r="F130" s="220" t="s">
        <v>208</v>
      </c>
      <c r="R130" s="259" t="s">
        <v>733</v>
      </c>
      <c r="S130" s="259" t="s">
        <v>738</v>
      </c>
    </row>
    <row r="131" spans="1:19">
      <c r="A131" s="198"/>
      <c r="B131" s="215" t="s">
        <v>460</v>
      </c>
      <c r="F131" s="220" t="s">
        <v>208</v>
      </c>
      <c r="R131" s="259" t="s">
        <v>734</v>
      </c>
      <c r="S131" s="259" t="s">
        <v>739</v>
      </c>
    </row>
    <row r="132" spans="1:19">
      <c r="A132" s="198"/>
      <c r="B132" s="215" t="s">
        <v>461</v>
      </c>
      <c r="F132" s="220" t="s">
        <v>208</v>
      </c>
      <c r="R132" s="259" t="s">
        <v>735</v>
      </c>
      <c r="S132" s="259" t="s">
        <v>740</v>
      </c>
    </row>
    <row r="133" spans="1:19">
      <c r="A133" s="198"/>
      <c r="B133" s="215" t="s">
        <v>462</v>
      </c>
      <c r="F133" s="220" t="s">
        <v>208</v>
      </c>
      <c r="R133" s="259" t="s">
        <v>736</v>
      </c>
      <c r="S133" s="259" t="s">
        <v>741</v>
      </c>
    </row>
    <row r="134" spans="1:19">
      <c r="A134" s="198"/>
      <c r="B134" s="215"/>
    </row>
    <row r="135" spans="1:19">
      <c r="A135" s="198"/>
      <c r="B135" s="187" t="s">
        <v>624</v>
      </c>
    </row>
    <row r="136" spans="1:19">
      <c r="A136" s="198"/>
      <c r="B136" s="215" t="s">
        <v>458</v>
      </c>
      <c r="F136" s="220" t="s">
        <v>208</v>
      </c>
      <c r="R136" s="259" t="s">
        <v>742</v>
      </c>
      <c r="S136" s="259" t="s">
        <v>747</v>
      </c>
    </row>
    <row r="137" spans="1:19">
      <c r="A137" s="198"/>
      <c r="B137" s="215" t="s">
        <v>459</v>
      </c>
      <c r="F137" s="220" t="s">
        <v>208</v>
      </c>
      <c r="R137" s="259" t="s">
        <v>743</v>
      </c>
      <c r="S137" s="259" t="s">
        <v>748</v>
      </c>
    </row>
    <row r="138" spans="1:19">
      <c r="A138" s="198"/>
      <c r="B138" s="215" t="s">
        <v>460</v>
      </c>
      <c r="F138" s="220" t="s">
        <v>208</v>
      </c>
      <c r="R138" s="259" t="s">
        <v>744</v>
      </c>
      <c r="S138" s="259" t="s">
        <v>749</v>
      </c>
    </row>
    <row r="139" spans="1:19">
      <c r="A139" s="198"/>
      <c r="B139" s="215" t="s">
        <v>461</v>
      </c>
      <c r="F139" s="220" t="s">
        <v>208</v>
      </c>
      <c r="R139" s="259" t="s">
        <v>745</v>
      </c>
      <c r="S139" s="259" t="s">
        <v>750</v>
      </c>
    </row>
    <row r="140" spans="1:19">
      <c r="A140" s="198"/>
      <c r="B140" s="215" t="s">
        <v>462</v>
      </c>
      <c r="F140" s="220" t="s">
        <v>208</v>
      </c>
      <c r="R140" s="259" t="s">
        <v>746</v>
      </c>
      <c r="S140" s="259" t="s">
        <v>751</v>
      </c>
    </row>
    <row r="141" spans="1:19">
      <c r="A141" s="198"/>
      <c r="B141" s="215"/>
    </row>
    <row r="142" spans="1:19">
      <c r="A142" s="198"/>
      <c r="B142" s="187" t="s">
        <v>625</v>
      </c>
    </row>
    <row r="143" spans="1:19">
      <c r="A143" s="198"/>
      <c r="B143" s="215" t="s">
        <v>458</v>
      </c>
      <c r="F143" s="220" t="s">
        <v>208</v>
      </c>
      <c r="R143" s="259" t="s">
        <v>752</v>
      </c>
      <c r="S143" s="259" t="s">
        <v>757</v>
      </c>
    </row>
    <row r="144" spans="1:19">
      <c r="A144" s="198"/>
      <c r="B144" s="215" t="s">
        <v>459</v>
      </c>
      <c r="F144" s="220" t="s">
        <v>208</v>
      </c>
      <c r="R144" s="260" t="s">
        <v>753</v>
      </c>
      <c r="S144" s="259" t="s">
        <v>758</v>
      </c>
    </row>
    <row r="145" spans="1:24">
      <c r="A145" s="198"/>
      <c r="B145" s="215" t="s">
        <v>460</v>
      </c>
      <c r="F145" s="220" t="s">
        <v>208</v>
      </c>
      <c r="R145" s="259" t="s">
        <v>754</v>
      </c>
      <c r="S145" s="259" t="s">
        <v>759</v>
      </c>
    </row>
    <row r="146" spans="1:24">
      <c r="A146" s="198"/>
      <c r="B146" s="215" t="s">
        <v>461</v>
      </c>
      <c r="F146" s="220" t="s">
        <v>208</v>
      </c>
      <c r="R146" s="259" t="s">
        <v>755</v>
      </c>
      <c r="S146" s="259" t="s">
        <v>760</v>
      </c>
    </row>
    <row r="147" spans="1:24">
      <c r="A147" s="198"/>
      <c r="B147" s="215" t="s">
        <v>462</v>
      </c>
      <c r="F147" s="220" t="s">
        <v>208</v>
      </c>
      <c r="R147" s="259" t="s">
        <v>756</v>
      </c>
      <c r="S147" s="259" t="s">
        <v>761</v>
      </c>
    </row>
    <row r="148" spans="1:24">
      <c r="A148" s="198"/>
      <c r="B148" s="215"/>
    </row>
    <row r="149" spans="1:24">
      <c r="A149" s="198"/>
      <c r="B149" s="187" t="s">
        <v>626</v>
      </c>
    </row>
    <row r="150" spans="1:24">
      <c r="A150" s="198"/>
      <c r="B150" s="215" t="s">
        <v>458</v>
      </c>
      <c r="F150" s="220" t="s">
        <v>208</v>
      </c>
      <c r="R150" s="259" t="s">
        <v>762</v>
      </c>
      <c r="S150" s="259" t="s">
        <v>767</v>
      </c>
    </row>
    <row r="151" spans="1:24">
      <c r="A151" s="198"/>
      <c r="B151" s="215" t="s">
        <v>459</v>
      </c>
      <c r="F151" s="220" t="s">
        <v>208</v>
      </c>
      <c r="R151" s="259" t="s">
        <v>763</v>
      </c>
      <c r="S151" s="259" t="s">
        <v>768</v>
      </c>
    </row>
    <row r="152" spans="1:24">
      <c r="A152" s="198"/>
      <c r="B152" s="215" t="s">
        <v>460</v>
      </c>
      <c r="F152" s="220" t="s">
        <v>208</v>
      </c>
      <c r="R152" s="259" t="s">
        <v>764</v>
      </c>
      <c r="S152" s="259" t="s">
        <v>769</v>
      </c>
    </row>
    <row r="153" spans="1:24">
      <c r="A153" s="198"/>
      <c r="B153" s="215" t="s">
        <v>461</v>
      </c>
      <c r="F153" s="220" t="s">
        <v>208</v>
      </c>
      <c r="R153" s="259" t="s">
        <v>765</v>
      </c>
      <c r="S153" s="259" t="s">
        <v>770</v>
      </c>
    </row>
    <row r="154" spans="1:24">
      <c r="A154" s="198"/>
      <c r="B154" s="215" t="s">
        <v>462</v>
      </c>
      <c r="F154" s="220" t="s">
        <v>208</v>
      </c>
      <c r="R154" s="259" t="s">
        <v>766</v>
      </c>
      <c r="S154" s="259" t="s">
        <v>771</v>
      </c>
    </row>
    <row r="155" spans="1:24">
      <c r="A155" s="198"/>
      <c r="B155" s="215"/>
    </row>
    <row r="156" spans="1:24">
      <c r="A156" s="198"/>
      <c r="B156" s="187" t="s">
        <v>627</v>
      </c>
      <c r="F156" s="220" t="s">
        <v>208</v>
      </c>
      <c r="R156" s="46">
        <v>-6307194.4680052986</v>
      </c>
      <c r="S156" s="46">
        <v>97940444.352990463</v>
      </c>
    </row>
    <row r="157" spans="1:24">
      <c r="A157" s="198"/>
      <c r="B157" s="187" t="s">
        <v>527</v>
      </c>
      <c r="F157" s="220" t="s">
        <v>208</v>
      </c>
      <c r="U157" s="222">
        <f>R156*(1+H28)+S156*(1+H29)</f>
        <v>98837648.614136174</v>
      </c>
      <c r="X157" s="216"/>
    </row>
    <row r="158" spans="1:24">
      <c r="A158" s="198"/>
    </row>
  </sheetData>
  <mergeCells count="1">
    <mergeCell ref="B5:P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pageSetUpPr autoPageBreaks="0"/>
  </sheetPr>
  <dimension ref="A2:Z90"/>
  <sheetViews>
    <sheetView showGridLines="0" zoomScale="85" zoomScaleNormal="85" workbookViewId="0">
      <pane ySplit="3" topLeftCell="A4" activePane="bottomLeft" state="frozen"/>
      <selection pane="bottomLeft"/>
    </sheetView>
  </sheetViews>
  <sheetFormatPr defaultColWidth="9.140625" defaultRowHeight="12.75"/>
  <cols>
    <col min="1" max="1" width="2.85546875" style="2" customWidth="1"/>
    <col min="2" max="2" width="20.7109375" style="2" customWidth="1"/>
    <col min="3" max="3" width="6.5703125" style="2" customWidth="1"/>
    <col min="4" max="4" width="24.7109375" style="2" customWidth="1"/>
    <col min="5" max="7" width="6.7109375" style="2" customWidth="1"/>
    <col min="8" max="8" width="24.7109375" style="2" customWidth="1"/>
    <col min="9" max="9" width="6.7109375" style="2" customWidth="1"/>
    <col min="10" max="10" width="6.7109375" style="82" customWidth="1"/>
    <col min="11" max="12" width="6.7109375" style="2" customWidth="1"/>
    <col min="13" max="13" width="24.7109375" style="2" customWidth="1"/>
    <col min="14" max="16" width="9.140625" style="2"/>
    <col min="17" max="17" width="24.7109375" style="2" customWidth="1"/>
    <col min="18" max="16384" width="9.140625" style="2"/>
  </cols>
  <sheetData>
    <row r="2" spans="2:21" s="12" customFormat="1" ht="18">
      <c r="B2" s="11" t="s">
        <v>237</v>
      </c>
    </row>
    <row r="4" spans="2:21" s="7" customFormat="1">
      <c r="B4" s="7" t="s">
        <v>14</v>
      </c>
      <c r="J4" s="86"/>
    </row>
    <row r="6" spans="2:21">
      <c r="B6" s="23" t="s">
        <v>318</v>
      </c>
    </row>
    <row r="7" spans="2:21">
      <c r="B7" s="2" t="s">
        <v>319</v>
      </c>
    </row>
    <row r="8" spans="2:21" s="82" customFormat="1"/>
    <row r="9" spans="2:21" s="82" customFormat="1"/>
    <row r="10" spans="2:21" s="7" customFormat="1">
      <c r="B10" s="7" t="s">
        <v>60</v>
      </c>
      <c r="J10" s="86"/>
    </row>
    <row r="12" spans="2:21" s="109" customFormat="1">
      <c r="B12" s="110"/>
      <c r="C12" s="111"/>
      <c r="D12" s="111" t="s">
        <v>232</v>
      </c>
      <c r="E12" s="111"/>
      <c r="F12" s="111"/>
      <c r="G12" s="111"/>
      <c r="H12" s="111" t="s">
        <v>235</v>
      </c>
      <c r="I12" s="111"/>
      <c r="J12" s="111"/>
      <c r="K12" s="111"/>
      <c r="L12" s="111"/>
      <c r="M12" s="111" t="s">
        <v>233</v>
      </c>
      <c r="N12" s="111"/>
      <c r="O12" s="111"/>
      <c r="P12" s="111"/>
      <c r="Q12" s="111" t="s">
        <v>234</v>
      </c>
      <c r="R12" s="111"/>
      <c r="S12" s="134"/>
    </row>
    <row r="13" spans="2:21" s="109" customFormat="1" ht="14.25" customHeight="1">
      <c r="B13" s="112"/>
      <c r="C13" s="113"/>
      <c r="D13" s="113"/>
      <c r="E13" s="113"/>
      <c r="F13" s="113"/>
      <c r="G13" s="113"/>
      <c r="H13" s="113"/>
      <c r="I13" s="113"/>
      <c r="J13" s="113"/>
      <c r="K13" s="113"/>
      <c r="L13" s="113"/>
      <c r="M13" s="113"/>
      <c r="N13" s="113"/>
      <c r="O13" s="113"/>
      <c r="P13" s="114"/>
      <c r="Q13" s="113"/>
      <c r="R13" s="129"/>
      <c r="S13" s="115"/>
      <c r="U13" s="127"/>
    </row>
    <row r="14" spans="2:21" s="109" customFormat="1" ht="14.25" customHeight="1">
      <c r="B14" s="116"/>
      <c r="C14" s="117"/>
      <c r="D14" s="118"/>
      <c r="E14" s="119"/>
      <c r="F14" s="120"/>
      <c r="L14" s="117"/>
      <c r="M14" s="118"/>
      <c r="N14" s="119"/>
      <c r="O14" s="120"/>
      <c r="P14" s="114"/>
      <c r="R14" s="129"/>
      <c r="S14" s="115"/>
    </row>
    <row r="15" spans="2:21" s="109" customFormat="1" ht="14.25" customHeight="1">
      <c r="B15" s="116"/>
      <c r="C15" s="121"/>
      <c r="D15" s="122" t="s">
        <v>252</v>
      </c>
      <c r="E15" s="123"/>
      <c r="F15" s="120"/>
      <c r="L15" s="121"/>
      <c r="M15" s="128" t="s">
        <v>250</v>
      </c>
      <c r="N15" s="123"/>
      <c r="O15" s="120"/>
      <c r="P15" s="114"/>
      <c r="R15" s="129"/>
      <c r="S15" s="115"/>
    </row>
    <row r="16" spans="2:21" s="109" customFormat="1" ht="14.25" customHeight="1">
      <c r="B16" s="116"/>
      <c r="C16" s="124"/>
      <c r="D16" s="125"/>
      <c r="E16" s="126"/>
      <c r="F16" s="120"/>
      <c r="L16" s="124"/>
      <c r="M16" s="125"/>
      <c r="N16" s="126"/>
      <c r="O16" s="120"/>
      <c r="P16" s="114"/>
      <c r="R16" s="129"/>
      <c r="S16" s="115"/>
      <c r="U16" s="127"/>
    </row>
    <row r="17" spans="2:26" s="109" customFormat="1" ht="14.25" customHeight="1">
      <c r="B17" s="116"/>
      <c r="F17" s="120"/>
      <c r="P17" s="114"/>
      <c r="R17" s="129"/>
      <c r="S17" s="115"/>
    </row>
    <row r="18" spans="2:26" s="109" customFormat="1" ht="14.25" customHeight="1">
      <c r="B18" s="116"/>
      <c r="F18" s="120"/>
      <c r="G18" s="117"/>
      <c r="H18" s="118"/>
      <c r="I18" s="119"/>
      <c r="L18" s="117"/>
      <c r="M18" s="118"/>
      <c r="N18" s="119"/>
      <c r="P18" s="114"/>
      <c r="R18" s="129"/>
      <c r="S18" s="115"/>
    </row>
    <row r="19" spans="2:26" s="109" customFormat="1" ht="14.25" customHeight="1">
      <c r="B19" s="116"/>
      <c r="F19" s="120"/>
      <c r="G19" s="121"/>
      <c r="H19" s="128" t="s">
        <v>249</v>
      </c>
      <c r="I19" s="123"/>
      <c r="L19" s="121"/>
      <c r="M19" s="128" t="s">
        <v>251</v>
      </c>
      <c r="N19" s="123"/>
      <c r="P19" s="114"/>
      <c r="R19" s="129"/>
      <c r="S19" s="115"/>
      <c r="U19" s="26"/>
    </row>
    <row r="20" spans="2:26" s="109" customFormat="1" ht="14.25" customHeight="1">
      <c r="B20" s="116"/>
      <c r="F20" s="120"/>
      <c r="G20" s="124"/>
      <c r="H20" s="125"/>
      <c r="I20" s="126"/>
      <c r="L20" s="124"/>
      <c r="M20" s="125"/>
      <c r="N20" s="126"/>
      <c r="P20" s="114"/>
      <c r="R20" s="129"/>
      <c r="S20" s="115"/>
    </row>
    <row r="21" spans="2:26" s="109" customFormat="1" ht="14.25" customHeight="1">
      <c r="B21" s="116"/>
      <c r="F21" s="120"/>
      <c r="P21" s="114"/>
      <c r="R21" s="129"/>
      <c r="S21" s="115"/>
    </row>
    <row r="22" spans="2:26" s="109" customFormat="1" ht="14.25" customHeight="1">
      <c r="B22" s="116"/>
      <c r="C22" s="117"/>
      <c r="D22" s="118"/>
      <c r="E22" s="119"/>
      <c r="F22" s="120"/>
      <c r="L22" s="117"/>
      <c r="M22" s="118"/>
      <c r="N22" s="119"/>
      <c r="P22" s="114"/>
      <c r="R22" s="129"/>
      <c r="S22" s="115"/>
    </row>
    <row r="23" spans="2:26" s="109" customFormat="1" ht="14.25" customHeight="1">
      <c r="B23" s="116"/>
      <c r="C23" s="121"/>
      <c r="D23" s="122" t="s">
        <v>253</v>
      </c>
      <c r="E23" s="123"/>
      <c r="L23" s="121"/>
      <c r="M23" s="128" t="s">
        <v>629</v>
      </c>
      <c r="N23" s="123"/>
      <c r="P23" s="114"/>
      <c r="R23" s="129"/>
      <c r="S23" s="115"/>
    </row>
    <row r="24" spans="2:26" s="109" customFormat="1" ht="14.25" customHeight="1">
      <c r="B24" s="116"/>
      <c r="C24" s="124"/>
      <c r="D24" s="125"/>
      <c r="E24" s="126"/>
      <c r="L24" s="124"/>
      <c r="M24" s="125"/>
      <c r="N24" s="126"/>
      <c r="P24" s="114"/>
      <c r="R24" s="129"/>
      <c r="S24" s="115"/>
    </row>
    <row r="25" spans="2:26" s="109" customFormat="1" ht="14.25" customHeight="1">
      <c r="B25" s="116"/>
      <c r="P25" s="129"/>
      <c r="R25" s="129"/>
      <c r="S25" s="115"/>
    </row>
    <row r="26" spans="2:26" s="82" customFormat="1" ht="14.25" customHeight="1">
      <c r="B26" s="116"/>
      <c r="F26" s="130"/>
      <c r="G26" s="129"/>
      <c r="H26" s="109"/>
      <c r="I26" s="109"/>
      <c r="J26" s="109"/>
      <c r="K26" s="109"/>
      <c r="L26" s="117"/>
      <c r="M26" s="118"/>
      <c r="N26" s="119"/>
      <c r="O26" s="109"/>
      <c r="S26" s="115"/>
      <c r="T26" s="109"/>
      <c r="U26" s="109"/>
      <c r="V26" s="109"/>
      <c r="W26" s="109"/>
      <c r="X26" s="109"/>
      <c r="Y26" s="109"/>
      <c r="Z26" s="109"/>
    </row>
    <row r="27" spans="2:26" s="109" customFormat="1" ht="14.25" customHeight="1">
      <c r="B27" s="116"/>
      <c r="F27" s="120"/>
      <c r="G27" s="129"/>
      <c r="L27" s="121"/>
      <c r="M27" s="128" t="s">
        <v>630</v>
      </c>
      <c r="N27" s="123"/>
      <c r="S27" s="115"/>
    </row>
    <row r="28" spans="2:26" s="109" customFormat="1" ht="14.25" customHeight="1">
      <c r="B28" s="116"/>
      <c r="F28" s="120"/>
      <c r="L28" s="124"/>
      <c r="M28" s="125"/>
      <c r="N28" s="126"/>
      <c r="S28" s="115"/>
    </row>
    <row r="29" spans="2:26" s="109" customFormat="1" ht="14.25" customHeight="1">
      <c r="B29" s="116"/>
      <c r="F29" s="120"/>
      <c r="P29" s="114"/>
      <c r="R29" s="129"/>
      <c r="S29" s="115"/>
    </row>
    <row r="30" spans="2:26" s="109" customFormat="1" ht="14.25" customHeight="1">
      <c r="B30" s="116"/>
      <c r="F30" s="120"/>
      <c r="L30" s="117"/>
      <c r="M30" s="118"/>
      <c r="N30" s="119"/>
      <c r="P30" s="114"/>
      <c r="R30" s="129"/>
      <c r="S30" s="115"/>
    </row>
    <row r="31" spans="2:26" s="109" customFormat="1" ht="14.25" customHeight="1">
      <c r="B31" s="116"/>
      <c r="C31" s="120"/>
      <c r="D31" s="120"/>
      <c r="E31" s="120"/>
      <c r="F31" s="120"/>
      <c r="L31" s="121"/>
      <c r="M31" s="128" t="s">
        <v>631</v>
      </c>
      <c r="N31" s="123"/>
      <c r="P31" s="114"/>
      <c r="R31" s="129"/>
      <c r="S31" s="115"/>
    </row>
    <row r="32" spans="2:26" s="109" customFormat="1" ht="14.25" customHeight="1">
      <c r="B32" s="116"/>
      <c r="C32" s="117"/>
      <c r="D32" s="118"/>
      <c r="E32" s="119"/>
      <c r="L32" s="124"/>
      <c r="M32" s="125"/>
      <c r="N32" s="126"/>
      <c r="P32" s="129"/>
      <c r="R32" s="129"/>
      <c r="S32" s="115"/>
    </row>
    <row r="33" spans="1:26" s="109" customFormat="1" ht="14.25" customHeight="1">
      <c r="B33" s="116"/>
      <c r="C33" s="121"/>
      <c r="D33" s="122" t="s">
        <v>254</v>
      </c>
      <c r="E33" s="123"/>
      <c r="P33" s="129"/>
      <c r="R33" s="129"/>
      <c r="S33" s="115"/>
    </row>
    <row r="34" spans="1:26" s="109" customFormat="1" ht="14.25" customHeight="1">
      <c r="B34" s="116"/>
      <c r="C34" s="124"/>
      <c r="D34" s="125"/>
      <c r="E34" s="126"/>
      <c r="L34" s="117"/>
      <c r="M34" s="118"/>
      <c r="N34" s="119"/>
      <c r="S34" s="115"/>
    </row>
    <row r="35" spans="1:26" s="82" customFormat="1" ht="14.25" customHeight="1">
      <c r="B35" s="116"/>
      <c r="C35" s="120"/>
      <c r="D35" s="120"/>
      <c r="E35" s="120"/>
      <c r="F35" s="130"/>
      <c r="J35" s="109"/>
      <c r="K35" s="109"/>
      <c r="L35" s="121"/>
      <c r="M35" s="128" t="s">
        <v>632</v>
      </c>
      <c r="N35" s="123"/>
      <c r="O35" s="109"/>
      <c r="S35" s="115"/>
      <c r="T35" s="109"/>
      <c r="U35" s="109"/>
      <c r="V35" s="109"/>
      <c r="W35" s="109"/>
      <c r="X35" s="109"/>
      <c r="Y35" s="109"/>
      <c r="Z35" s="109"/>
    </row>
    <row r="36" spans="1:26" s="109" customFormat="1" ht="14.25" customHeight="1">
      <c r="B36" s="116"/>
      <c r="F36" s="120"/>
      <c r="L36" s="124"/>
      <c r="M36" s="125"/>
      <c r="N36" s="126"/>
      <c r="S36" s="115"/>
    </row>
    <row r="37" spans="1:26" s="109" customFormat="1" ht="14.25" customHeight="1">
      <c r="B37" s="116"/>
      <c r="F37" s="120"/>
      <c r="P37" s="129"/>
      <c r="R37" s="129"/>
      <c r="S37" s="115"/>
    </row>
    <row r="38" spans="1:26" s="109" customFormat="1" ht="14.25" customHeight="1">
      <c r="B38" s="116"/>
      <c r="F38" s="120"/>
      <c r="L38" s="117"/>
      <c r="M38" s="118"/>
      <c r="N38" s="119"/>
      <c r="P38" s="129"/>
      <c r="R38" s="129"/>
      <c r="S38" s="115"/>
    </row>
    <row r="39" spans="1:26" s="109" customFormat="1" ht="14.25" customHeight="1">
      <c r="B39" s="116"/>
      <c r="F39" s="120"/>
      <c r="L39" s="121"/>
      <c r="M39" s="128" t="s">
        <v>633</v>
      </c>
      <c r="N39" s="123"/>
      <c r="P39" s="129"/>
      <c r="R39" s="129"/>
      <c r="S39" s="115"/>
    </row>
    <row r="40" spans="1:26" s="109" customFormat="1" ht="14.25" customHeight="1">
      <c r="B40" s="116"/>
      <c r="F40" s="120"/>
      <c r="L40" s="124"/>
      <c r="M40" s="125"/>
      <c r="N40" s="126"/>
      <c r="P40" s="129"/>
      <c r="R40" s="129"/>
      <c r="S40" s="115"/>
    </row>
    <row r="41" spans="1:26" s="109" customFormat="1" ht="14.25" customHeight="1">
      <c r="B41" s="116"/>
      <c r="F41" s="120"/>
      <c r="P41" s="129"/>
      <c r="R41" s="129"/>
      <c r="S41" s="115"/>
    </row>
    <row r="42" spans="1:26" s="109" customFormat="1" ht="14.25" customHeight="1">
      <c r="B42" s="116"/>
      <c r="C42" s="117"/>
      <c r="D42" s="118"/>
      <c r="E42" s="119"/>
      <c r="F42" s="120"/>
      <c r="L42" s="117"/>
      <c r="M42" s="118"/>
      <c r="N42" s="119"/>
      <c r="P42" s="114"/>
      <c r="R42" s="129"/>
      <c r="S42" s="115"/>
    </row>
    <row r="43" spans="1:26" s="109" customFormat="1" ht="14.25" customHeight="1">
      <c r="B43" s="116"/>
      <c r="C43" s="121"/>
      <c r="D43" s="249" t="s">
        <v>246</v>
      </c>
      <c r="E43" s="123"/>
      <c r="F43" s="120"/>
      <c r="L43" s="121"/>
      <c r="M43" s="128" t="s">
        <v>634</v>
      </c>
      <c r="N43" s="123"/>
      <c r="P43" s="114"/>
      <c r="R43" s="129"/>
      <c r="S43" s="115"/>
    </row>
    <row r="44" spans="1:26" s="109" customFormat="1" ht="14.25" customHeight="1">
      <c r="B44" s="116"/>
      <c r="C44" s="124"/>
      <c r="D44" s="125"/>
      <c r="E44" s="126"/>
      <c r="F44" s="130"/>
      <c r="L44" s="124"/>
      <c r="M44" s="125"/>
      <c r="N44" s="126"/>
      <c r="S44" s="115"/>
    </row>
    <row r="45" spans="1:26" s="109" customFormat="1" ht="14.25" customHeight="1">
      <c r="B45" s="116"/>
      <c r="C45" s="2"/>
      <c r="D45" s="2"/>
      <c r="E45" s="2"/>
      <c r="F45" s="130"/>
      <c r="S45" s="115"/>
    </row>
    <row r="46" spans="1:26" s="109" customFormat="1" ht="14.25" customHeight="1">
      <c r="A46" s="115"/>
      <c r="B46" s="116"/>
      <c r="C46" s="117"/>
      <c r="D46" s="118"/>
      <c r="E46" s="119"/>
      <c r="P46" s="117"/>
      <c r="Q46" s="118"/>
      <c r="R46" s="119"/>
      <c r="S46" s="115"/>
    </row>
    <row r="47" spans="1:26" ht="14.25" customHeight="1">
      <c r="A47" s="115"/>
      <c r="C47" s="121"/>
      <c r="D47" s="249" t="s">
        <v>247</v>
      </c>
      <c r="E47" s="123"/>
      <c r="P47" s="121"/>
      <c r="Q47" s="131" t="s">
        <v>320</v>
      </c>
      <c r="R47" s="123"/>
      <c r="S47" s="135"/>
    </row>
    <row r="48" spans="1:26" s="82" customFormat="1" ht="14.25" customHeight="1">
      <c r="A48" s="115"/>
      <c r="C48" s="124"/>
      <c r="D48" s="125"/>
      <c r="E48" s="126"/>
      <c r="P48" s="124"/>
      <c r="Q48" s="125"/>
      <c r="R48" s="126"/>
      <c r="S48" s="135"/>
    </row>
    <row r="49" spans="1:20" s="82" customFormat="1" ht="14.25" customHeight="1">
      <c r="A49" s="115"/>
      <c r="S49" s="135"/>
    </row>
    <row r="50" spans="1:20" s="82" customFormat="1" ht="14.25" customHeight="1">
      <c r="A50" s="115"/>
      <c r="C50" s="117"/>
      <c r="D50" s="118"/>
      <c r="E50" s="119"/>
      <c r="L50" s="117"/>
      <c r="M50" s="118"/>
      <c r="N50" s="119"/>
      <c r="S50" s="135"/>
    </row>
    <row r="51" spans="1:20" s="82" customFormat="1" ht="14.25" customHeight="1">
      <c r="A51" s="115"/>
      <c r="C51" s="121"/>
      <c r="D51" s="249" t="s">
        <v>248</v>
      </c>
      <c r="E51" s="123"/>
      <c r="L51" s="121"/>
      <c r="M51" s="128" t="s">
        <v>635</v>
      </c>
      <c r="N51" s="123"/>
      <c r="S51" s="135"/>
    </row>
    <row r="52" spans="1:20" s="82" customFormat="1" ht="14.25" customHeight="1">
      <c r="A52" s="115"/>
      <c r="C52" s="124"/>
      <c r="D52" s="125"/>
      <c r="E52" s="126"/>
      <c r="L52" s="124"/>
      <c r="M52" s="125"/>
      <c r="N52" s="126"/>
      <c r="S52" s="135"/>
    </row>
    <row r="53" spans="1:20" s="82" customFormat="1" ht="14.25" customHeight="1">
      <c r="A53" s="115"/>
      <c r="C53" s="2"/>
      <c r="D53" s="2"/>
      <c r="E53" s="2"/>
      <c r="L53" s="109"/>
      <c r="M53" s="109"/>
      <c r="N53" s="109"/>
      <c r="S53" s="135"/>
    </row>
    <row r="54" spans="1:20" s="82" customFormat="1" ht="14.25" customHeight="1">
      <c r="A54" s="115"/>
      <c r="L54" s="117"/>
      <c r="M54" s="118"/>
      <c r="N54" s="119"/>
      <c r="S54" s="135"/>
    </row>
    <row r="55" spans="1:20" s="82" customFormat="1" ht="14.25" customHeight="1">
      <c r="A55" s="115"/>
      <c r="L55" s="121"/>
      <c r="M55" s="128" t="s">
        <v>636</v>
      </c>
      <c r="N55" s="123"/>
      <c r="P55" s="117"/>
      <c r="Q55" s="118"/>
      <c r="R55" s="119"/>
      <c r="S55" s="135"/>
    </row>
    <row r="56" spans="1:20" s="82" customFormat="1" ht="14.25" customHeight="1">
      <c r="A56" s="115"/>
      <c r="L56" s="124"/>
      <c r="M56" s="125"/>
      <c r="N56" s="126"/>
      <c r="P56" s="121"/>
      <c r="Q56" s="131" t="s">
        <v>321</v>
      </c>
      <c r="R56" s="123"/>
      <c r="S56" s="135"/>
    </row>
    <row r="57" spans="1:20" s="82" customFormat="1" ht="14.25" customHeight="1">
      <c r="A57" s="115"/>
      <c r="P57" s="124"/>
      <c r="Q57" s="125"/>
      <c r="R57" s="126"/>
      <c r="S57" s="135"/>
    </row>
    <row r="58" spans="1:20" s="82" customFormat="1" ht="14.25" customHeight="1">
      <c r="A58" s="115"/>
      <c r="B58" s="132"/>
      <c r="C58" s="133"/>
      <c r="D58" s="133"/>
      <c r="E58" s="133"/>
      <c r="F58" s="133"/>
      <c r="G58" s="133"/>
      <c r="H58" s="133"/>
      <c r="I58" s="133"/>
      <c r="J58" s="133"/>
      <c r="K58" s="133"/>
      <c r="L58" s="133"/>
      <c r="M58" s="133"/>
      <c r="N58" s="133"/>
      <c r="O58" s="133"/>
      <c r="P58" s="133"/>
      <c r="Q58" s="133"/>
      <c r="R58" s="133"/>
      <c r="S58" s="136"/>
      <c r="T58" s="137"/>
    </row>
    <row r="59" spans="1:20" s="82" customFormat="1" ht="14.25" customHeight="1"/>
    <row r="60" spans="1:20" s="7" customFormat="1">
      <c r="B60" s="7" t="s">
        <v>15</v>
      </c>
      <c r="J60" s="86"/>
    </row>
    <row r="61" spans="1:20">
      <c r="C61" s="8"/>
    </row>
    <row r="62" spans="1:20">
      <c r="B62" s="221" t="s">
        <v>39</v>
      </c>
      <c r="C62" s="198"/>
      <c r="D62" s="221" t="s">
        <v>16</v>
      </c>
      <c r="F62" s="13"/>
    </row>
    <row r="63" spans="1:20">
      <c r="B63" s="238"/>
      <c r="C63" s="198"/>
      <c r="D63" s="238"/>
    </row>
    <row r="64" spans="1:20">
      <c r="B64" s="40">
        <v>123</v>
      </c>
      <c r="C64" s="198"/>
      <c r="D64" s="215" t="s">
        <v>550</v>
      </c>
    </row>
    <row r="65" spans="2:7">
      <c r="B65" s="97">
        <f>B64</f>
        <v>123</v>
      </c>
      <c r="C65" s="198"/>
      <c r="D65" s="238" t="s">
        <v>17</v>
      </c>
    </row>
    <row r="66" spans="2:7">
      <c r="B66" s="98">
        <f>B65+B64</f>
        <v>246</v>
      </c>
      <c r="C66" s="198"/>
      <c r="D66" s="238" t="s">
        <v>18</v>
      </c>
    </row>
    <row r="67" spans="2:7">
      <c r="B67" s="239">
        <f>B65+B66</f>
        <v>369</v>
      </c>
      <c r="C67" s="198"/>
      <c r="D67" s="215" t="s">
        <v>551</v>
      </c>
      <c r="E67" s="13"/>
      <c r="F67" s="5"/>
    </row>
    <row r="68" spans="2:7">
      <c r="B68" s="14"/>
      <c r="C68" s="198"/>
      <c r="D68" s="215" t="s">
        <v>19</v>
      </c>
      <c r="E68" s="13"/>
    </row>
    <row r="69" spans="2:7">
      <c r="B69" s="198"/>
      <c r="C69" s="198"/>
      <c r="D69" s="238"/>
    </row>
    <row r="70" spans="2:7">
      <c r="B70" s="240" t="s">
        <v>20</v>
      </c>
      <c r="C70" s="198"/>
      <c r="D70" s="238"/>
    </row>
    <row r="71" spans="2:7">
      <c r="B71" s="143">
        <f>B67+16</f>
        <v>385</v>
      </c>
      <c r="C71" s="198"/>
      <c r="D71" s="238" t="s">
        <v>552</v>
      </c>
    </row>
    <row r="72" spans="2:7">
      <c r="B72" s="241">
        <f>B65*PI()</f>
        <v>386.41589639154455</v>
      </c>
      <c r="C72" s="16"/>
      <c r="D72" s="238" t="s">
        <v>21</v>
      </c>
    </row>
    <row r="73" spans="2:7">
      <c r="B73" s="16"/>
      <c r="C73" s="16"/>
      <c r="D73" s="238"/>
    </row>
    <row r="74" spans="2:7">
      <c r="B74" s="240" t="s">
        <v>22</v>
      </c>
      <c r="C74" s="17"/>
      <c r="D74" s="238"/>
    </row>
    <row r="75" spans="2:7">
      <c r="B75" s="242">
        <v>123</v>
      </c>
      <c r="C75" s="17"/>
      <c r="D75" s="215" t="s">
        <v>553</v>
      </c>
      <c r="G75" s="13"/>
    </row>
    <row r="76" spans="2:7">
      <c r="B76" s="243">
        <v>124</v>
      </c>
      <c r="C76" s="17"/>
      <c r="D76" s="215" t="s">
        <v>554</v>
      </c>
    </row>
    <row r="77" spans="2:7">
      <c r="B77" s="244">
        <f>B75-B76</f>
        <v>-1</v>
      </c>
      <c r="C77" s="18"/>
      <c r="D77" s="238" t="s">
        <v>555</v>
      </c>
    </row>
    <row r="78" spans="2:7">
      <c r="B78" s="238"/>
      <c r="C78" s="238"/>
      <c r="D78" s="238"/>
    </row>
    <row r="79" spans="2:7">
      <c r="B79" s="238"/>
      <c r="C79" s="238"/>
      <c r="D79" s="238"/>
    </row>
    <row r="80" spans="2:7">
      <c r="B80" s="221" t="s">
        <v>34</v>
      </c>
      <c r="C80" s="238"/>
      <c r="D80" s="238"/>
    </row>
    <row r="81" spans="2:4">
      <c r="B81" s="187"/>
      <c r="C81" s="238"/>
      <c r="D81" s="238"/>
    </row>
    <row r="82" spans="2:4">
      <c r="B82" s="240" t="s">
        <v>40</v>
      </c>
      <c r="C82" s="238"/>
      <c r="D82" s="238"/>
    </row>
    <row r="83" spans="2:4">
      <c r="B83" s="245" t="s">
        <v>33</v>
      </c>
      <c r="C83" s="198"/>
      <c r="D83" s="215" t="s">
        <v>43</v>
      </c>
    </row>
    <row r="84" spans="2:4">
      <c r="B84" s="40" t="s">
        <v>31</v>
      </c>
      <c r="C84" s="198"/>
      <c r="D84" s="215" t="s">
        <v>35</v>
      </c>
    </row>
    <row r="85" spans="2:4">
      <c r="B85" s="246" t="s">
        <v>32</v>
      </c>
      <c r="C85" s="198"/>
      <c r="D85" s="215" t="s">
        <v>36</v>
      </c>
    </row>
    <row r="86" spans="2:4">
      <c r="B86" s="15" t="s">
        <v>32</v>
      </c>
      <c r="C86" s="198"/>
      <c r="D86" s="215" t="s">
        <v>38</v>
      </c>
    </row>
    <row r="87" spans="2:4">
      <c r="B87" s="238"/>
      <c r="C87" s="198"/>
      <c r="D87" s="215"/>
    </row>
    <row r="88" spans="2:4">
      <c r="B88" s="240" t="s">
        <v>42</v>
      </c>
      <c r="C88" s="198"/>
      <c r="D88" s="215"/>
    </row>
    <row r="89" spans="2:4">
      <c r="B89" s="22" t="s">
        <v>37</v>
      </c>
      <c r="C89" s="198"/>
      <c r="D89" s="215" t="s">
        <v>44</v>
      </c>
    </row>
    <row r="90" spans="2:4">
      <c r="B90" s="247" t="s">
        <v>41</v>
      </c>
      <c r="C90" s="238"/>
      <c r="D90" s="215" t="s">
        <v>556</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2:P35"/>
  <sheetViews>
    <sheetView showGridLines="0" zoomScale="85" zoomScaleNormal="85" workbookViewId="0">
      <pane xSplit="6" ySplit="12" topLeftCell="G13" activePane="bottomRight" state="frozen"/>
      <selection pane="topRight"/>
      <selection pane="bottomLeft"/>
      <selection pane="bottomRight"/>
    </sheetView>
  </sheetViews>
  <sheetFormatPr defaultColWidth="9.140625" defaultRowHeight="12.75"/>
  <cols>
    <col min="1" max="1" width="4" style="82" customWidth="1"/>
    <col min="2" max="2" width="60.42578125" style="82" customWidth="1"/>
    <col min="3" max="5" width="4.5703125" style="82" customWidth="1"/>
    <col min="6" max="6" width="13.7109375" style="82" customWidth="1"/>
    <col min="7" max="7" width="2.7109375" style="82" customWidth="1"/>
    <col min="8" max="8" width="13.7109375" style="82" customWidth="1"/>
    <col min="9" max="9" width="2.7109375" style="82" customWidth="1"/>
    <col min="10" max="10" width="12.5703125" style="82" customWidth="1"/>
    <col min="11" max="11" width="2.7109375" style="82" customWidth="1"/>
    <col min="12" max="13" width="12.5703125" style="82" customWidth="1"/>
    <col min="14" max="14" width="2.7109375" style="82" customWidth="1"/>
    <col min="15" max="29" width="13.7109375" style="82" customWidth="1"/>
    <col min="30" max="16384" width="9.140625" style="82"/>
  </cols>
  <sheetData>
    <row r="2" spans="1:16" s="20" customFormat="1" ht="18">
      <c r="B2" s="72" t="s">
        <v>607</v>
      </c>
    </row>
    <row r="4" spans="1:16">
      <c r="B4" s="269" t="s">
        <v>531</v>
      </c>
      <c r="C4" s="270"/>
      <c r="D4" s="270"/>
      <c r="E4" s="270"/>
    </row>
    <row r="5" spans="1:16">
      <c r="B5" s="270"/>
      <c r="C5" s="270"/>
      <c r="D5" s="270"/>
      <c r="E5" s="270"/>
    </row>
    <row r="6" spans="1:16">
      <c r="B6" s="270"/>
      <c r="C6" s="270"/>
      <c r="D6" s="270"/>
      <c r="E6" s="270"/>
    </row>
    <row r="7" spans="1:16">
      <c r="B7" s="270"/>
      <c r="C7" s="270"/>
      <c r="D7" s="270"/>
      <c r="E7" s="270"/>
    </row>
    <row r="8" spans="1:16">
      <c r="B8" s="270"/>
      <c r="C8" s="270"/>
      <c r="D8" s="270"/>
      <c r="E8" s="270"/>
    </row>
    <row r="9" spans="1:16">
      <c r="B9" s="270"/>
      <c r="C9" s="270"/>
      <c r="D9" s="270"/>
      <c r="E9" s="270"/>
    </row>
    <row r="11" spans="1:16" s="86" customFormat="1">
      <c r="B11" s="86" t="s">
        <v>45</v>
      </c>
      <c r="F11" s="86" t="s">
        <v>27</v>
      </c>
      <c r="H11" s="86" t="s">
        <v>28</v>
      </c>
      <c r="J11" s="86" t="s">
        <v>49</v>
      </c>
      <c r="L11" s="86" t="s">
        <v>83</v>
      </c>
      <c r="M11" s="86" t="s">
        <v>85</v>
      </c>
      <c r="O11" s="86" t="s">
        <v>47</v>
      </c>
      <c r="P11" s="35"/>
    </row>
    <row r="14" spans="1:16" s="86" customFormat="1">
      <c r="B14" s="86" t="s">
        <v>48</v>
      </c>
    </row>
    <row r="15" spans="1:16">
      <c r="A15" s="198"/>
    </row>
    <row r="16" spans="1:16">
      <c r="A16" s="198"/>
      <c r="B16" s="81" t="s">
        <v>62</v>
      </c>
    </row>
    <row r="17" spans="1:15">
      <c r="A17" s="198"/>
      <c r="B17" s="82" t="s">
        <v>361</v>
      </c>
      <c r="F17" s="82" t="s">
        <v>63</v>
      </c>
      <c r="H17" s="92">
        <f>'Tab 12_Berekening parameters'!U37</f>
        <v>0.11609086576666328</v>
      </c>
      <c r="O17" s="5"/>
    </row>
    <row r="18" spans="1:15">
      <c r="A18" s="198"/>
      <c r="B18" s="82" t="s">
        <v>362</v>
      </c>
      <c r="F18" s="82" t="s">
        <v>63</v>
      </c>
      <c r="H18" s="92">
        <f>'Tab 12_Berekening parameters'!U38</f>
        <v>8.5691503664069302E-2</v>
      </c>
      <c r="O18" s="5"/>
    </row>
    <row r="19" spans="1:15">
      <c r="A19" s="198"/>
      <c r="B19" s="82" t="s">
        <v>363</v>
      </c>
      <c r="F19" s="82" t="s">
        <v>63</v>
      </c>
      <c r="H19" s="92">
        <f>'Tab 12_Berekening parameters'!U39</f>
        <v>7.494208283571191E-2</v>
      </c>
      <c r="O19" s="5"/>
    </row>
    <row r="20" spans="1:15">
      <c r="A20" s="198"/>
    </row>
    <row r="21" spans="1:15">
      <c r="A21" s="198"/>
      <c r="B21" s="81" t="s">
        <v>188</v>
      </c>
    </row>
    <row r="22" spans="1:15">
      <c r="A22" s="198"/>
      <c r="B22" s="82" t="s">
        <v>179</v>
      </c>
      <c r="F22" s="82" t="s">
        <v>185</v>
      </c>
      <c r="M22" s="36">
        <f>'Tab 10_Brondata'!N95</f>
        <v>12414582.98</v>
      </c>
    </row>
    <row r="23" spans="1:15">
      <c r="A23" s="198"/>
      <c r="B23" s="82" t="s">
        <v>180</v>
      </c>
      <c r="F23" s="210" t="s">
        <v>186</v>
      </c>
      <c r="M23" s="36">
        <f>'Tab 10_Brondata'!O95</f>
        <v>14319292.699999999</v>
      </c>
    </row>
    <row r="24" spans="1:15">
      <c r="A24" s="198"/>
      <c r="B24" s="82" t="s">
        <v>181</v>
      </c>
      <c r="F24" s="210" t="s">
        <v>187</v>
      </c>
      <c r="M24" s="36">
        <f>'Tab 10_Brondata'!P95</f>
        <v>16907979.559999999</v>
      </c>
    </row>
    <row r="25" spans="1:15">
      <c r="A25" s="198"/>
    </row>
    <row r="26" spans="1:15">
      <c r="A26" s="198"/>
      <c r="B26" s="81" t="s">
        <v>189</v>
      </c>
    </row>
    <row r="27" spans="1:15">
      <c r="A27" s="198"/>
      <c r="B27" s="82" t="s">
        <v>182</v>
      </c>
      <c r="F27" s="82" t="s">
        <v>185</v>
      </c>
      <c r="L27" s="36">
        <f>'Tab 10_Brondata'!N99</f>
        <v>1383422.63</v>
      </c>
    </row>
    <row r="28" spans="1:15">
      <c r="A28" s="198"/>
      <c r="B28" s="82" t="s">
        <v>183</v>
      </c>
      <c r="F28" s="210" t="s">
        <v>186</v>
      </c>
      <c r="L28" s="36">
        <f>'Tab 10_Brondata'!O99</f>
        <v>-1211200</v>
      </c>
    </row>
    <row r="29" spans="1:15">
      <c r="A29" s="198"/>
      <c r="B29" s="82" t="s">
        <v>184</v>
      </c>
      <c r="F29" s="210" t="s">
        <v>187</v>
      </c>
      <c r="L29" s="36">
        <f>'Tab 10_Brondata'!P99</f>
        <v>-14164357.859999999</v>
      </c>
    </row>
    <row r="31" spans="1:15" s="86" customFormat="1">
      <c r="B31" s="86" t="s">
        <v>177</v>
      </c>
    </row>
    <row r="32" spans="1:15">
      <c r="A32" s="198"/>
    </row>
    <row r="33" spans="1:15">
      <c r="A33" s="198"/>
      <c r="B33" s="82" t="s">
        <v>353</v>
      </c>
      <c r="F33" s="82" t="s">
        <v>209</v>
      </c>
      <c r="J33" s="74">
        <f>SUM(L33:M33)</f>
        <v>15859078.617973084</v>
      </c>
      <c r="L33" s="90"/>
      <c r="M33" s="74">
        <f>(1/3)*(M22*(1+H17)+M23*(1+H18)+M24*(1+H19))</f>
        <v>15859078.617973084</v>
      </c>
      <c r="O33" s="84"/>
    </row>
    <row r="34" spans="1:15">
      <c r="A34" s="198"/>
    </row>
    <row r="35" spans="1:15">
      <c r="A35" s="198"/>
      <c r="B35" s="82" t="s">
        <v>354</v>
      </c>
      <c r="F35" s="82" t="s">
        <v>209</v>
      </c>
      <c r="J35" s="74">
        <f>SUM(L35:M35)</f>
        <v>-4998942.8428196041</v>
      </c>
      <c r="L35" s="74">
        <f>(1/3)*(L27*(1+H17)+L28*(1+H18)+L29*(1+H19))</f>
        <v>-4998942.8428196041</v>
      </c>
      <c r="M35" s="14"/>
      <c r="O35" s="84"/>
    </row>
  </sheetData>
  <mergeCells count="1">
    <mergeCell ref="B4:E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P42"/>
  <sheetViews>
    <sheetView showGridLines="0" zoomScale="85" zoomScaleNormal="85" workbookViewId="0">
      <pane xSplit="6" ySplit="12" topLeftCell="G13" activePane="bottomRight" state="frozen"/>
      <selection pane="topRight"/>
      <selection pane="bottomLeft"/>
      <selection pane="bottomRight"/>
    </sheetView>
  </sheetViews>
  <sheetFormatPr defaultColWidth="9.140625" defaultRowHeight="12.75"/>
  <cols>
    <col min="1" max="1" width="4" style="2" customWidth="1"/>
    <col min="2" max="2" width="67.1406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2.5703125" style="2" customWidth="1"/>
    <col min="11" max="11" width="2.7109375" style="2" customWidth="1"/>
    <col min="12" max="13" width="12.5703125" style="2" customWidth="1"/>
    <col min="14" max="14" width="2.7109375" style="2" customWidth="1"/>
    <col min="15" max="29" width="13.7109375" style="2" customWidth="1"/>
    <col min="30" max="16384" width="9.140625" style="2"/>
  </cols>
  <sheetData>
    <row r="1" spans="1:16">
      <c r="A1" s="8"/>
    </row>
    <row r="2" spans="1:16" s="20" customFormat="1" ht="18">
      <c r="B2" s="20" t="s">
        <v>608</v>
      </c>
    </row>
    <row r="4" spans="1:16" s="82" customFormat="1">
      <c r="B4" s="269" t="s">
        <v>380</v>
      </c>
      <c r="C4" s="269"/>
      <c r="D4" s="269"/>
      <c r="E4" s="269"/>
    </row>
    <row r="5" spans="1:16" s="82" customFormat="1">
      <c r="B5" s="269"/>
      <c r="C5" s="269"/>
      <c r="D5" s="269"/>
      <c r="E5" s="269"/>
    </row>
    <row r="6" spans="1:16" s="82" customFormat="1">
      <c r="B6" s="269"/>
      <c r="C6" s="269"/>
      <c r="D6" s="269"/>
      <c r="E6" s="269"/>
    </row>
    <row r="7" spans="1:16" s="82" customFormat="1">
      <c r="B7" s="269"/>
      <c r="C7" s="269"/>
      <c r="D7" s="269"/>
      <c r="E7" s="269"/>
    </row>
    <row r="8" spans="1:16" s="82" customFormat="1">
      <c r="B8" s="269"/>
      <c r="C8" s="269"/>
      <c r="D8" s="269"/>
      <c r="E8" s="269"/>
    </row>
    <row r="9" spans="1:16" s="82" customFormat="1">
      <c r="B9" s="269"/>
      <c r="C9" s="269"/>
      <c r="D9" s="269"/>
      <c r="E9" s="269"/>
    </row>
    <row r="10" spans="1:16" s="82" customFormat="1">
      <c r="B10" s="269"/>
      <c r="C10" s="269"/>
      <c r="D10" s="269"/>
      <c r="E10" s="269"/>
    </row>
    <row r="11" spans="1:16" s="7" customFormat="1">
      <c r="B11" s="7" t="s">
        <v>45</v>
      </c>
      <c r="F11" s="7" t="s">
        <v>27</v>
      </c>
      <c r="H11" s="7" t="s">
        <v>28</v>
      </c>
      <c r="J11" s="7" t="s">
        <v>49</v>
      </c>
      <c r="L11" s="7" t="s">
        <v>83</v>
      </c>
      <c r="M11" s="7" t="s">
        <v>85</v>
      </c>
      <c r="O11" s="7" t="s">
        <v>47</v>
      </c>
      <c r="P11" s="35"/>
    </row>
    <row r="14" spans="1:16" s="7" customFormat="1">
      <c r="B14" s="7" t="s">
        <v>48</v>
      </c>
    </row>
    <row r="15" spans="1:16">
      <c r="A15" s="198"/>
    </row>
    <row r="16" spans="1:16">
      <c r="A16" s="198"/>
      <c r="B16" s="2" t="s">
        <v>375</v>
      </c>
      <c r="F16" s="2" t="s">
        <v>63</v>
      </c>
      <c r="H16" s="104">
        <f>'Tab 12_Berekening parameters'!U59</f>
        <v>8.1600000000000117E-2</v>
      </c>
      <c r="O16" s="5"/>
    </row>
    <row r="17" spans="1:15">
      <c r="A17" s="198"/>
    </row>
    <row r="18" spans="1:15">
      <c r="A18" s="198"/>
      <c r="B18" s="1" t="s">
        <v>154</v>
      </c>
    </row>
    <row r="19" spans="1:15">
      <c r="A19" s="198"/>
      <c r="B19" s="2" t="s">
        <v>374</v>
      </c>
      <c r="F19" s="2" t="s">
        <v>379</v>
      </c>
      <c r="L19" s="36">
        <f>'Tab 6_Correcties en prognoses'!S15</f>
        <v>-1022676.41370478</v>
      </c>
      <c r="M19" s="36">
        <f>'Tab 6_Correcties en prognoses'!S21</f>
        <v>1873731.4741456099</v>
      </c>
    </row>
    <row r="20" spans="1:15">
      <c r="A20" s="198"/>
    </row>
    <row r="21" spans="1:15">
      <c r="A21" s="198"/>
      <c r="B21" s="1" t="s">
        <v>157</v>
      </c>
    </row>
    <row r="22" spans="1:15">
      <c r="A22" s="198"/>
      <c r="B22" s="2" t="s">
        <v>356</v>
      </c>
      <c r="F22" s="210" t="s">
        <v>379</v>
      </c>
      <c r="M22" s="36">
        <f>'Tab 10_Brondata'!S94</f>
        <v>18702402.757384323</v>
      </c>
      <c r="O22" s="26"/>
    </row>
    <row r="23" spans="1:15">
      <c r="A23" s="198"/>
      <c r="B23" s="2" t="s">
        <v>357</v>
      </c>
      <c r="F23" s="210" t="s">
        <v>379</v>
      </c>
      <c r="M23" s="36">
        <f>'Tab 10_Brondata'!S95</f>
        <v>21124302.600000001</v>
      </c>
    </row>
    <row r="24" spans="1:15">
      <c r="A24" s="198"/>
    </row>
    <row r="25" spans="1:15">
      <c r="A25" s="198"/>
      <c r="B25" s="1" t="s">
        <v>360</v>
      </c>
    </row>
    <row r="26" spans="1:15">
      <c r="A26" s="198"/>
      <c r="B26" s="2" t="s">
        <v>358</v>
      </c>
      <c r="F26" s="210" t="s">
        <v>379</v>
      </c>
      <c r="L26" s="36">
        <f>'Tab 10_Brondata'!S98</f>
        <v>-4461691.8846240006</v>
      </c>
      <c r="O26" s="26"/>
    </row>
    <row r="27" spans="1:15">
      <c r="A27" s="198"/>
      <c r="B27" s="2" t="s">
        <v>359</v>
      </c>
      <c r="F27" s="210" t="s">
        <v>379</v>
      </c>
      <c r="L27" s="36">
        <f>'Tab 10_Brondata'!S99</f>
        <v>-10082448.097243795</v>
      </c>
    </row>
    <row r="28" spans="1:15">
      <c r="A28" s="198"/>
    </row>
    <row r="29" spans="1:15" s="7" customFormat="1">
      <c r="B29" s="7" t="s">
        <v>156</v>
      </c>
    </row>
    <row r="31" spans="1:15">
      <c r="A31" s="198"/>
      <c r="B31" s="1" t="s">
        <v>129</v>
      </c>
    </row>
    <row r="32" spans="1:15">
      <c r="A32" s="198"/>
      <c r="B32" s="2" t="s">
        <v>351</v>
      </c>
      <c r="F32" s="2" t="s">
        <v>376</v>
      </c>
      <c r="J32" s="37">
        <f t="shared" ref="J32:J40" si="0">SUM(L32:M32)</f>
        <v>920501.15337280161</v>
      </c>
      <c r="L32" s="38">
        <f>L19*(1+$H$16)</f>
        <v>-1106126.8090630902</v>
      </c>
      <c r="M32" s="38">
        <f>M19*(1+$H$16)</f>
        <v>2026627.9624358919</v>
      </c>
      <c r="O32" s="170"/>
    </row>
    <row r="33" spans="1:16">
      <c r="A33" s="198"/>
      <c r="J33" s="47"/>
    </row>
    <row r="34" spans="1:16">
      <c r="A34" s="198"/>
      <c r="B34" s="1" t="s">
        <v>158</v>
      </c>
      <c r="J34" s="47"/>
    </row>
    <row r="35" spans="1:16">
      <c r="A35" s="198"/>
      <c r="B35" s="2" t="s">
        <v>378</v>
      </c>
      <c r="F35" s="2" t="s">
        <v>379</v>
      </c>
      <c r="J35" s="37">
        <f t="shared" si="0"/>
        <v>2421899.8426156789</v>
      </c>
      <c r="L35" s="14"/>
      <c r="M35" s="37">
        <f>M23-M22</f>
        <v>2421899.8426156789</v>
      </c>
    </row>
    <row r="36" spans="1:16">
      <c r="A36" s="198"/>
      <c r="B36" s="2" t="s">
        <v>370</v>
      </c>
      <c r="F36" s="2" t="s">
        <v>376</v>
      </c>
      <c r="J36" s="37">
        <f t="shared" si="0"/>
        <v>2619526.8697731188</v>
      </c>
      <c r="L36" s="14"/>
      <c r="M36" s="38">
        <f>M35*(1+H16)</f>
        <v>2619526.8697731188</v>
      </c>
    </row>
    <row r="37" spans="1:16">
      <c r="A37" s="198"/>
      <c r="J37" s="47"/>
    </row>
    <row r="38" spans="1:16">
      <c r="A38" s="198"/>
      <c r="B38" s="1" t="s">
        <v>151</v>
      </c>
      <c r="J38" s="47"/>
      <c r="O38" s="83"/>
    </row>
    <row r="39" spans="1:16">
      <c r="A39" s="198"/>
      <c r="B39" s="2" t="s">
        <v>378</v>
      </c>
      <c r="F39" s="2" t="s">
        <v>379</v>
      </c>
      <c r="J39" s="37">
        <f t="shared" si="0"/>
        <v>-5620756.2126197945</v>
      </c>
      <c r="L39" s="37">
        <f>L27-L26</f>
        <v>-5620756.2126197945</v>
      </c>
      <c r="M39" s="14"/>
      <c r="O39" s="83"/>
    </row>
    <row r="40" spans="1:16">
      <c r="A40" s="198"/>
      <c r="B40" s="23" t="s">
        <v>369</v>
      </c>
      <c r="F40" s="2" t="s">
        <v>376</v>
      </c>
      <c r="J40" s="37">
        <f t="shared" si="0"/>
        <v>-6079409.9195695706</v>
      </c>
      <c r="L40" s="38">
        <f>L39*(1+H16)</f>
        <v>-6079409.9195695706</v>
      </c>
      <c r="M40" s="14"/>
      <c r="O40" s="162"/>
      <c r="P40" s="5"/>
    </row>
    <row r="41" spans="1:16">
      <c r="A41" s="198"/>
      <c r="O41" s="83"/>
    </row>
    <row r="42" spans="1:16">
      <c r="A42" s="198"/>
      <c r="O42" s="83"/>
    </row>
  </sheetData>
  <mergeCells count="1">
    <mergeCell ref="B4:E1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X83"/>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cols>
    <col min="1" max="1" width="4" style="2" customWidth="1"/>
    <col min="2" max="2" width="82.1406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2.5703125" style="2" customWidth="1"/>
    <col min="11" max="11" width="2.7109375" style="2" customWidth="1"/>
    <col min="12" max="18" width="12.5703125" style="2" customWidth="1"/>
    <col min="19" max="19" width="12.5703125" style="160" customWidth="1"/>
    <col min="20" max="20" width="12.5703125" style="210" customWidth="1"/>
    <col min="21" max="21" width="12.5703125" style="225" customWidth="1"/>
    <col min="22" max="22" width="2.7109375" style="2" customWidth="1"/>
    <col min="23" max="37" width="13.7109375" style="2" customWidth="1"/>
    <col min="38" max="16384" width="9.140625" style="2"/>
  </cols>
  <sheetData>
    <row r="1" spans="1:24">
      <c r="A1" s="8"/>
    </row>
    <row r="2" spans="1:24" s="20" customFormat="1" ht="18">
      <c r="B2" s="20" t="s">
        <v>609</v>
      </c>
    </row>
    <row r="4" spans="1:24">
      <c r="B4" s="1" t="s">
        <v>57</v>
      </c>
      <c r="C4" s="1"/>
      <c r="D4" s="1"/>
    </row>
    <row r="5" spans="1:24" ht="12.75" customHeight="1">
      <c r="B5" s="272" t="s">
        <v>534</v>
      </c>
      <c r="C5" s="275"/>
      <c r="D5" s="275"/>
      <c r="E5" s="275"/>
      <c r="H5" s="21"/>
    </row>
    <row r="6" spans="1:24">
      <c r="B6" s="275"/>
      <c r="C6" s="275"/>
      <c r="D6" s="275"/>
      <c r="E6" s="275"/>
      <c r="F6" s="5"/>
      <c r="H6" s="21"/>
    </row>
    <row r="7" spans="1:24">
      <c r="B7" s="275"/>
      <c r="C7" s="275"/>
      <c r="D7" s="275"/>
      <c r="E7" s="275"/>
      <c r="H7" s="21"/>
    </row>
    <row r="8" spans="1:24">
      <c r="B8" s="275"/>
      <c r="C8" s="275"/>
      <c r="D8" s="275"/>
      <c r="E8" s="275"/>
    </row>
    <row r="9" spans="1:24" s="82" customFormat="1">
      <c r="B9" s="275"/>
      <c r="C9" s="275"/>
      <c r="D9" s="275"/>
      <c r="E9" s="275"/>
      <c r="S9" s="160"/>
      <c r="T9" s="210"/>
      <c r="U9" s="225"/>
    </row>
    <row r="10" spans="1:24" s="7" customFormat="1">
      <c r="B10" s="7" t="s">
        <v>45</v>
      </c>
      <c r="F10" s="7" t="s">
        <v>27</v>
      </c>
      <c r="H10" s="7" t="s">
        <v>28</v>
      </c>
      <c r="J10" s="7" t="s">
        <v>49</v>
      </c>
      <c r="L10" s="73">
        <v>2011</v>
      </c>
      <c r="M10" s="73">
        <v>2012</v>
      </c>
      <c r="N10" s="73">
        <v>2013</v>
      </c>
      <c r="O10" s="73">
        <v>2014</v>
      </c>
      <c r="P10" s="73">
        <v>2015</v>
      </c>
      <c r="Q10" s="73">
        <v>2016</v>
      </c>
      <c r="R10" s="73">
        <v>2017</v>
      </c>
      <c r="S10" s="73">
        <v>2018</v>
      </c>
      <c r="T10" s="73">
        <v>2019</v>
      </c>
      <c r="U10" s="73">
        <v>2020</v>
      </c>
      <c r="W10" s="7" t="s">
        <v>47</v>
      </c>
      <c r="X10" s="35"/>
    </row>
    <row r="13" spans="1:24" s="7" customFormat="1">
      <c r="B13" s="7" t="s">
        <v>48</v>
      </c>
      <c r="S13" s="86"/>
      <c r="T13" s="190"/>
      <c r="U13" s="190"/>
    </row>
    <row r="15" spans="1:24">
      <c r="A15" s="198"/>
      <c r="B15" s="1" t="s">
        <v>70</v>
      </c>
    </row>
    <row r="16" spans="1:24">
      <c r="A16" s="198"/>
      <c r="B16" s="2" t="s">
        <v>382</v>
      </c>
      <c r="F16" s="2" t="s">
        <v>63</v>
      </c>
      <c r="H16" s="104">
        <f>'Tab 12_Berekening parameters'!U52</f>
        <v>0.3780863888075392</v>
      </c>
      <c r="W16" s="5"/>
    </row>
    <row r="17" spans="1:23">
      <c r="A17" s="198"/>
      <c r="B17" s="82" t="s">
        <v>383</v>
      </c>
      <c r="F17" s="2" t="s">
        <v>63</v>
      </c>
      <c r="H17" s="104">
        <f>'Tab 12_Berekening parameters'!U53</f>
        <v>0.34153404033394907</v>
      </c>
      <c r="W17" s="5"/>
    </row>
    <row r="18" spans="1:23">
      <c r="A18" s="198"/>
      <c r="B18" s="82" t="s">
        <v>384</v>
      </c>
      <c r="F18" s="2" t="s">
        <v>63</v>
      </c>
      <c r="H18" s="104">
        <f>'Tab 12_Berekening parameters'!U54</f>
        <v>0.30643043452984231</v>
      </c>
      <c r="W18" s="5"/>
    </row>
    <row r="19" spans="1:23">
      <c r="A19" s="198"/>
      <c r="B19" s="82" t="s">
        <v>385</v>
      </c>
      <c r="F19" s="2" t="s">
        <v>63</v>
      </c>
      <c r="H19" s="104">
        <f>'Tab 12_Berekening parameters'!U55</f>
        <v>0.26531901849600037</v>
      </c>
      <c r="W19" s="5"/>
    </row>
    <row r="20" spans="1:23">
      <c r="A20" s="198"/>
      <c r="B20" s="82" t="s">
        <v>386</v>
      </c>
      <c r="F20" s="2" t="s">
        <v>63</v>
      </c>
      <c r="H20" s="104">
        <f>'Tab 12_Berekening parameters'!U56</f>
        <v>0.21665290240000035</v>
      </c>
      <c r="W20" s="5"/>
    </row>
    <row r="21" spans="1:23">
      <c r="A21" s="198"/>
      <c r="B21" s="82" t="s">
        <v>387</v>
      </c>
      <c r="F21" s="2" t="s">
        <v>63</v>
      </c>
      <c r="H21" s="104">
        <f>'Tab 12_Berekening parameters'!U57</f>
        <v>0.16985856000000021</v>
      </c>
      <c r="W21" s="5"/>
    </row>
    <row r="22" spans="1:23">
      <c r="A22" s="198"/>
      <c r="B22" s="82" t="s">
        <v>388</v>
      </c>
      <c r="F22" s="2" t="s">
        <v>63</v>
      </c>
      <c r="H22" s="104">
        <f>'Tab 12_Berekening parameters'!U58</f>
        <v>0.12486400000000009</v>
      </c>
      <c r="W22" s="5"/>
    </row>
    <row r="23" spans="1:23" s="160" customFormat="1">
      <c r="A23" s="198"/>
      <c r="B23" s="160" t="s">
        <v>375</v>
      </c>
      <c r="F23" s="160" t="s">
        <v>63</v>
      </c>
      <c r="H23" s="104">
        <f>'Tab 12_Berekening parameters'!U59</f>
        <v>8.1600000000000117E-2</v>
      </c>
      <c r="T23" s="210"/>
      <c r="U23" s="225"/>
      <c r="W23" s="5"/>
    </row>
    <row r="24" spans="1:23" s="210" customFormat="1">
      <c r="A24" s="198"/>
      <c r="B24" s="210" t="s">
        <v>389</v>
      </c>
      <c r="F24" s="210" t="s">
        <v>63</v>
      </c>
      <c r="H24" s="104">
        <f>'Tab 12_Berekening parameters'!U60</f>
        <v>4.0000000000000036E-2</v>
      </c>
      <c r="L24" s="5"/>
      <c r="U24" s="225"/>
      <c r="W24" s="5"/>
    </row>
    <row r="25" spans="1:23">
      <c r="A25" s="198"/>
    </row>
    <row r="26" spans="1:23" s="82" customFormat="1">
      <c r="A26" s="198"/>
      <c r="B26" s="81" t="s">
        <v>532</v>
      </c>
      <c r="S26" s="160"/>
      <c r="T26" s="210"/>
      <c r="U26" s="225"/>
    </row>
    <row r="27" spans="1:23">
      <c r="A27" s="198"/>
      <c r="B27" s="2" t="s">
        <v>152</v>
      </c>
      <c r="F27" s="2" t="s">
        <v>208</v>
      </c>
      <c r="L27" s="36">
        <f>'Tab 6_Correcties en prognoses'!L18</f>
        <v>0</v>
      </c>
      <c r="M27" s="36">
        <f>'Tab 6_Correcties en prognoses'!M18</f>
        <v>0</v>
      </c>
      <c r="N27" s="36">
        <f>'Tab 6_Correcties en prognoses'!N18</f>
        <v>0</v>
      </c>
      <c r="O27" s="36">
        <f>'Tab 6_Correcties en prognoses'!O18</f>
        <v>0</v>
      </c>
      <c r="P27" s="36">
        <f>'Tab 6_Correcties en prognoses'!P18</f>
        <v>0</v>
      </c>
      <c r="Q27" s="36">
        <f>'Tab 6_Correcties en prognoses'!Q18</f>
        <v>0</v>
      </c>
      <c r="R27" s="36">
        <f>'Tab 6_Correcties en prognoses'!R18</f>
        <v>0</v>
      </c>
      <c r="S27" s="194">
        <f>'Tab 6_Correcties en prognoses'!S18</f>
        <v>0</v>
      </c>
      <c r="W27" s="21"/>
    </row>
    <row r="28" spans="1:23" s="82" customFormat="1">
      <c r="A28" s="198"/>
      <c r="B28" s="8"/>
      <c r="L28" s="45"/>
      <c r="M28" s="45"/>
      <c r="N28" s="45"/>
      <c r="O28" s="45"/>
      <c r="P28" s="45"/>
      <c r="Q28" s="45"/>
      <c r="R28" s="45"/>
      <c r="S28" s="45"/>
      <c r="T28" s="210"/>
      <c r="U28" s="225"/>
    </row>
    <row r="29" spans="1:23" s="225" customFormat="1">
      <c r="A29" s="198"/>
      <c r="B29" s="187" t="s">
        <v>533</v>
      </c>
      <c r="L29" s="45"/>
      <c r="M29" s="45"/>
      <c r="N29" s="45"/>
      <c r="O29" s="45"/>
      <c r="P29" s="45"/>
      <c r="Q29" s="45"/>
      <c r="R29" s="45"/>
      <c r="S29" s="45"/>
    </row>
    <row r="30" spans="1:23">
      <c r="A30" s="198"/>
      <c r="B30" s="8" t="s">
        <v>153</v>
      </c>
      <c r="F30" s="2" t="s">
        <v>208</v>
      </c>
      <c r="L30" s="36">
        <f>'Tab 6_Correcties en prognoses'!L24</f>
        <v>0</v>
      </c>
      <c r="M30" s="36">
        <f>'Tab 6_Correcties en prognoses'!M24</f>
        <v>0</v>
      </c>
      <c r="N30" s="36">
        <f>'Tab 6_Correcties en prognoses'!N24</f>
        <v>0</v>
      </c>
      <c r="O30" s="36">
        <f>'Tab 6_Correcties en prognoses'!O24</f>
        <v>-2760</v>
      </c>
      <c r="P30" s="36">
        <f>'Tab 6_Correcties en prognoses'!P24</f>
        <v>2760</v>
      </c>
      <c r="Q30" s="36">
        <f>'Tab 6_Correcties en prognoses'!Q24</f>
        <v>2760</v>
      </c>
      <c r="R30" s="36">
        <f>'Tab 6_Correcties en prognoses'!R24</f>
        <v>2948563.932</v>
      </c>
      <c r="S30" s="194">
        <f>'Tab 6_Correcties en prognoses'!S24</f>
        <v>0</v>
      </c>
    </row>
    <row r="31" spans="1:23">
      <c r="A31" s="198"/>
      <c r="B31" s="188" t="s">
        <v>390</v>
      </c>
      <c r="F31" s="82" t="s">
        <v>208</v>
      </c>
      <c r="L31" s="194">
        <f>'Tab 6_Correcties en prognoses'!L25</f>
        <v>0</v>
      </c>
      <c r="M31" s="194">
        <f>'Tab 6_Correcties en prognoses'!M25</f>
        <v>0</v>
      </c>
      <c r="N31" s="194">
        <f>'Tab 6_Correcties en prognoses'!N25</f>
        <v>0</v>
      </c>
      <c r="O31" s="194">
        <f>'Tab 6_Correcties en prognoses'!O25</f>
        <v>0</v>
      </c>
      <c r="P31" s="194">
        <f>'Tab 6_Correcties en prognoses'!P25</f>
        <v>0</v>
      </c>
      <c r="Q31" s="194">
        <f>'Tab 6_Correcties en prognoses'!Q25</f>
        <v>0</v>
      </c>
      <c r="R31" s="194">
        <f>'Tab 6_Correcties en prognoses'!R25</f>
        <v>0</v>
      </c>
      <c r="S31" s="194">
        <f>'Tab 6_Correcties en prognoses'!S25</f>
        <v>0</v>
      </c>
    </row>
    <row r="32" spans="1:23" s="8" customFormat="1">
      <c r="A32" s="198"/>
      <c r="L32" s="45"/>
      <c r="M32" s="45"/>
      <c r="N32" s="45"/>
      <c r="O32" s="45"/>
      <c r="P32" s="45"/>
      <c r="Q32" s="45"/>
      <c r="R32" s="45"/>
      <c r="S32" s="45"/>
      <c r="T32" s="210"/>
      <c r="U32" s="225"/>
    </row>
    <row r="33" spans="1:21" s="8" customFormat="1">
      <c r="A33" s="198"/>
      <c r="B33" s="96" t="s">
        <v>214</v>
      </c>
      <c r="L33" s="45"/>
      <c r="M33" s="45"/>
      <c r="N33" s="45"/>
      <c r="O33" s="45"/>
      <c r="P33" s="45"/>
      <c r="Q33" s="45"/>
      <c r="R33" s="45"/>
      <c r="S33" s="45"/>
      <c r="T33" s="45"/>
      <c r="U33" s="45"/>
    </row>
    <row r="34" spans="1:21">
      <c r="A34" s="198"/>
      <c r="B34" s="2" t="s">
        <v>217</v>
      </c>
      <c r="F34" s="82" t="s">
        <v>208</v>
      </c>
      <c r="L34" s="36">
        <f>'Tab 6_Correcties en prognoses'!L31</f>
        <v>207131.21</v>
      </c>
      <c r="M34" s="36">
        <f>'Tab 6_Correcties en prognoses'!M31</f>
        <v>480652.79000000004</v>
      </c>
      <c r="N34" s="36">
        <f>'Tab 6_Correcties en prognoses'!N31</f>
        <v>537799.8600000001</v>
      </c>
      <c r="O34" s="36">
        <f>'Tab 6_Correcties en prognoses'!O31</f>
        <v>203463.49</v>
      </c>
      <c r="P34" s="45"/>
      <c r="Q34" s="45"/>
      <c r="R34" s="45"/>
      <c r="S34" s="45"/>
      <c r="T34" s="45"/>
      <c r="U34" s="45"/>
    </row>
    <row r="35" spans="1:21">
      <c r="A35" s="198"/>
      <c r="B35" s="82" t="s">
        <v>215</v>
      </c>
      <c r="F35" s="82" t="s">
        <v>208</v>
      </c>
      <c r="L35" s="45"/>
      <c r="M35" s="45"/>
      <c r="N35" s="45"/>
      <c r="O35" s="45"/>
      <c r="P35" s="45"/>
      <c r="Q35" s="45"/>
      <c r="S35" s="36">
        <f>'Tab 6_Correcties en prognoses'!S32</f>
        <v>46714.18</v>
      </c>
      <c r="T35" s="36">
        <f>'Tab 6_Correcties en prognoses'!T32</f>
        <v>0</v>
      </c>
    </row>
    <row r="36" spans="1:21">
      <c r="A36" s="198"/>
      <c r="B36" s="82" t="s">
        <v>216</v>
      </c>
      <c r="F36" s="82" t="s">
        <v>208</v>
      </c>
      <c r="L36" s="45"/>
      <c r="M36" s="45"/>
      <c r="N36" s="45"/>
      <c r="O36" s="45"/>
      <c r="P36" s="45"/>
      <c r="Q36" s="45"/>
      <c r="S36" s="36">
        <f>'Tab 6_Correcties en prognoses'!S33</f>
        <v>0</v>
      </c>
      <c r="T36" s="36">
        <f>'Tab 6_Correcties en prognoses'!T33</f>
        <v>1037884.10697</v>
      </c>
    </row>
    <row r="37" spans="1:21" s="82" customFormat="1">
      <c r="A37" s="198"/>
      <c r="B37" s="8"/>
      <c r="S37" s="160"/>
      <c r="T37" s="210"/>
      <c r="U37" s="225"/>
    </row>
    <row r="38" spans="1:21" s="238" customFormat="1">
      <c r="A38" s="198"/>
      <c r="B38" s="187" t="s">
        <v>719</v>
      </c>
    </row>
    <row r="39" spans="1:21" s="238" customFormat="1">
      <c r="B39" s="238" t="s">
        <v>588</v>
      </c>
      <c r="F39" s="238" t="s">
        <v>208</v>
      </c>
      <c r="R39" s="194">
        <f>'Tab 10_Brondata'!R39</f>
        <v>771183.69848376513</v>
      </c>
    </row>
    <row r="40" spans="1:21" s="238" customFormat="1">
      <c r="B40" s="238" t="s">
        <v>589</v>
      </c>
      <c r="F40" s="238" t="s">
        <v>208</v>
      </c>
      <c r="R40" s="194">
        <f>'Tab 10_Brondata'!R40</f>
        <v>40672.041934040375</v>
      </c>
    </row>
    <row r="41" spans="1:21" s="238" customFormat="1"/>
    <row r="42" spans="1:21" s="238" customFormat="1">
      <c r="B42" s="238" t="s">
        <v>590</v>
      </c>
      <c r="F42" s="238" t="s">
        <v>208</v>
      </c>
      <c r="R42" s="194">
        <f>'Tab 10_Brondata'!R42</f>
        <v>383883.67501529306</v>
      </c>
    </row>
    <row r="43" spans="1:21" s="238" customFormat="1">
      <c r="B43" s="238" t="s">
        <v>591</v>
      </c>
      <c r="F43" s="238" t="s">
        <v>208</v>
      </c>
      <c r="R43" s="194">
        <f>'Tab 10_Brondata'!R43</f>
        <v>29461.528469999786</v>
      </c>
    </row>
    <row r="44" spans="1:21" s="238" customFormat="1"/>
    <row r="45" spans="1:21" s="238" customFormat="1">
      <c r="B45" s="238" t="s">
        <v>592</v>
      </c>
      <c r="F45" s="238" t="s">
        <v>208</v>
      </c>
      <c r="S45" s="194">
        <f>'Tab 10_Brondata'!S45</f>
        <v>1615.8145584128797</v>
      </c>
    </row>
    <row r="46" spans="1:21" s="238" customFormat="1">
      <c r="B46" s="238" t="s">
        <v>593</v>
      </c>
      <c r="F46" s="238" t="s">
        <v>208</v>
      </c>
      <c r="S46" s="194">
        <f>'Tab 10_Brondata'!S46</f>
        <v>203.73837881255895</v>
      </c>
    </row>
    <row r="47" spans="1:21" s="238" customFormat="1"/>
    <row r="48" spans="1:21" s="238" customFormat="1">
      <c r="B48" s="238" t="s">
        <v>594</v>
      </c>
      <c r="F48" s="238" t="s">
        <v>208</v>
      </c>
      <c r="S48" s="194">
        <f>'Tab 10_Brondata'!S48</f>
        <v>3702.2949582263827</v>
      </c>
    </row>
    <row r="49" spans="1:21" s="238" customFormat="1">
      <c r="B49" s="238" t="s">
        <v>595</v>
      </c>
      <c r="F49" s="238" t="s">
        <v>208</v>
      </c>
      <c r="S49" s="194">
        <f>'Tab 10_Brondata'!S49</f>
        <v>261.99119976628572</v>
      </c>
    </row>
    <row r="50" spans="1:21" s="238" customFormat="1"/>
    <row r="51" spans="1:21" s="238" customFormat="1">
      <c r="B51" s="238" t="s">
        <v>596</v>
      </c>
      <c r="F51" s="238" t="s">
        <v>208</v>
      </c>
      <c r="T51" s="194">
        <f>'Tab 10_Brondata'!T51</f>
        <v>-83185.043538883328</v>
      </c>
    </row>
    <row r="52" spans="1:21" s="238" customFormat="1">
      <c r="B52" s="238" t="s">
        <v>597</v>
      </c>
      <c r="F52" s="238" t="s">
        <v>208</v>
      </c>
      <c r="T52" s="194">
        <f>'Tab 10_Brondata'!T52</f>
        <v>-3065.4304138251173</v>
      </c>
    </row>
    <row r="53" spans="1:21" s="238" customFormat="1">
      <c r="B53" s="198"/>
    </row>
    <row r="54" spans="1:21" s="7" customFormat="1">
      <c r="B54" s="7" t="s">
        <v>156</v>
      </c>
      <c r="S54" s="86"/>
      <c r="T54" s="190"/>
      <c r="U54" s="190"/>
    </row>
    <row r="56" spans="1:21" s="82" customFormat="1">
      <c r="A56" s="198"/>
      <c r="B56" s="81" t="s">
        <v>532</v>
      </c>
      <c r="S56" s="160"/>
      <c r="T56" s="210"/>
      <c r="U56" s="225"/>
    </row>
    <row r="57" spans="1:21">
      <c r="A57" s="198"/>
      <c r="B57" s="8" t="s">
        <v>391</v>
      </c>
      <c r="F57" s="2" t="s">
        <v>208</v>
      </c>
      <c r="J57" s="225"/>
      <c r="L57" s="225"/>
      <c r="M57" s="225"/>
      <c r="N57" s="225"/>
      <c r="O57" s="225"/>
      <c r="P57" s="225"/>
      <c r="Q57" s="225"/>
      <c r="R57" s="225"/>
      <c r="S57" s="225"/>
      <c r="T57" s="225"/>
      <c r="U57" s="38">
        <f>L27*(1+$H$16)+M27*(1+$H$17)+N27*(1+$H$18)+O27*(1+$H$19)+P27*(1+$H$20)+Q27*(1+$H$21)+R27*(1+$H$22)+S27*(1+$H$23)+T27*(1+$H$24)</f>
        <v>0</v>
      </c>
    </row>
    <row r="58" spans="1:21">
      <c r="A58" s="198"/>
      <c r="B58" s="8"/>
      <c r="J58" s="225"/>
      <c r="L58" s="225"/>
      <c r="M58" s="225"/>
      <c r="N58" s="225"/>
      <c r="O58" s="225"/>
      <c r="P58" s="225"/>
      <c r="Q58" s="225"/>
      <c r="R58" s="225"/>
      <c r="S58" s="225"/>
      <c r="T58" s="225"/>
    </row>
    <row r="59" spans="1:21" s="82" customFormat="1">
      <c r="A59" s="198"/>
      <c r="B59" s="96" t="s">
        <v>533</v>
      </c>
      <c r="J59" s="225"/>
      <c r="L59" s="225"/>
      <c r="M59" s="225"/>
      <c r="N59" s="225"/>
      <c r="O59" s="225"/>
      <c r="P59" s="225"/>
      <c r="Q59" s="225"/>
      <c r="R59" s="225"/>
      <c r="S59" s="225"/>
      <c r="T59" s="225"/>
      <c r="U59" s="225"/>
    </row>
    <row r="60" spans="1:21">
      <c r="A60" s="198"/>
      <c r="B60" s="8" t="s">
        <v>392</v>
      </c>
      <c r="F60" s="210" t="s">
        <v>208</v>
      </c>
      <c r="J60" s="225"/>
      <c r="L60" s="225"/>
      <c r="M60" s="225"/>
      <c r="N60" s="225"/>
      <c r="O60" s="225"/>
      <c r="P60" s="225"/>
      <c r="Q60" s="225"/>
      <c r="R60" s="225"/>
      <c r="S60" s="225"/>
      <c r="T60" s="225"/>
      <c r="U60" s="38">
        <f>L30*(1+$H$16)+M30*(1+$H$17)+N30*(1+$H$18)+O30*(1+$H$19)+P30*(1+$H$20)+Q30*(1+$H$21)+R30*(1+$H$22)+S30*(1+$H$23)+T30*(1+$H$24)</f>
        <v>3319827.9099504231</v>
      </c>
    </row>
    <row r="61" spans="1:21">
      <c r="A61" s="198"/>
      <c r="B61" s="191" t="s">
        <v>393</v>
      </c>
      <c r="F61" s="210" t="s">
        <v>208</v>
      </c>
      <c r="J61" s="225"/>
      <c r="L61" s="225"/>
      <c r="M61" s="225"/>
      <c r="N61" s="225"/>
      <c r="O61" s="225"/>
      <c r="P61" s="225"/>
      <c r="Q61" s="225"/>
      <c r="R61" s="225"/>
      <c r="S61" s="225"/>
      <c r="T61" s="225"/>
      <c r="U61" s="38">
        <f>L31*(1+$H$16)+M31*(1+$H$17)+N31*(1+$H$18)+O31*(1+$H$19)+P31*(1+$H$20)+Q31*(1+$H$21)+R31*(1+$H$22)+S31*(1+$H$23)+T31*(1+$H$24)</f>
        <v>0</v>
      </c>
    </row>
    <row r="62" spans="1:21">
      <c r="A62" s="198"/>
      <c r="J62" s="47"/>
    </row>
    <row r="63" spans="1:21">
      <c r="A63" s="198"/>
      <c r="B63" s="96" t="s">
        <v>214</v>
      </c>
    </row>
    <row r="64" spans="1:21">
      <c r="A64" s="198"/>
      <c r="B64" s="8" t="s">
        <v>373</v>
      </c>
      <c r="F64" s="210" t="s">
        <v>208</v>
      </c>
      <c r="J64" s="225"/>
      <c r="K64" s="225"/>
      <c r="L64" s="225"/>
      <c r="M64" s="225"/>
      <c r="N64" s="225"/>
      <c r="O64" s="225"/>
      <c r="P64" s="225"/>
      <c r="Q64" s="225"/>
      <c r="R64" s="225"/>
      <c r="S64" s="225"/>
      <c r="T64" s="225"/>
      <c r="U64" s="38">
        <f>L34*(1+$H$16)+M34*(1+$H$17)+N34*(1+$H$18)+O34*(1+$H$19)+P34*(1+$H$20)+Q34*(1+$H$21)+R34*(1+$H$22)+S34*(1+$H$23)+T34*(1+$H$24)</f>
        <v>1890301.1088211804</v>
      </c>
    </row>
    <row r="65" spans="1:21" s="82" customFormat="1">
      <c r="A65" s="198"/>
      <c r="B65" s="82" t="s">
        <v>372</v>
      </c>
      <c r="F65" s="225" t="s">
        <v>208</v>
      </c>
      <c r="J65" s="225"/>
      <c r="K65" s="225"/>
      <c r="L65" s="225"/>
      <c r="M65" s="225"/>
      <c r="N65" s="225"/>
      <c r="O65" s="225"/>
      <c r="P65" s="225"/>
      <c r="Q65" s="225"/>
      <c r="R65" s="225"/>
      <c r="S65" s="225"/>
      <c r="T65" s="225"/>
      <c r="U65" s="38">
        <f>L35*(1+$H$16)+M35*(1+$H$17)+N35*(1+$H$18)+O35*(1+$H$19)+P35*(1+$H$20)+Q35*(1+$H$21)+R35*(1+$H$22)+S35*(1+$H$23)+T35*(1+$H$24)</f>
        <v>50526.057088000009</v>
      </c>
    </row>
    <row r="66" spans="1:21" s="82" customFormat="1">
      <c r="A66" s="198"/>
      <c r="B66" s="82" t="s">
        <v>371</v>
      </c>
      <c r="F66" s="225" t="s">
        <v>208</v>
      </c>
      <c r="J66" s="225"/>
      <c r="K66" s="225"/>
      <c r="L66" s="225"/>
      <c r="M66" s="225"/>
      <c r="N66" s="225"/>
      <c r="O66" s="225"/>
      <c r="P66" s="225"/>
      <c r="Q66" s="225"/>
      <c r="R66" s="225"/>
      <c r="S66" s="225"/>
      <c r="T66" s="225"/>
      <c r="U66" s="38">
        <f>L36*(1+$H$16)+M36*(1+$H$17)+N36*(1+$H$18)+O36*(1+$H$19)+P36*(1+$H$20)+Q36*(1+$H$21)+R36*(1+$H$22)+S36*(1+$H$23)+T36*(1+$H$24)</f>
        <v>1079399.4712487999</v>
      </c>
    </row>
    <row r="67" spans="1:21">
      <c r="A67" s="198"/>
      <c r="U67" s="238"/>
    </row>
    <row r="68" spans="1:21">
      <c r="B68" s="187" t="s">
        <v>703</v>
      </c>
      <c r="U68" s="238"/>
    </row>
    <row r="69" spans="1:21">
      <c r="B69" s="238" t="s">
        <v>566</v>
      </c>
      <c r="F69" s="238" t="s">
        <v>208</v>
      </c>
      <c r="U69" s="38">
        <f t="shared" ref="U69:U82" si="0">L39*(1+$H$16)+M39*(1+$H$17)+N39*(1+$H$18)+O39*(1+$H$19)+P39*(1+$H$20)+Q39*(1+$H$21)+R39*(1+$H$22)+S39*(1+$H$23)+T39*(1+$H$24)</f>
        <v>867476.77981124201</v>
      </c>
    </row>
    <row r="70" spans="1:21">
      <c r="B70" s="238" t="s">
        <v>567</v>
      </c>
      <c r="F70" s="238" t="s">
        <v>208</v>
      </c>
      <c r="U70" s="38">
        <f t="shared" si="0"/>
        <v>45750.515778092398</v>
      </c>
    </row>
    <row r="71" spans="1:21">
      <c r="B71" s="238"/>
      <c r="F71" s="238"/>
      <c r="U71" s="238"/>
    </row>
    <row r="72" spans="1:21">
      <c r="B72" s="238" t="s">
        <v>568</v>
      </c>
      <c r="F72" s="238" t="s">
        <v>208</v>
      </c>
      <c r="U72" s="38">
        <f t="shared" si="0"/>
        <v>431816.92621240264</v>
      </c>
    </row>
    <row r="73" spans="1:21">
      <c r="B73" s="238" t="s">
        <v>569</v>
      </c>
      <c r="F73" s="238" t="s">
        <v>208</v>
      </c>
      <c r="U73" s="38">
        <f t="shared" si="0"/>
        <v>33140.212760877839</v>
      </c>
    </row>
    <row r="74" spans="1:21">
      <c r="B74" s="238"/>
      <c r="F74" s="238"/>
      <c r="U74" s="238"/>
    </row>
    <row r="75" spans="1:21">
      <c r="B75" s="238" t="s">
        <v>570</v>
      </c>
      <c r="F75" s="238" t="s">
        <v>208</v>
      </c>
      <c r="U75" s="38">
        <f t="shared" si="0"/>
        <v>1747.6650263793708</v>
      </c>
    </row>
    <row r="76" spans="1:21">
      <c r="B76" s="238" t="s">
        <v>571</v>
      </c>
      <c r="F76" s="238" t="s">
        <v>208</v>
      </c>
      <c r="U76" s="38">
        <f t="shared" si="0"/>
        <v>220.36343052366379</v>
      </c>
    </row>
    <row r="77" spans="1:21">
      <c r="B77" s="238"/>
      <c r="F77" s="238"/>
      <c r="U77" s="238"/>
    </row>
    <row r="78" spans="1:21">
      <c r="B78" s="238" t="s">
        <v>572</v>
      </c>
      <c r="F78" s="238" t="s">
        <v>208</v>
      </c>
      <c r="U78" s="38">
        <f t="shared" si="0"/>
        <v>4004.4022268176559</v>
      </c>
    </row>
    <row r="79" spans="1:21">
      <c r="B79" s="238" t="s">
        <v>573</v>
      </c>
      <c r="F79" s="238" t="s">
        <v>208</v>
      </c>
      <c r="U79" s="38">
        <f t="shared" si="0"/>
        <v>283.36968166721465</v>
      </c>
    </row>
    <row r="80" spans="1:21">
      <c r="B80" s="238"/>
      <c r="F80" s="238"/>
      <c r="U80" s="238"/>
    </row>
    <row r="81" spans="2:21">
      <c r="B81" s="238" t="s">
        <v>574</v>
      </c>
      <c r="F81" s="238" t="s">
        <v>208</v>
      </c>
      <c r="U81" s="38">
        <f t="shared" si="0"/>
        <v>-86512.445280438667</v>
      </c>
    </row>
    <row r="82" spans="2:21">
      <c r="B82" s="238" t="s">
        <v>575</v>
      </c>
      <c r="F82" s="238" t="s">
        <v>208</v>
      </c>
      <c r="U82" s="38">
        <f t="shared" si="0"/>
        <v>-3188.047630378122</v>
      </c>
    </row>
    <row r="83" spans="2:21">
      <c r="U83" s="238"/>
    </row>
  </sheetData>
  <mergeCells count="1">
    <mergeCell ref="B5:E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R52"/>
  <sheetViews>
    <sheetView showGridLines="0" zoomScale="85" zoomScaleNormal="85" workbookViewId="0">
      <pane xSplit="6" ySplit="14" topLeftCell="G15" activePane="bottomRight" state="frozen"/>
      <selection pane="topRight"/>
      <selection pane="bottomLeft"/>
      <selection pane="bottomRight"/>
    </sheetView>
  </sheetViews>
  <sheetFormatPr defaultColWidth="9.140625" defaultRowHeight="12.75"/>
  <cols>
    <col min="1" max="1" width="4" style="2" customWidth="1"/>
    <col min="2" max="2" width="55" style="2" customWidth="1"/>
    <col min="3" max="5" width="4.5703125" style="2" customWidth="1"/>
    <col min="6" max="6" width="13.7109375" style="2" customWidth="1"/>
    <col min="7" max="7" width="2.7109375" style="2" customWidth="1"/>
    <col min="8" max="8" width="15.28515625" style="2" customWidth="1"/>
    <col min="9" max="9" width="2.7109375" style="2" customWidth="1"/>
    <col min="10" max="10" width="15.28515625" style="2" customWidth="1"/>
    <col min="11" max="11" width="2.7109375" style="2" customWidth="1"/>
    <col min="12" max="16" width="15.28515625" style="2" customWidth="1"/>
    <col min="17" max="17" width="2.7109375" style="2" customWidth="1"/>
    <col min="18" max="32" width="13.7109375" style="2" customWidth="1"/>
    <col min="33" max="16384" width="9.140625" style="2"/>
  </cols>
  <sheetData>
    <row r="1" spans="1:18">
      <c r="A1" s="8"/>
    </row>
    <row r="2" spans="1:18" s="20" customFormat="1" ht="18">
      <c r="B2" s="20" t="s">
        <v>610</v>
      </c>
    </row>
    <row r="4" spans="1:18" s="148" customFormat="1">
      <c r="B4" s="269" t="s">
        <v>405</v>
      </c>
      <c r="C4" s="269"/>
      <c r="D4" s="269"/>
      <c r="E4" s="269"/>
      <c r="H4" s="83"/>
    </row>
    <row r="5" spans="1:18" s="148" customFormat="1">
      <c r="B5" s="269"/>
      <c r="C5" s="269"/>
      <c r="D5" s="269"/>
      <c r="E5" s="269"/>
      <c r="H5" s="83"/>
    </row>
    <row r="6" spans="1:18" s="148" customFormat="1">
      <c r="B6" s="269"/>
      <c r="C6" s="269"/>
      <c r="D6" s="269"/>
      <c r="E6" s="269"/>
    </row>
    <row r="7" spans="1:18" s="148" customFormat="1">
      <c r="B7" s="269"/>
      <c r="C7" s="269"/>
      <c r="D7" s="269"/>
      <c r="E7" s="269"/>
    </row>
    <row r="8" spans="1:18" s="148" customFormat="1">
      <c r="B8" s="269"/>
      <c r="C8" s="269"/>
      <c r="D8" s="269"/>
      <c r="E8" s="269"/>
    </row>
    <row r="9" spans="1:18" s="148" customFormat="1">
      <c r="B9" s="269"/>
      <c r="C9" s="269"/>
      <c r="D9" s="269"/>
      <c r="E9" s="269"/>
    </row>
    <row r="10" spans="1:18" s="148" customFormat="1">
      <c r="B10" s="269"/>
      <c r="C10" s="269"/>
      <c r="D10" s="269"/>
      <c r="E10" s="269"/>
    </row>
    <row r="11" spans="1:18">
      <c r="B11" s="269"/>
      <c r="C11" s="269"/>
      <c r="D11" s="269"/>
      <c r="E11" s="269"/>
    </row>
    <row r="13" spans="1:18" s="7" customFormat="1" ht="51">
      <c r="B13" s="7" t="s">
        <v>45</v>
      </c>
      <c r="F13" s="7" t="s">
        <v>27</v>
      </c>
      <c r="H13" s="7" t="s">
        <v>28</v>
      </c>
      <c r="J13" s="7" t="s">
        <v>49</v>
      </c>
      <c r="L13" s="41" t="s">
        <v>79</v>
      </c>
      <c r="M13" s="31" t="s">
        <v>80</v>
      </c>
      <c r="N13" s="31" t="s">
        <v>81</v>
      </c>
      <c r="O13" s="31" t="s">
        <v>82</v>
      </c>
      <c r="P13" s="31" t="s">
        <v>174</v>
      </c>
      <c r="R13" s="7" t="s">
        <v>47</v>
      </c>
    </row>
    <row r="16" spans="1:18" s="7" customFormat="1">
      <c r="B16" s="7" t="s">
        <v>48</v>
      </c>
    </row>
    <row r="17" spans="1:18">
      <c r="A17" s="198"/>
    </row>
    <row r="18" spans="1:18">
      <c r="A18" s="198"/>
      <c r="B18" s="215" t="s">
        <v>434</v>
      </c>
      <c r="F18" s="2" t="s">
        <v>63</v>
      </c>
      <c r="H18" s="104">
        <f>'Tab 12_Berekening parameters'!H62</f>
        <v>6.0596058827298904E-2</v>
      </c>
      <c r="J18" s="216"/>
    </row>
    <row r="19" spans="1:18">
      <c r="A19" s="198"/>
    </row>
    <row r="20" spans="1:18">
      <c r="A20" s="198"/>
      <c r="B20" s="1" t="s">
        <v>83</v>
      </c>
    </row>
    <row r="21" spans="1:18">
      <c r="A21" s="198"/>
      <c r="B21" s="23" t="s">
        <v>400</v>
      </c>
      <c r="F21" s="2" t="s">
        <v>127</v>
      </c>
      <c r="L21" s="97">
        <f>'Tab 11_Tarieven, RV en omzet'!L15</f>
        <v>12478.96</v>
      </c>
      <c r="M21" s="97">
        <f>'Tab 11_Tarieven, RV en omzet'!M15</f>
        <v>6.87</v>
      </c>
      <c r="N21" s="97">
        <f>'Tab 11_Tarieven, RV en omzet'!N15</f>
        <v>0.7</v>
      </c>
      <c r="O21" s="97">
        <f>'Tab 11_Tarieven, RV en omzet'!O15</f>
        <v>3.44</v>
      </c>
      <c r="P21" s="97">
        <f>'Tab 11_Tarieven, RV en omzet'!P15</f>
        <v>0.24</v>
      </c>
    </row>
    <row r="22" spans="1:18">
      <c r="A22" s="198"/>
      <c r="B22" s="23" t="s">
        <v>331</v>
      </c>
      <c r="F22" s="2" t="s">
        <v>84</v>
      </c>
      <c r="L22" s="97">
        <f>'Tab 8_Voorstel tarieven en RV'!L23</f>
        <v>22.916666666666668</v>
      </c>
      <c r="M22" s="36">
        <f>'Tab 8_Voorstel tarieven en RV'!M23</f>
        <v>1256264</v>
      </c>
      <c r="N22" s="36">
        <f>'Tab 8_Voorstel tarieven en RV'!N23</f>
        <v>11697648</v>
      </c>
      <c r="O22" s="36">
        <f>'Tab 8_Voorstel tarieven en RV'!O23</f>
        <v>176933</v>
      </c>
      <c r="P22" s="36">
        <f>'Tab 8_Voorstel tarieven en RV'!P23</f>
        <v>2230924</v>
      </c>
      <c r="R22" s="21"/>
    </row>
    <row r="23" spans="1:18">
      <c r="A23" s="198"/>
      <c r="B23" s="1"/>
    </row>
    <row r="24" spans="1:18" s="82" customFormat="1">
      <c r="A24" s="198"/>
      <c r="B24" s="93" t="s">
        <v>401</v>
      </c>
      <c r="C24" s="93"/>
      <c r="F24" s="214" t="s">
        <v>127</v>
      </c>
      <c r="H24" s="36">
        <f>'Tab 11_Tarieven, RV en omzet'!H18</f>
        <v>270377.46666666667</v>
      </c>
    </row>
    <row r="25" spans="1:18" s="82" customFormat="1">
      <c r="A25" s="198"/>
      <c r="B25" s="93" t="s">
        <v>402</v>
      </c>
      <c r="C25" s="93"/>
      <c r="F25" s="214" t="s">
        <v>127</v>
      </c>
      <c r="H25" s="36">
        <f>'Tab 11_Tarieven, RV en omzet'!H19</f>
        <v>19631045.628011692</v>
      </c>
    </row>
    <row r="26" spans="1:18">
      <c r="A26" s="198"/>
      <c r="B26" s="48"/>
      <c r="C26" s="48"/>
    </row>
    <row r="27" spans="1:18">
      <c r="A27" s="198"/>
      <c r="B27" s="49" t="s">
        <v>85</v>
      </c>
      <c r="C27" s="48"/>
    </row>
    <row r="28" spans="1:18">
      <c r="A28" s="198"/>
      <c r="B28" s="23" t="s">
        <v>400</v>
      </c>
      <c r="F28" s="214" t="s">
        <v>127</v>
      </c>
      <c r="L28" s="97">
        <f>'Tab 11_Tarieven, RV en omzet'!L22</f>
        <v>2760</v>
      </c>
      <c r="M28" s="97">
        <f>'Tab 11_Tarieven, RV en omzet'!M22</f>
        <v>17</v>
      </c>
      <c r="N28" s="97">
        <f>'Tab 11_Tarieven, RV en omzet'!N22</f>
        <v>1.63</v>
      </c>
      <c r="O28" s="97">
        <f>'Tab 11_Tarieven, RV en omzet'!O22</f>
        <v>8.51</v>
      </c>
      <c r="P28" s="97">
        <f>'Tab 11_Tarieven, RV en omzet'!P22</f>
        <v>0.56000000000000005</v>
      </c>
    </row>
    <row r="29" spans="1:18">
      <c r="A29" s="198"/>
      <c r="B29" s="23" t="s">
        <v>331</v>
      </c>
      <c r="F29" s="2" t="s">
        <v>84</v>
      </c>
      <c r="L29" s="97">
        <f>'Tab 8_Voorstel tarieven en RV'!L26</f>
        <v>94.25</v>
      </c>
      <c r="M29" s="36">
        <f>'Tab 8_Voorstel tarieven en RV'!M26</f>
        <v>14934432</v>
      </c>
      <c r="N29" s="36">
        <f>'Tab 8_Voorstel tarieven en RV'!N26</f>
        <v>153717225</v>
      </c>
      <c r="O29" s="36">
        <f>'Tab 8_Voorstel tarieven en RV'!O26</f>
        <v>247091</v>
      </c>
      <c r="P29" s="36">
        <f>'Tab 8_Voorstel tarieven en RV'!P26</f>
        <v>1955216</v>
      </c>
    </row>
    <row r="30" spans="1:18">
      <c r="A30" s="198"/>
      <c r="B30" s="1"/>
    </row>
    <row r="31" spans="1:18" s="82" customFormat="1">
      <c r="A31" s="198"/>
      <c r="B31" s="93" t="s">
        <v>403</v>
      </c>
      <c r="C31" s="93"/>
      <c r="F31" s="214" t="s">
        <v>127</v>
      </c>
      <c r="H31" s="36">
        <f>'Tab 11_Tarieven, RV en omzet'!H25</f>
        <v>246100</v>
      </c>
    </row>
    <row r="32" spans="1:18" s="82" customFormat="1">
      <c r="A32" s="198"/>
      <c r="B32" s="93" t="s">
        <v>404</v>
      </c>
      <c r="C32" s="93"/>
      <c r="F32" s="214" t="s">
        <v>127</v>
      </c>
      <c r="H32" s="36">
        <f>'Tab 11_Tarieven, RV en omzet'!H26</f>
        <v>500497514.48065543</v>
      </c>
    </row>
    <row r="33" spans="1:16">
      <c r="B33" s="48"/>
      <c r="C33" s="48"/>
    </row>
    <row r="34" spans="1:16" s="7" customFormat="1">
      <c r="B34" s="7" t="s">
        <v>159</v>
      </c>
    </row>
    <row r="36" spans="1:16" s="82" customFormat="1">
      <c r="A36" s="198"/>
      <c r="B36" s="82" t="s">
        <v>406</v>
      </c>
      <c r="F36" s="214" t="s">
        <v>127</v>
      </c>
      <c r="H36" s="37">
        <f>H24+H25</f>
        <v>19901423.094678357</v>
      </c>
    </row>
    <row r="37" spans="1:16" s="82" customFormat="1">
      <c r="A37" s="198"/>
      <c r="B37" s="82" t="s">
        <v>407</v>
      </c>
      <c r="F37" s="214" t="s">
        <v>127</v>
      </c>
      <c r="H37" s="37">
        <f>H31+H32</f>
        <v>500743614.48065543</v>
      </c>
    </row>
    <row r="38" spans="1:16" s="82" customFormat="1">
      <c r="A38" s="198"/>
    </row>
    <row r="39" spans="1:16">
      <c r="A39" s="198"/>
      <c r="B39" s="1" t="s">
        <v>204</v>
      </c>
    </row>
    <row r="40" spans="1:16">
      <c r="A40" s="198"/>
      <c r="B40" s="2" t="s">
        <v>408</v>
      </c>
      <c r="F40" s="214" t="s">
        <v>127</v>
      </c>
      <c r="J40" s="37">
        <f>SUM(L40:P40)</f>
        <v>18248934.726666667</v>
      </c>
      <c r="L40" s="37">
        <f t="shared" ref="L40:P40" si="0">L21*L22</f>
        <v>285976.16666666669</v>
      </c>
      <c r="M40" s="37">
        <f t="shared" si="0"/>
        <v>8630533.6799999997</v>
      </c>
      <c r="N40" s="37">
        <f t="shared" si="0"/>
        <v>8188353.5999999996</v>
      </c>
      <c r="O40" s="37">
        <f t="shared" si="0"/>
        <v>608649.52</v>
      </c>
      <c r="P40" s="37">
        <f t="shared" si="0"/>
        <v>535421.76</v>
      </c>
    </row>
    <row r="41" spans="1:16">
      <c r="A41" s="198"/>
      <c r="B41" s="50" t="s">
        <v>190</v>
      </c>
      <c r="F41" s="214" t="s">
        <v>127</v>
      </c>
      <c r="H41" s="37">
        <f>H36-J40</f>
        <v>1652488.3680116907</v>
      </c>
    </row>
    <row r="42" spans="1:16">
      <c r="A42" s="198"/>
      <c r="B42" s="50" t="s">
        <v>411</v>
      </c>
      <c r="F42" s="2" t="s">
        <v>209</v>
      </c>
      <c r="H42" s="38">
        <f>H41*(1+H18)</f>
        <v>1752622.6503711543</v>
      </c>
    </row>
    <row r="43" spans="1:16">
      <c r="A43" s="198"/>
    </row>
    <row r="44" spans="1:16">
      <c r="A44" s="198"/>
      <c r="B44" s="1" t="s">
        <v>205</v>
      </c>
    </row>
    <row r="45" spans="1:16">
      <c r="A45" s="198"/>
      <c r="B45" s="2" t="s">
        <v>409</v>
      </c>
      <c r="F45" s="214" t="s">
        <v>127</v>
      </c>
      <c r="J45" s="37">
        <f>SUM(L45:P45)</f>
        <v>507902216.12</v>
      </c>
      <c r="L45" s="37">
        <f>L28*L29</f>
        <v>260130</v>
      </c>
      <c r="M45" s="37">
        <f>M28*M29</f>
        <v>253885344</v>
      </c>
      <c r="N45" s="37">
        <f>N28*N29</f>
        <v>250559076.74999997</v>
      </c>
      <c r="O45" s="37">
        <f>O28*O29</f>
        <v>2102744.41</v>
      </c>
      <c r="P45" s="37">
        <f>P28*P29</f>
        <v>1094920.9600000002</v>
      </c>
    </row>
    <row r="46" spans="1:16">
      <c r="A46" s="198"/>
      <c r="B46" s="88" t="s">
        <v>190</v>
      </c>
      <c r="F46" s="214" t="s">
        <v>127</v>
      </c>
      <c r="H46" s="37">
        <f>H37-J45</f>
        <v>-7158601.639344573</v>
      </c>
    </row>
    <row r="47" spans="1:16">
      <c r="A47" s="198"/>
      <c r="B47" s="50" t="s">
        <v>410</v>
      </c>
      <c r="F47" s="2" t="s">
        <v>209</v>
      </c>
      <c r="H47" s="38">
        <f>H46*(1+H18)</f>
        <v>-7592384.6854034951</v>
      </c>
    </row>
    <row r="50" spans="2:8">
      <c r="H50" s="34"/>
    </row>
    <row r="51" spans="2:8">
      <c r="B51" s="50"/>
      <c r="H51" s="28"/>
    </row>
    <row r="52" spans="2:8">
      <c r="H52" s="34"/>
    </row>
  </sheetData>
  <mergeCells count="1">
    <mergeCell ref="B4:E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2:X38"/>
  <sheetViews>
    <sheetView showGridLines="0" zoomScale="85" zoomScaleNormal="85" workbookViewId="0">
      <pane xSplit="6" ySplit="16" topLeftCell="G17" activePane="bottomRight" state="frozen"/>
      <selection pane="topRight"/>
      <selection pane="bottomLeft"/>
      <selection pane="bottomRight"/>
    </sheetView>
  </sheetViews>
  <sheetFormatPr defaultColWidth="9.140625" defaultRowHeight="12.75" outlineLevelCol="1"/>
  <cols>
    <col min="1" max="1" width="4" style="2" customWidth="1"/>
    <col min="2" max="2" width="41.425781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82" hidden="1" customWidth="1" outlineLevel="1"/>
    <col min="14" max="14" width="14.7109375" style="2" bestFit="1" customWidth="1" collapsed="1"/>
    <col min="15" max="16" width="14.7109375" style="2" bestFit="1" customWidth="1"/>
    <col min="17" max="22" width="12.5703125" style="2" customWidth="1"/>
    <col min="23" max="23" width="2.7109375" style="2" customWidth="1"/>
    <col min="24" max="35" width="13.7109375" style="2" customWidth="1"/>
    <col min="36" max="16384" width="9.140625" style="2"/>
  </cols>
  <sheetData>
    <row r="2" spans="2:24" s="20" customFormat="1" ht="18">
      <c r="B2" s="20" t="s">
        <v>611</v>
      </c>
    </row>
    <row r="4" spans="2:24" ht="12.75" customHeight="1">
      <c r="B4" s="276" t="s">
        <v>364</v>
      </c>
      <c r="C4" s="276"/>
      <c r="D4" s="276"/>
      <c r="E4" s="276"/>
    </row>
    <row r="5" spans="2:24" ht="12.75" customHeight="1">
      <c r="B5" s="276"/>
      <c r="C5" s="276"/>
      <c r="D5" s="276"/>
      <c r="E5" s="276"/>
      <c r="H5" s="21"/>
    </row>
    <row r="6" spans="2:24">
      <c r="B6" s="276"/>
      <c r="C6" s="276"/>
      <c r="D6" s="276"/>
      <c r="E6" s="276"/>
      <c r="H6" s="21"/>
    </row>
    <row r="7" spans="2:24" s="160" customFormat="1">
      <c r="B7" s="276"/>
      <c r="C7" s="276"/>
      <c r="D7" s="276"/>
      <c r="E7" s="276"/>
      <c r="H7" s="161"/>
    </row>
    <row r="8" spans="2:24" s="160" customFormat="1">
      <c r="B8" s="276"/>
      <c r="C8" s="276"/>
      <c r="D8" s="276"/>
      <c r="E8" s="276"/>
      <c r="H8" s="161"/>
    </row>
    <row r="9" spans="2:24" s="160" customFormat="1">
      <c r="B9" s="276"/>
      <c r="C9" s="276"/>
      <c r="D9" s="276"/>
      <c r="E9" s="276"/>
      <c r="H9" s="161"/>
    </row>
    <row r="10" spans="2:24" s="160" customFormat="1">
      <c r="B10" s="276"/>
      <c r="C10" s="276"/>
      <c r="D10" s="276"/>
      <c r="E10" s="276"/>
      <c r="H10" s="161"/>
    </row>
    <row r="11" spans="2:24" s="160" customFormat="1">
      <c r="B11" s="276"/>
      <c r="C11" s="276"/>
      <c r="D11" s="276"/>
      <c r="E11" s="276"/>
      <c r="H11" s="161"/>
    </row>
    <row r="12" spans="2:24" s="166" customFormat="1">
      <c r="B12" s="276"/>
      <c r="C12" s="276"/>
      <c r="D12" s="276"/>
      <c r="E12" s="276"/>
      <c r="H12" s="161"/>
    </row>
    <row r="13" spans="2:24" s="166" customFormat="1">
      <c r="B13" s="276"/>
      <c r="C13" s="276"/>
      <c r="D13" s="276"/>
      <c r="E13" s="276"/>
      <c r="H13" s="161"/>
    </row>
    <row r="15" spans="2:24" s="7" customFormat="1">
      <c r="B15" s="7" t="s">
        <v>45</v>
      </c>
      <c r="F15" s="7" t="s">
        <v>27</v>
      </c>
      <c r="H15" s="7" t="s">
        <v>28</v>
      </c>
      <c r="J15" s="7" t="s">
        <v>49</v>
      </c>
      <c r="L15" s="27">
        <v>2011</v>
      </c>
      <c r="M15" s="27">
        <v>2012</v>
      </c>
      <c r="N15" s="27">
        <v>2013</v>
      </c>
      <c r="O15" s="27">
        <v>2014</v>
      </c>
      <c r="P15" s="27">
        <v>2015</v>
      </c>
      <c r="Q15" s="27">
        <v>2016</v>
      </c>
      <c r="R15" s="27">
        <v>2017</v>
      </c>
      <c r="S15" s="27">
        <v>2018</v>
      </c>
      <c r="T15" s="27">
        <v>2019</v>
      </c>
      <c r="U15" s="27">
        <v>2020</v>
      </c>
      <c r="V15" s="27">
        <v>2021</v>
      </c>
      <c r="X15" s="7" t="s">
        <v>47</v>
      </c>
    </row>
    <row r="18" spans="2:22" s="7" customFormat="1">
      <c r="B18" s="7" t="s">
        <v>48</v>
      </c>
      <c r="L18" s="86"/>
      <c r="M18" s="86"/>
    </row>
    <row r="20" spans="2:22">
      <c r="B20" s="2" t="s">
        <v>289</v>
      </c>
      <c r="F20" s="2" t="s">
        <v>208</v>
      </c>
      <c r="R20" s="36">
        <f>'Tab 10_Brondata'!R103</f>
        <v>26550703</v>
      </c>
      <c r="S20" s="36">
        <f>'Tab 10_Brondata'!S103</f>
        <v>26550703</v>
      </c>
      <c r="T20" s="36">
        <f>'Tab 10_Brondata'!T103</f>
        <v>26550703</v>
      </c>
      <c r="U20" s="36">
        <f>'Tab 10_Brondata'!U103</f>
        <v>26550703</v>
      </c>
    </row>
    <row r="21" spans="2:22">
      <c r="H21" s="8"/>
      <c r="J21" s="8"/>
    </row>
    <row r="22" spans="2:22">
      <c r="B22" s="2" t="s">
        <v>290</v>
      </c>
      <c r="F22" s="2" t="s">
        <v>208</v>
      </c>
      <c r="V22" s="36">
        <f>'Tab 10_Brondata'!V105</f>
        <v>75000000</v>
      </c>
    </row>
    <row r="23" spans="2:22">
      <c r="J23" s="8"/>
      <c r="K23" s="8"/>
      <c r="L23" s="8"/>
      <c r="M23" s="8"/>
      <c r="N23" s="8"/>
      <c r="O23" s="8"/>
      <c r="P23" s="8"/>
      <c r="Q23" s="8"/>
      <c r="R23" s="8"/>
      <c r="S23" s="8"/>
      <c r="T23" s="8"/>
      <c r="U23" s="8"/>
      <c r="V23" s="8"/>
    </row>
    <row r="24" spans="2:22">
      <c r="B24" s="2" t="s">
        <v>134</v>
      </c>
      <c r="F24" s="2" t="s">
        <v>208</v>
      </c>
      <c r="H24" s="28"/>
      <c r="J24" s="28"/>
      <c r="K24" s="8"/>
      <c r="L24" s="8"/>
      <c r="M24" s="8"/>
      <c r="N24" s="36">
        <f>'Tab 10_Brondata'!N107</f>
        <v>153199000</v>
      </c>
      <c r="O24" s="36">
        <f>'Tab 10_Brondata'!O107</f>
        <v>133814454.8</v>
      </c>
      <c r="P24" s="36">
        <f>'Tab 10_Brondata'!P107</f>
        <v>154182000</v>
      </c>
      <c r="Q24" s="36">
        <f>'Tab 10_Brondata'!Q107</f>
        <v>67581000</v>
      </c>
      <c r="R24" s="36">
        <f>'Tab 10_Brondata'!R107</f>
        <v>51165706.090000004</v>
      </c>
      <c r="S24" s="194">
        <f>'Tab 10_Brondata'!S107</f>
        <v>54737415.890000001</v>
      </c>
      <c r="T24" s="28"/>
      <c r="U24" s="28"/>
      <c r="V24" s="28"/>
    </row>
    <row r="26" spans="2:22" s="82" customFormat="1">
      <c r="B26" s="82" t="s">
        <v>286</v>
      </c>
      <c r="F26" s="82" t="s">
        <v>84</v>
      </c>
      <c r="H26" s="142">
        <f>'Tab 9_Parameters'!H60</f>
        <v>3</v>
      </c>
    </row>
    <row r="27" spans="2:22" s="82" customFormat="1"/>
    <row r="28" spans="2:22" s="7" customFormat="1">
      <c r="B28" s="7" t="s">
        <v>61</v>
      </c>
      <c r="L28" s="86"/>
      <c r="M28" s="86"/>
    </row>
    <row r="30" spans="2:22">
      <c r="B30" s="2" t="s">
        <v>169</v>
      </c>
      <c r="F30" s="2" t="s">
        <v>126</v>
      </c>
      <c r="J30" s="37">
        <f>SUM(N30:V30)</f>
        <v>173615854.59999999</v>
      </c>
      <c r="N30" s="37">
        <f>N24/$H26</f>
        <v>51066333.333333336</v>
      </c>
      <c r="O30" s="37">
        <f>O24/$H26</f>
        <v>44604818.266666666</v>
      </c>
      <c r="P30" s="37">
        <f>P24/$H26</f>
        <v>51394000</v>
      </c>
      <c r="Q30" s="14"/>
      <c r="R30" s="36">
        <f>R20</f>
        <v>26550703</v>
      </c>
      <c r="S30" s="14"/>
      <c r="T30" s="14"/>
      <c r="U30" s="14"/>
      <c r="V30" s="14"/>
    </row>
    <row r="31" spans="2:22" s="8" customFormat="1">
      <c r="B31" s="29"/>
      <c r="J31" s="28"/>
      <c r="N31" s="28"/>
      <c r="O31" s="28"/>
      <c r="P31" s="28"/>
      <c r="R31" s="28"/>
    </row>
    <row r="32" spans="2:22">
      <c r="B32" s="2" t="s">
        <v>170</v>
      </c>
      <c r="F32" s="2" t="s">
        <v>127</v>
      </c>
      <c r="J32" s="37">
        <f>SUM(N32:V32)</f>
        <v>145076521.26666665</v>
      </c>
      <c r="N32" s="30"/>
      <c r="O32" s="37">
        <f>O24/$H26</f>
        <v>44604818.266666666</v>
      </c>
      <c r="P32" s="37">
        <f t="shared" ref="P32:Q32" si="0">P24/$H26</f>
        <v>51394000</v>
      </c>
      <c r="Q32" s="37">
        <f t="shared" si="0"/>
        <v>22527000</v>
      </c>
      <c r="R32" s="14"/>
      <c r="S32" s="36">
        <f>S20</f>
        <v>26550703</v>
      </c>
      <c r="T32" s="30"/>
      <c r="U32" s="30"/>
      <c r="V32" s="30"/>
    </row>
    <row r="33" spans="1:22" s="8" customFormat="1">
      <c r="J33" s="28"/>
      <c r="N33" s="28"/>
      <c r="O33" s="28"/>
      <c r="P33" s="28"/>
      <c r="Q33" s="28"/>
      <c r="S33" s="28"/>
      <c r="T33" s="28"/>
      <c r="U33" s="28"/>
      <c r="V33" s="28"/>
    </row>
    <row r="34" spans="1:22">
      <c r="B34" s="2" t="s">
        <v>171</v>
      </c>
      <c r="F34" s="2" t="s">
        <v>128</v>
      </c>
      <c r="J34" s="37">
        <f>SUM(N34:V34)</f>
        <v>117526938.36333333</v>
      </c>
      <c r="N34" s="14"/>
      <c r="O34" s="14"/>
      <c r="P34" s="37">
        <f>P24/$H26</f>
        <v>51394000</v>
      </c>
      <c r="Q34" s="37">
        <f>Q24/$H26</f>
        <v>22527000</v>
      </c>
      <c r="R34" s="37">
        <f>R24/$H26</f>
        <v>17055235.363333333</v>
      </c>
      <c r="S34" s="14"/>
      <c r="T34" s="36">
        <f>T20</f>
        <v>26550703</v>
      </c>
      <c r="U34" s="14"/>
      <c r="V34" s="14"/>
    </row>
    <row r="35" spans="1:22">
      <c r="A35" s="198"/>
      <c r="J35" s="28"/>
    </row>
    <row r="36" spans="1:22">
      <c r="A36" s="198"/>
      <c r="B36" s="2" t="s">
        <v>172</v>
      </c>
      <c r="F36" s="2" t="s">
        <v>209</v>
      </c>
      <c r="J36" s="38">
        <f>SUM(N36:V36)</f>
        <v>84378743.659999996</v>
      </c>
      <c r="N36" s="14"/>
      <c r="O36" s="14"/>
      <c r="P36" s="14"/>
      <c r="Q36" s="37">
        <f>Q24/$H26</f>
        <v>22527000</v>
      </c>
      <c r="R36" s="37">
        <f t="shared" ref="R36:S36" si="1">R24/$H26</f>
        <v>17055235.363333333</v>
      </c>
      <c r="S36" s="37">
        <f t="shared" si="1"/>
        <v>18245805.296666667</v>
      </c>
      <c r="T36" s="14"/>
      <c r="U36" s="36">
        <f>U20</f>
        <v>26550703</v>
      </c>
      <c r="V36" s="14"/>
    </row>
    <row r="37" spans="1:22">
      <c r="A37" s="198"/>
      <c r="J37" s="28"/>
    </row>
    <row r="38" spans="1:22">
      <c r="B38" s="2" t="s">
        <v>173</v>
      </c>
      <c r="F38" s="2" t="s">
        <v>210</v>
      </c>
      <c r="J38" s="37"/>
      <c r="N38" s="14"/>
      <c r="O38" s="14"/>
      <c r="P38" s="14"/>
      <c r="Q38" s="14"/>
      <c r="R38" s="37">
        <f>R24/$H26</f>
        <v>17055235.363333333</v>
      </c>
      <c r="S38" s="37">
        <f t="shared" ref="S38:T38" si="2">S24/$H26</f>
        <v>18245805.296666667</v>
      </c>
      <c r="T38" s="37">
        <f t="shared" si="2"/>
        <v>0</v>
      </c>
      <c r="U38" s="14"/>
      <c r="V38" s="36">
        <f>V22</f>
        <v>75000000</v>
      </c>
    </row>
  </sheetData>
  <mergeCells count="1">
    <mergeCell ref="B4:E1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fitToPage="1"/>
  </sheetPr>
  <dimension ref="A1:S53"/>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cols>
    <col min="1" max="1" width="4" style="208" customWidth="1"/>
    <col min="2" max="2" width="59.5703125" style="208" customWidth="1"/>
    <col min="3" max="5" width="4.5703125" style="208" customWidth="1"/>
    <col min="6" max="6" width="17.5703125" style="208" customWidth="1"/>
    <col min="7" max="7" width="2.7109375" style="208" customWidth="1"/>
    <col min="8" max="8" width="15.7109375" style="208" customWidth="1"/>
    <col min="9" max="9" width="2.7109375" style="208" customWidth="1"/>
    <col min="10" max="10" width="13.7109375" style="208" customWidth="1"/>
    <col min="11" max="11" width="2.7109375" style="208" customWidth="1"/>
    <col min="12" max="16" width="18.7109375" style="208" customWidth="1"/>
    <col min="17" max="17" width="2.7109375" style="208" customWidth="1"/>
    <col min="18" max="32" width="13.7109375" style="208" customWidth="1"/>
    <col min="33" max="16384" width="9.140625" style="208"/>
  </cols>
  <sheetData>
    <row r="1" spans="1:19">
      <c r="A1" s="197"/>
      <c r="B1" s="197"/>
      <c r="C1" s="197"/>
      <c r="D1" s="197"/>
      <c r="E1" s="197"/>
      <c r="F1" s="197"/>
      <c r="G1" s="197"/>
      <c r="H1" s="197"/>
      <c r="I1" s="197"/>
      <c r="J1" s="197"/>
      <c r="K1" s="197"/>
      <c r="L1" s="197"/>
      <c r="M1" s="197"/>
      <c r="N1" s="197"/>
      <c r="O1" s="197"/>
      <c r="P1" s="197"/>
      <c r="Q1" s="197"/>
      <c r="R1" s="197"/>
      <c r="S1" s="197"/>
    </row>
    <row r="2" spans="1:19" s="20" customFormat="1" ht="18">
      <c r="A2" s="79"/>
      <c r="B2" s="159" t="s">
        <v>612</v>
      </c>
      <c r="C2" s="79"/>
      <c r="D2" s="79"/>
      <c r="E2" s="79"/>
      <c r="F2" s="79"/>
      <c r="G2" s="79"/>
      <c r="H2" s="79"/>
      <c r="I2" s="79"/>
      <c r="J2" s="79"/>
      <c r="K2" s="79"/>
      <c r="L2" s="79"/>
      <c r="M2" s="79"/>
      <c r="N2" s="79"/>
      <c r="O2" s="79"/>
      <c r="P2" s="79"/>
      <c r="Q2" s="79"/>
      <c r="R2" s="79"/>
      <c r="S2" s="79"/>
    </row>
    <row r="3" spans="1:19">
      <c r="A3" s="197"/>
      <c r="B3" s="197"/>
      <c r="C3" s="197"/>
      <c r="D3" s="197"/>
      <c r="E3" s="197"/>
      <c r="F3" s="197"/>
      <c r="G3" s="197"/>
      <c r="H3" s="197"/>
      <c r="I3" s="197"/>
      <c r="J3" s="197"/>
      <c r="K3" s="197"/>
      <c r="L3" s="197"/>
      <c r="M3" s="197"/>
      <c r="N3" s="197"/>
      <c r="O3" s="197"/>
      <c r="P3" s="197"/>
      <c r="Q3" s="197"/>
      <c r="R3" s="197"/>
      <c r="S3" s="197"/>
    </row>
    <row r="4" spans="1:19">
      <c r="A4" s="197"/>
      <c r="B4" s="187" t="s">
        <v>57</v>
      </c>
      <c r="C4" s="187"/>
      <c r="D4" s="187"/>
      <c r="E4" s="197"/>
      <c r="F4" s="197"/>
      <c r="G4" s="197"/>
      <c r="H4" s="197"/>
      <c r="I4" s="197"/>
      <c r="J4" s="197"/>
      <c r="K4" s="197"/>
      <c r="L4" s="197"/>
      <c r="M4" s="197"/>
      <c r="N4" s="197"/>
      <c r="O4" s="197"/>
      <c r="P4" s="197"/>
      <c r="Q4" s="197"/>
      <c r="R4" s="197"/>
      <c r="S4" s="197"/>
    </row>
    <row r="5" spans="1:19" ht="74.25" customHeight="1">
      <c r="A5" s="197"/>
      <c r="B5" s="272" t="s">
        <v>412</v>
      </c>
      <c r="C5" s="272"/>
      <c r="D5" s="272"/>
      <c r="E5" s="272"/>
      <c r="F5" s="272"/>
      <c r="G5" s="272"/>
      <c r="H5" s="174"/>
      <c r="I5" s="197"/>
      <c r="J5" s="197"/>
      <c r="K5" s="197"/>
      <c r="L5" s="161"/>
      <c r="M5" s="197"/>
      <c r="N5" s="197"/>
      <c r="O5" s="197"/>
      <c r="P5" s="197"/>
      <c r="Q5" s="197"/>
      <c r="R5" s="197"/>
      <c r="S5" s="197"/>
    </row>
    <row r="6" spans="1:19">
      <c r="A6" s="197"/>
      <c r="B6" s="85"/>
      <c r="C6" s="197"/>
      <c r="D6" s="197"/>
      <c r="E6" s="197"/>
      <c r="F6" s="197"/>
      <c r="G6" s="197"/>
      <c r="H6" s="197"/>
      <c r="I6" s="197"/>
      <c r="J6" s="197"/>
      <c r="K6" s="197"/>
      <c r="L6" s="197"/>
      <c r="M6" s="197"/>
      <c r="N6" s="197"/>
      <c r="O6" s="197"/>
      <c r="P6" s="197"/>
      <c r="Q6" s="197"/>
      <c r="R6" s="197"/>
      <c r="S6" s="197"/>
    </row>
    <row r="7" spans="1:19">
      <c r="A7" s="197"/>
      <c r="B7" s="85" t="s">
        <v>30</v>
      </c>
      <c r="C7" s="197"/>
      <c r="D7" s="197"/>
      <c r="E7" s="197"/>
      <c r="F7" s="197"/>
      <c r="G7" s="197"/>
      <c r="H7" s="197"/>
      <c r="I7" s="197"/>
      <c r="J7" s="197"/>
      <c r="K7" s="197"/>
      <c r="L7" s="197"/>
      <c r="M7" s="197"/>
      <c r="N7" s="197"/>
      <c r="O7" s="197"/>
      <c r="P7" s="197"/>
      <c r="Q7" s="197"/>
      <c r="R7" s="197"/>
      <c r="S7" s="197"/>
    </row>
    <row r="8" spans="1:19" ht="49.5" customHeight="1">
      <c r="A8" s="192"/>
      <c r="B8" s="277" t="s">
        <v>628</v>
      </c>
      <c r="C8" s="277"/>
      <c r="D8" s="277"/>
      <c r="E8" s="277"/>
      <c r="F8" s="277"/>
      <c r="G8" s="277"/>
      <c r="H8" s="197"/>
      <c r="I8" s="197"/>
      <c r="J8" s="197"/>
      <c r="K8" s="197"/>
      <c r="L8" s="197"/>
      <c r="M8" s="197"/>
      <c r="N8" s="197"/>
      <c r="O8" s="197"/>
      <c r="P8" s="197"/>
      <c r="Q8" s="197"/>
      <c r="R8" s="197"/>
      <c r="S8" s="197"/>
    </row>
    <row r="9" spans="1:19">
      <c r="A9" s="197"/>
      <c r="B9" s="197"/>
      <c r="C9" s="197"/>
      <c r="D9" s="197"/>
      <c r="E9" s="197"/>
      <c r="F9" s="197"/>
      <c r="G9" s="197"/>
      <c r="H9" s="197"/>
      <c r="I9" s="197"/>
      <c r="J9" s="197"/>
      <c r="K9" s="197"/>
      <c r="L9" s="197"/>
      <c r="M9" s="197"/>
      <c r="N9" s="197"/>
      <c r="O9" s="197"/>
      <c r="P9" s="197"/>
      <c r="Q9" s="197"/>
      <c r="R9" s="197"/>
      <c r="S9" s="197"/>
    </row>
    <row r="10" spans="1:19" s="190" customFormat="1" ht="38.25">
      <c r="A10" s="201"/>
      <c r="B10" s="201" t="s">
        <v>45</v>
      </c>
      <c r="C10" s="201"/>
      <c r="D10" s="201"/>
      <c r="E10" s="201"/>
      <c r="F10" s="201" t="s">
        <v>27</v>
      </c>
      <c r="G10" s="201"/>
      <c r="H10" s="201" t="s">
        <v>28</v>
      </c>
      <c r="I10" s="201"/>
      <c r="J10" s="201" t="s">
        <v>49</v>
      </c>
      <c r="K10" s="201"/>
      <c r="L10" s="87" t="s">
        <v>79</v>
      </c>
      <c r="M10" s="87" t="s">
        <v>262</v>
      </c>
      <c r="N10" s="87" t="s">
        <v>81</v>
      </c>
      <c r="O10" s="87" t="s">
        <v>261</v>
      </c>
      <c r="P10" s="87" t="s">
        <v>174</v>
      </c>
      <c r="Q10" s="201"/>
      <c r="R10" s="201" t="s">
        <v>47</v>
      </c>
      <c r="S10" s="201"/>
    </row>
    <row r="11" spans="1:19">
      <c r="A11" s="197"/>
      <c r="B11" s="197"/>
      <c r="C11" s="197"/>
      <c r="D11" s="197"/>
      <c r="E11" s="197"/>
      <c r="F11" s="197"/>
      <c r="G11" s="197"/>
      <c r="H11" s="197"/>
      <c r="I11" s="197"/>
      <c r="J11" s="197"/>
      <c r="K11" s="197"/>
      <c r="L11" s="197"/>
      <c r="M11" s="197"/>
      <c r="N11" s="197"/>
      <c r="O11" s="197"/>
      <c r="P11" s="197"/>
      <c r="Q11" s="197"/>
      <c r="R11" s="197"/>
      <c r="S11" s="197"/>
    </row>
    <row r="12" spans="1:19">
      <c r="A12" s="197"/>
      <c r="B12" s="197"/>
      <c r="C12" s="197"/>
      <c r="D12" s="197"/>
      <c r="E12" s="197"/>
      <c r="F12" s="197"/>
      <c r="G12" s="197"/>
      <c r="H12" s="197"/>
      <c r="I12" s="197"/>
      <c r="J12" s="197"/>
      <c r="K12" s="197"/>
      <c r="L12" s="197"/>
      <c r="M12" s="197"/>
      <c r="N12" s="197"/>
      <c r="O12" s="197"/>
      <c r="P12" s="197"/>
      <c r="Q12" s="197"/>
      <c r="R12" s="197"/>
      <c r="S12" s="197"/>
    </row>
    <row r="13" spans="1:19" s="190" customFormat="1">
      <c r="A13" s="201"/>
      <c r="B13" s="201" t="s">
        <v>48</v>
      </c>
      <c r="C13" s="201"/>
      <c r="D13" s="201"/>
      <c r="E13" s="201"/>
      <c r="F13" s="201"/>
      <c r="G13" s="201"/>
      <c r="H13" s="201"/>
      <c r="I13" s="201"/>
      <c r="J13" s="201"/>
      <c r="K13" s="201"/>
      <c r="L13" s="201"/>
      <c r="M13" s="201"/>
      <c r="N13" s="201"/>
      <c r="O13" s="201"/>
      <c r="P13" s="201"/>
      <c r="Q13" s="201"/>
      <c r="R13" s="201"/>
      <c r="S13" s="201"/>
    </row>
    <row r="14" spans="1:19">
      <c r="A14" s="197"/>
      <c r="B14" s="197"/>
      <c r="C14" s="197"/>
      <c r="D14" s="197"/>
      <c r="E14" s="197"/>
      <c r="F14" s="197"/>
      <c r="G14" s="197"/>
      <c r="H14" s="197"/>
      <c r="I14" s="197"/>
      <c r="J14" s="197"/>
      <c r="K14" s="197"/>
      <c r="L14" s="197"/>
      <c r="M14" s="197"/>
      <c r="N14" s="197"/>
      <c r="O14" s="197"/>
      <c r="P14" s="197"/>
      <c r="Q14" s="197"/>
      <c r="R14" s="197"/>
      <c r="S14" s="197"/>
    </row>
    <row r="15" spans="1:19">
      <c r="A15" s="192"/>
      <c r="B15" s="187" t="s">
        <v>83</v>
      </c>
      <c r="C15" s="197"/>
      <c r="D15" s="197"/>
      <c r="E15" s="197"/>
      <c r="F15" s="197"/>
      <c r="G15" s="197"/>
      <c r="H15" s="197"/>
      <c r="I15" s="197"/>
      <c r="J15" s="197"/>
      <c r="K15" s="197"/>
      <c r="L15" s="197"/>
      <c r="M15" s="197"/>
      <c r="N15" s="197"/>
      <c r="O15" s="197"/>
      <c r="P15" s="197"/>
      <c r="Q15" s="197"/>
      <c r="R15" s="197"/>
      <c r="S15" s="197"/>
    </row>
    <row r="16" spans="1:19" s="198" customFormat="1">
      <c r="A16" s="192"/>
      <c r="B16" s="192" t="s">
        <v>331</v>
      </c>
      <c r="C16" s="192"/>
      <c r="D16" s="192"/>
      <c r="E16" s="192"/>
      <c r="F16" s="192" t="s">
        <v>84</v>
      </c>
      <c r="G16" s="192"/>
      <c r="H16" s="192"/>
      <c r="I16" s="192"/>
      <c r="J16" s="192"/>
      <c r="K16" s="192"/>
      <c r="L16" s="202">
        <f>'Tab 8_Voorstel tarieven en RV'!L23</f>
        <v>22.916666666666668</v>
      </c>
      <c r="M16" s="175">
        <f>'Tab 8_Voorstel tarieven en RV'!M23</f>
        <v>1256264</v>
      </c>
      <c r="N16" s="175">
        <f>'Tab 8_Voorstel tarieven en RV'!N23</f>
        <v>11697648</v>
      </c>
      <c r="O16" s="175">
        <f>'Tab 8_Voorstel tarieven en RV'!O23</f>
        <v>176933</v>
      </c>
      <c r="P16" s="175">
        <f>'Tab 8_Voorstel tarieven en RV'!P23</f>
        <v>2230924</v>
      </c>
      <c r="Q16" s="192"/>
      <c r="R16" s="192"/>
      <c r="S16" s="192"/>
    </row>
    <row r="17" spans="1:19">
      <c r="A17" s="192"/>
      <c r="B17" s="197" t="s">
        <v>299</v>
      </c>
      <c r="C17" s="197"/>
      <c r="D17" s="197"/>
      <c r="E17" s="197"/>
      <c r="F17" s="197" t="s">
        <v>84</v>
      </c>
      <c r="G17" s="197"/>
      <c r="H17" s="197"/>
      <c r="I17" s="197"/>
      <c r="J17" s="197"/>
      <c r="K17" s="197"/>
      <c r="L17" s="202">
        <f>'Tab 11_Tarieven, RV en omzet'!L16</f>
        <v>22.55</v>
      </c>
      <c r="M17" s="194">
        <f>'Tab 11_Tarieven, RV en omzet'!M16</f>
        <v>1212716</v>
      </c>
      <c r="N17" s="194">
        <f>'Tab 11_Tarieven, RV en omzet'!N16</f>
        <v>12026541</v>
      </c>
      <c r="O17" s="194">
        <f>'Tab 11_Tarieven, RV en omzet'!O16</f>
        <v>235262</v>
      </c>
      <c r="P17" s="194">
        <f>'Tab 11_Tarieven, RV en omzet'!P16</f>
        <v>3215320</v>
      </c>
      <c r="Q17" s="197"/>
      <c r="R17" s="187"/>
      <c r="S17" s="197"/>
    </row>
    <row r="18" spans="1:19">
      <c r="A18" s="192"/>
      <c r="B18" s="197" t="s">
        <v>336</v>
      </c>
      <c r="C18" s="197"/>
      <c r="D18" s="197"/>
      <c r="E18" s="197"/>
      <c r="F18" s="197" t="s">
        <v>84</v>
      </c>
      <c r="G18" s="197"/>
      <c r="H18" s="197"/>
      <c r="I18" s="197"/>
      <c r="J18" s="197"/>
      <c r="K18" s="197"/>
      <c r="L18" s="202">
        <f>'Tab 8_Voorstel tarieven en RV'!L32</f>
        <v>22.916666666666668</v>
      </c>
      <c r="M18" s="194">
        <f>'Tab 8_Voorstel tarieven en RV'!M32</f>
        <v>1256264</v>
      </c>
      <c r="N18" s="194">
        <f>'Tab 8_Voorstel tarieven en RV'!N32</f>
        <v>11697648</v>
      </c>
      <c r="O18" s="194">
        <f>'Tab 8_Voorstel tarieven en RV'!O32</f>
        <v>176933</v>
      </c>
      <c r="P18" s="194">
        <f>'Tab 8_Voorstel tarieven en RV'!P32</f>
        <v>2230924</v>
      </c>
      <c r="Q18" s="197"/>
      <c r="R18" s="187"/>
      <c r="S18" s="197"/>
    </row>
    <row r="19" spans="1:19">
      <c r="A19" s="192"/>
      <c r="B19" s="197" t="s">
        <v>335</v>
      </c>
      <c r="C19" s="197"/>
      <c r="D19" s="197"/>
      <c r="E19" s="197"/>
      <c r="F19" s="197" t="s">
        <v>209</v>
      </c>
      <c r="G19" s="197"/>
      <c r="H19" s="197"/>
      <c r="I19" s="197"/>
      <c r="J19" s="197"/>
      <c r="K19" s="197"/>
      <c r="L19" s="205">
        <f>'Tab 8_Voorstel tarieven en RV'!L31</f>
        <v>12478.96</v>
      </c>
      <c r="M19" s="97">
        <f>'Tab 8_Voorstel tarieven en RV'!M31</f>
        <v>17.27</v>
      </c>
      <c r="N19" s="97">
        <f>'Tab 8_Voorstel tarieven en RV'!N31</f>
        <v>1.86</v>
      </c>
      <c r="O19" s="97">
        <f>'Tab 8_Voorstel tarieven en RV'!O31</f>
        <v>8.64</v>
      </c>
      <c r="P19" s="97">
        <f>'Tab 8_Voorstel tarieven en RV'!P31</f>
        <v>0.64</v>
      </c>
      <c r="Q19" s="197"/>
      <c r="R19" s="197"/>
      <c r="S19" s="197"/>
    </row>
    <row r="20" spans="1:19">
      <c r="A20" s="192"/>
      <c r="B20" s="197"/>
      <c r="C20" s="197"/>
      <c r="D20" s="197"/>
      <c r="E20" s="197"/>
      <c r="F20" s="197"/>
      <c r="G20" s="197"/>
      <c r="H20" s="197"/>
      <c r="I20" s="197"/>
      <c r="J20" s="197"/>
      <c r="K20" s="197"/>
      <c r="L20" s="197"/>
      <c r="M20" s="197"/>
      <c r="N20" s="197"/>
      <c r="O20" s="197"/>
      <c r="P20" s="197"/>
      <c r="Q20" s="197"/>
      <c r="R20" s="197"/>
      <c r="S20" s="197"/>
    </row>
    <row r="21" spans="1:19">
      <c r="A21" s="192"/>
      <c r="B21" s="187" t="s">
        <v>85</v>
      </c>
      <c r="C21" s="197"/>
      <c r="D21" s="197"/>
      <c r="E21" s="197"/>
      <c r="F21" s="197"/>
      <c r="G21" s="197"/>
      <c r="H21" s="197"/>
      <c r="I21" s="197"/>
      <c r="J21" s="197"/>
      <c r="K21" s="197"/>
      <c r="L21" s="197"/>
      <c r="M21" s="197"/>
      <c r="N21" s="197"/>
      <c r="O21" s="197"/>
      <c r="P21" s="197"/>
      <c r="Q21" s="197"/>
      <c r="R21" s="197"/>
      <c r="S21" s="197"/>
    </row>
    <row r="22" spans="1:19" s="198" customFormat="1">
      <c r="A22" s="192"/>
      <c r="B22" s="192" t="s">
        <v>331</v>
      </c>
      <c r="C22" s="192"/>
      <c r="D22" s="192"/>
      <c r="E22" s="192"/>
      <c r="F22" s="192" t="s">
        <v>84</v>
      </c>
      <c r="G22" s="192"/>
      <c r="H22" s="192"/>
      <c r="I22" s="192"/>
      <c r="J22" s="192"/>
      <c r="K22" s="192"/>
      <c r="L22" s="202">
        <f>'Tab 8_Voorstel tarieven en RV'!L26</f>
        <v>94.25</v>
      </c>
      <c r="M22" s="175">
        <f>'Tab 8_Voorstel tarieven en RV'!M26</f>
        <v>14934432</v>
      </c>
      <c r="N22" s="175">
        <f>'Tab 8_Voorstel tarieven en RV'!N26</f>
        <v>153717225</v>
      </c>
      <c r="O22" s="175">
        <f>'Tab 8_Voorstel tarieven en RV'!O26</f>
        <v>247091</v>
      </c>
      <c r="P22" s="175">
        <f>'Tab 8_Voorstel tarieven en RV'!P26</f>
        <v>1955216</v>
      </c>
      <c r="Q22" s="192"/>
      <c r="R22" s="192"/>
      <c r="S22" s="192"/>
    </row>
    <row r="23" spans="1:19">
      <c r="A23" s="192"/>
      <c r="B23" s="197" t="s">
        <v>299</v>
      </c>
      <c r="C23" s="197"/>
      <c r="D23" s="197"/>
      <c r="E23" s="197"/>
      <c r="F23" s="197" t="s">
        <v>84</v>
      </c>
      <c r="G23" s="197"/>
      <c r="H23" s="197"/>
      <c r="I23" s="197"/>
      <c r="J23" s="197"/>
      <c r="K23" s="197"/>
      <c r="L23" s="202">
        <f>'Tab 11_Tarieven, RV en omzet'!L23</f>
        <v>91.56</v>
      </c>
      <c r="M23" s="194">
        <f>'Tab 11_Tarieven, RV en omzet'!M23</f>
        <v>14929120</v>
      </c>
      <c r="N23" s="194">
        <f>'Tab 11_Tarieven, RV en omzet'!N23</f>
        <v>153986790</v>
      </c>
      <c r="O23" s="194">
        <f>'Tab 11_Tarieven, RV en omzet'!O23</f>
        <v>226512</v>
      </c>
      <c r="P23" s="194">
        <f>'Tab 11_Tarieven, RV en omzet'!P23</f>
        <v>1737592</v>
      </c>
      <c r="Q23" s="197"/>
      <c r="R23" s="187"/>
      <c r="S23" s="197"/>
    </row>
    <row r="24" spans="1:19">
      <c r="A24" s="192"/>
      <c r="B24" s="197" t="s">
        <v>336</v>
      </c>
      <c r="C24" s="197"/>
      <c r="D24" s="197"/>
      <c r="E24" s="197"/>
      <c r="F24" s="197" t="s">
        <v>84</v>
      </c>
      <c r="G24" s="197"/>
      <c r="H24" s="197"/>
      <c r="I24" s="197"/>
      <c r="J24" s="197"/>
      <c r="K24" s="197"/>
      <c r="L24" s="202">
        <f>'Tab 8_Voorstel tarieven en RV'!L36</f>
        <v>94.25</v>
      </c>
      <c r="M24" s="194">
        <f>'Tab 8_Voorstel tarieven en RV'!M36</f>
        <v>14934432</v>
      </c>
      <c r="N24" s="194">
        <f>'Tab 8_Voorstel tarieven en RV'!N36</f>
        <v>153717225</v>
      </c>
      <c r="O24" s="194">
        <f>'Tab 8_Voorstel tarieven en RV'!O36</f>
        <v>247091</v>
      </c>
      <c r="P24" s="194">
        <f>'Tab 8_Voorstel tarieven en RV'!P36</f>
        <v>1955216</v>
      </c>
      <c r="Q24" s="197"/>
      <c r="R24" s="187"/>
      <c r="S24" s="197"/>
    </row>
    <row r="25" spans="1:19">
      <c r="A25" s="192"/>
      <c r="B25" s="197" t="s">
        <v>335</v>
      </c>
      <c r="C25" s="197"/>
      <c r="D25" s="197"/>
      <c r="E25" s="197"/>
      <c r="F25" s="197" t="s">
        <v>209</v>
      </c>
      <c r="G25" s="197"/>
      <c r="H25" s="197"/>
      <c r="I25" s="197"/>
      <c r="J25" s="197"/>
      <c r="K25" s="197"/>
      <c r="L25" s="205">
        <f>'Tab 8_Voorstel tarieven en RV'!L35</f>
        <v>2760</v>
      </c>
      <c r="M25" s="97">
        <f>'Tab 8_Voorstel tarieven en RV'!M35</f>
        <v>26.46</v>
      </c>
      <c r="N25" s="97">
        <f>'Tab 8_Voorstel tarieven en RV'!N35</f>
        <v>2.59</v>
      </c>
      <c r="O25" s="97">
        <f>'Tab 8_Voorstel tarieven en RV'!O35</f>
        <v>13.25</v>
      </c>
      <c r="P25" s="97">
        <f>'Tab 8_Voorstel tarieven en RV'!P35</f>
        <v>0.89</v>
      </c>
      <c r="Q25" s="197"/>
      <c r="R25" s="197"/>
      <c r="S25" s="197"/>
    </row>
    <row r="26" spans="1:19">
      <c r="A26" s="197"/>
      <c r="B26" s="197"/>
      <c r="C26" s="197"/>
      <c r="D26" s="197"/>
      <c r="E26" s="197"/>
      <c r="F26" s="197"/>
      <c r="G26" s="197"/>
      <c r="H26" s="197"/>
      <c r="I26" s="197"/>
      <c r="J26" s="197"/>
      <c r="K26" s="197"/>
      <c r="L26" s="197"/>
      <c r="M26" s="197"/>
      <c r="N26" s="197"/>
      <c r="O26" s="197"/>
      <c r="P26" s="197"/>
      <c r="Q26" s="197"/>
      <c r="R26" s="197"/>
      <c r="S26" s="197"/>
    </row>
    <row r="27" spans="1:19">
      <c r="A27" s="197"/>
      <c r="B27" s="197"/>
      <c r="C27" s="197"/>
      <c r="D27" s="197"/>
      <c r="E27" s="197"/>
      <c r="F27" s="197"/>
      <c r="G27" s="197"/>
      <c r="H27" s="197"/>
      <c r="I27" s="197"/>
      <c r="J27" s="197"/>
      <c r="K27" s="197"/>
      <c r="L27" s="197"/>
      <c r="M27" s="197"/>
      <c r="N27" s="197"/>
      <c r="O27" s="197"/>
      <c r="P27" s="197"/>
      <c r="Q27" s="197"/>
      <c r="R27" s="197"/>
      <c r="S27" s="197"/>
    </row>
    <row r="28" spans="1:19" s="190" customFormat="1">
      <c r="A28" s="201"/>
      <c r="B28" s="201" t="s">
        <v>273</v>
      </c>
      <c r="C28" s="201"/>
      <c r="D28" s="201"/>
      <c r="E28" s="201"/>
      <c r="F28" s="201"/>
      <c r="G28" s="201"/>
      <c r="H28" s="201"/>
      <c r="I28" s="201"/>
      <c r="J28" s="201"/>
      <c r="K28" s="201"/>
      <c r="L28" s="201"/>
      <c r="M28" s="201"/>
      <c r="N28" s="201"/>
      <c r="O28" s="201"/>
      <c r="P28" s="201"/>
      <c r="Q28" s="201"/>
      <c r="R28" s="201"/>
      <c r="S28" s="201"/>
    </row>
    <row r="29" spans="1:19">
      <c r="A29" s="197"/>
      <c r="B29" s="197"/>
      <c r="C29" s="197"/>
      <c r="D29" s="197"/>
      <c r="E29" s="197"/>
      <c r="F29" s="197"/>
      <c r="G29" s="197"/>
      <c r="H29" s="197"/>
      <c r="I29" s="197"/>
      <c r="J29" s="197"/>
      <c r="K29" s="197"/>
      <c r="L29" s="197"/>
      <c r="M29" s="197"/>
      <c r="N29" s="197"/>
      <c r="O29" s="197"/>
      <c r="P29" s="197"/>
      <c r="Q29" s="197"/>
      <c r="R29" s="197"/>
      <c r="S29" s="197"/>
    </row>
    <row r="30" spans="1:19">
      <c r="A30" s="192"/>
      <c r="B30" s="187" t="s">
        <v>413</v>
      </c>
      <c r="C30" s="197"/>
      <c r="D30" s="197"/>
      <c r="E30" s="197"/>
      <c r="F30" s="197"/>
      <c r="G30" s="197"/>
      <c r="H30" s="197"/>
      <c r="I30" s="197"/>
      <c r="J30" s="197"/>
      <c r="K30" s="197"/>
      <c r="L30" s="197"/>
      <c r="M30" s="197"/>
      <c r="N30" s="197"/>
      <c r="O30" s="197"/>
      <c r="P30" s="197"/>
      <c r="Q30" s="197"/>
      <c r="R30" s="197"/>
      <c r="S30" s="197"/>
    </row>
    <row r="31" spans="1:19">
      <c r="A31" s="192"/>
      <c r="B31" s="197" t="s">
        <v>414</v>
      </c>
      <c r="C31" s="197"/>
      <c r="D31" s="197"/>
      <c r="E31" s="197"/>
      <c r="F31" s="197" t="s">
        <v>84</v>
      </c>
      <c r="G31" s="197"/>
      <c r="H31" s="197"/>
      <c r="I31" s="197"/>
      <c r="J31" s="197"/>
      <c r="K31" s="197"/>
      <c r="L31" s="204">
        <f>L18-L16</f>
        <v>0</v>
      </c>
      <c r="M31" s="204">
        <f>M18-M16</f>
        <v>0</v>
      </c>
      <c r="N31" s="204">
        <f>N18-N16</f>
        <v>0</v>
      </c>
      <c r="O31" s="204">
        <f>O18-O16</f>
        <v>0</v>
      </c>
      <c r="P31" s="204">
        <f>P18-P16</f>
        <v>0</v>
      </c>
      <c r="Q31" s="197"/>
      <c r="R31" s="197"/>
      <c r="S31" s="197"/>
    </row>
    <row r="32" spans="1:19">
      <c r="A32" s="192"/>
      <c r="B32" s="197" t="s">
        <v>415</v>
      </c>
      <c r="C32" s="197"/>
      <c r="D32" s="197"/>
      <c r="E32" s="197"/>
      <c r="F32" s="197" t="s">
        <v>84</v>
      </c>
      <c r="G32" s="197"/>
      <c r="H32" s="197"/>
      <c r="I32" s="197"/>
      <c r="J32" s="197"/>
      <c r="K32" s="197"/>
      <c r="L32" s="204">
        <f>L24-L22</f>
        <v>0</v>
      </c>
      <c r="M32" s="204">
        <f>M24-M22</f>
        <v>0</v>
      </c>
      <c r="N32" s="204">
        <f>N24-N22</f>
        <v>0</v>
      </c>
      <c r="O32" s="204">
        <f>O24-O22</f>
        <v>0</v>
      </c>
      <c r="P32" s="204">
        <f>P24-P22</f>
        <v>0</v>
      </c>
      <c r="Q32" s="197"/>
      <c r="R32" s="197"/>
      <c r="S32" s="197"/>
    </row>
    <row r="33" spans="1:19">
      <c r="A33" s="192"/>
      <c r="B33" s="197"/>
      <c r="C33" s="197"/>
      <c r="D33" s="197"/>
      <c r="E33" s="197"/>
      <c r="F33" s="197"/>
      <c r="G33" s="197"/>
      <c r="H33" s="197"/>
      <c r="I33" s="197"/>
      <c r="J33" s="197"/>
      <c r="K33" s="197"/>
      <c r="L33" s="197"/>
      <c r="M33" s="197"/>
      <c r="N33" s="197"/>
      <c r="O33" s="197"/>
      <c r="P33" s="197"/>
      <c r="Q33" s="197"/>
      <c r="R33" s="197"/>
      <c r="S33" s="197"/>
    </row>
    <row r="34" spans="1:19">
      <c r="A34" s="192"/>
      <c r="B34" s="197" t="s">
        <v>416</v>
      </c>
      <c r="C34" s="197"/>
      <c r="D34" s="197"/>
      <c r="E34" s="197"/>
      <c r="F34" s="197" t="s">
        <v>260</v>
      </c>
      <c r="G34" s="197"/>
      <c r="H34" s="80" t="str">
        <f>IF(AND(L31=0,M31=0,N31=0,O31=0,P31=0,L32=0,M32=0,N32=0,O32=0,P32=0),"ja","nee")</f>
        <v>ja</v>
      </c>
      <c r="I34" s="197"/>
      <c r="J34" s="197"/>
      <c r="K34" s="197"/>
      <c r="L34" s="197"/>
      <c r="M34" s="197"/>
      <c r="N34" s="197"/>
      <c r="O34" s="197"/>
      <c r="P34" s="197"/>
      <c r="Q34" s="197"/>
      <c r="R34" s="208" t="s">
        <v>729</v>
      </c>
      <c r="S34" s="197"/>
    </row>
    <row r="35" spans="1:19">
      <c r="A35" s="192"/>
      <c r="B35" s="197"/>
      <c r="C35" s="197"/>
      <c r="D35" s="197"/>
      <c r="E35" s="197"/>
      <c r="F35" s="197"/>
      <c r="G35" s="197"/>
      <c r="H35" s="197"/>
      <c r="I35" s="197"/>
      <c r="J35" s="197"/>
      <c r="K35" s="197"/>
      <c r="L35" s="197"/>
      <c r="M35" s="197"/>
      <c r="N35" s="197"/>
      <c r="O35" s="197"/>
      <c r="P35" s="197"/>
      <c r="Q35" s="197"/>
      <c r="R35" s="197"/>
      <c r="S35" s="197"/>
    </row>
    <row r="36" spans="1:19">
      <c r="A36" s="192"/>
      <c r="B36" s="187" t="s">
        <v>267</v>
      </c>
      <c r="C36" s="197"/>
      <c r="D36" s="197"/>
      <c r="E36" s="197"/>
      <c r="F36" s="197"/>
      <c r="G36" s="197"/>
      <c r="H36" s="197"/>
      <c r="I36" s="197"/>
      <c r="J36" s="197"/>
      <c r="K36" s="197"/>
      <c r="L36" s="197"/>
      <c r="M36" s="197"/>
      <c r="N36" s="197"/>
      <c r="O36" s="197"/>
      <c r="P36" s="197"/>
      <c r="Q36" s="197"/>
      <c r="R36" s="197"/>
      <c r="S36" s="197"/>
    </row>
    <row r="37" spans="1:19">
      <c r="A37" s="192"/>
      <c r="B37" s="197" t="s">
        <v>417</v>
      </c>
      <c r="C37" s="197"/>
      <c r="D37" s="197"/>
      <c r="E37" s="197"/>
      <c r="F37" s="197" t="s">
        <v>209</v>
      </c>
      <c r="G37" s="197"/>
      <c r="H37" s="37">
        <f>SUMPRODUCT(L19:P19,L18:P18)</f>
        <v>46695773.206666671</v>
      </c>
      <c r="I37" s="197"/>
      <c r="J37" s="197"/>
      <c r="K37" s="197"/>
      <c r="L37" s="197"/>
      <c r="M37" s="197"/>
      <c r="N37" s="197"/>
      <c r="O37" s="197"/>
      <c r="P37" s="197"/>
      <c r="Q37" s="197"/>
      <c r="R37" s="197"/>
      <c r="S37" s="197"/>
    </row>
    <row r="38" spans="1:19">
      <c r="A38" s="192"/>
      <c r="B38" s="197" t="s">
        <v>418</v>
      </c>
      <c r="C38" s="197"/>
      <c r="D38" s="197"/>
      <c r="E38" s="197"/>
      <c r="F38" s="197" t="s">
        <v>209</v>
      </c>
      <c r="G38" s="197"/>
      <c r="H38" s="37">
        <f>SUMPRODUCT(L25:P25,L24:P24)</f>
        <v>798566911.46000004</v>
      </c>
      <c r="I38" s="197"/>
      <c r="J38" s="197"/>
      <c r="K38" s="197"/>
      <c r="L38" s="192"/>
      <c r="M38" s="197"/>
      <c r="N38" s="197"/>
      <c r="O38" s="197"/>
      <c r="P38" s="197"/>
      <c r="Q38" s="197"/>
      <c r="R38" s="197"/>
      <c r="S38" s="197"/>
    </row>
    <row r="39" spans="1:19">
      <c r="A39" s="192"/>
      <c r="B39" s="197" t="s">
        <v>419</v>
      </c>
      <c r="C39" s="197"/>
      <c r="D39" s="197"/>
      <c r="E39" s="197"/>
      <c r="F39" s="197" t="s">
        <v>209</v>
      </c>
      <c r="G39" s="197"/>
      <c r="H39" s="37">
        <f>H37+H38</f>
        <v>845262684.66666675</v>
      </c>
      <c r="I39" s="197"/>
      <c r="J39" s="197"/>
      <c r="K39" s="197"/>
      <c r="L39" s="197"/>
      <c r="M39" s="197"/>
      <c r="N39" s="197"/>
      <c r="O39" s="197"/>
      <c r="P39" s="197"/>
      <c r="Q39" s="197"/>
      <c r="R39" s="197"/>
      <c r="S39" s="197"/>
    </row>
    <row r="40" spans="1:19">
      <c r="A40" s="192"/>
      <c r="B40" s="197"/>
      <c r="C40" s="197"/>
      <c r="D40" s="197"/>
      <c r="E40" s="197"/>
      <c r="F40" s="197"/>
      <c r="G40" s="197"/>
      <c r="H40" s="78"/>
      <c r="I40" s="197"/>
      <c r="J40" s="197"/>
      <c r="K40" s="197"/>
      <c r="L40" s="197"/>
      <c r="M40" s="197"/>
      <c r="N40" s="197"/>
      <c r="O40" s="197"/>
      <c r="P40" s="197"/>
      <c r="Q40" s="197"/>
      <c r="R40" s="197"/>
      <c r="S40" s="197"/>
    </row>
    <row r="41" spans="1:19">
      <c r="A41" s="192"/>
      <c r="B41" s="197" t="s">
        <v>420</v>
      </c>
      <c r="C41" s="197"/>
      <c r="D41" s="197"/>
      <c r="E41" s="197"/>
      <c r="F41" s="197" t="s">
        <v>209</v>
      </c>
      <c r="G41" s="197"/>
      <c r="H41" s="37">
        <f>SUMPRODUCT(L19:P19,L17:P17)</f>
        <v>47684840.608000003</v>
      </c>
      <c r="I41" s="197"/>
      <c r="J41" s="197"/>
      <c r="K41" s="197"/>
      <c r="L41" s="197"/>
      <c r="M41" s="197"/>
      <c r="N41" s="197"/>
      <c r="O41" s="197"/>
      <c r="P41" s="197"/>
      <c r="Q41" s="197"/>
      <c r="R41" s="197"/>
      <c r="S41" s="197"/>
    </row>
    <row r="42" spans="1:19">
      <c r="A42" s="192"/>
      <c r="B42" s="197" t="s">
        <v>421</v>
      </c>
      <c r="C42" s="197"/>
      <c r="D42" s="197"/>
      <c r="E42" s="197"/>
      <c r="F42" s="197" t="s">
        <v>209</v>
      </c>
      <c r="G42" s="197"/>
      <c r="H42" s="37">
        <f>SUMPRODUCT(L25:P25,L23:P23)</f>
        <v>798650747.77999997</v>
      </c>
      <c r="I42" s="197"/>
      <c r="J42" s="197"/>
      <c r="K42" s="197"/>
      <c r="L42" s="197"/>
      <c r="M42" s="197"/>
      <c r="N42" s="197"/>
      <c r="O42" s="197"/>
      <c r="P42" s="197"/>
      <c r="Q42" s="197"/>
      <c r="R42" s="197"/>
      <c r="S42" s="197"/>
    </row>
    <row r="43" spans="1:19">
      <c r="A43" s="192"/>
      <c r="B43" s="197" t="s">
        <v>422</v>
      </c>
      <c r="C43" s="197"/>
      <c r="D43" s="197"/>
      <c r="E43" s="197"/>
      <c r="F43" s="197" t="s">
        <v>209</v>
      </c>
      <c r="G43" s="197"/>
      <c r="H43" s="37">
        <f>H41+H42</f>
        <v>846335588.38800001</v>
      </c>
      <c r="I43" s="197"/>
      <c r="J43" s="197"/>
      <c r="K43" s="197"/>
      <c r="L43" s="197"/>
      <c r="M43" s="197"/>
      <c r="N43" s="197"/>
      <c r="O43" s="197"/>
      <c r="P43" s="197"/>
      <c r="Q43" s="197"/>
      <c r="R43" s="197"/>
      <c r="S43" s="197"/>
    </row>
    <row r="44" spans="1:19">
      <c r="A44" s="192"/>
      <c r="B44" s="197"/>
      <c r="C44" s="197"/>
      <c r="D44" s="197"/>
      <c r="E44" s="197"/>
      <c r="F44" s="197"/>
      <c r="G44" s="197"/>
      <c r="H44" s="77"/>
      <c r="I44" s="197"/>
      <c r="J44" s="197"/>
      <c r="K44" s="197"/>
      <c r="L44" s="197"/>
      <c r="M44" s="197"/>
      <c r="N44" s="197"/>
      <c r="O44" s="197"/>
      <c r="P44" s="197"/>
      <c r="Q44" s="197"/>
      <c r="R44" s="197"/>
      <c r="S44" s="197"/>
    </row>
    <row r="45" spans="1:19">
      <c r="A45" s="192"/>
      <c r="B45" s="88" t="s">
        <v>423</v>
      </c>
      <c r="C45" s="197"/>
      <c r="D45" s="197"/>
      <c r="E45" s="197"/>
      <c r="F45" s="197" t="s">
        <v>63</v>
      </c>
      <c r="G45" s="197"/>
      <c r="H45" s="89">
        <f>(H39-H43)/H43</f>
        <v>-1.2677048396095519E-3</v>
      </c>
      <c r="I45" s="197"/>
      <c r="J45" s="197"/>
      <c r="K45" s="197"/>
      <c r="L45" s="197"/>
      <c r="M45" s="197"/>
      <c r="N45" s="197"/>
      <c r="O45" s="197"/>
      <c r="P45" s="197"/>
      <c r="Q45" s="197"/>
      <c r="R45" s="26"/>
      <c r="S45" s="197"/>
    </row>
    <row r="46" spans="1:19">
      <c r="A46" s="192"/>
      <c r="B46" s="88" t="s">
        <v>292</v>
      </c>
      <c r="C46" s="197"/>
      <c r="D46" s="197"/>
      <c r="E46" s="197"/>
      <c r="F46" s="197" t="s">
        <v>260</v>
      </c>
      <c r="G46" s="197"/>
      <c r="H46" s="80" t="str">
        <f>IF(ABS(H45)&gt;0.01,"ja","nee")</f>
        <v>nee</v>
      </c>
      <c r="I46" s="197"/>
      <c r="J46" s="197"/>
      <c r="K46" s="197"/>
      <c r="L46" s="197"/>
      <c r="M46" s="197"/>
      <c r="N46" s="197"/>
      <c r="O46" s="197"/>
      <c r="P46" s="197"/>
      <c r="Q46" s="197"/>
      <c r="R46" s="197" t="s">
        <v>730</v>
      </c>
      <c r="S46" s="197"/>
    </row>
    <row r="47" spans="1:19">
      <c r="A47" s="192"/>
      <c r="B47" s="197"/>
      <c r="C47" s="197"/>
      <c r="D47" s="197"/>
      <c r="E47" s="197"/>
      <c r="F47" s="197"/>
      <c r="G47" s="197"/>
      <c r="H47" s="197"/>
      <c r="I47" s="197"/>
      <c r="J47" s="197"/>
      <c r="K47" s="197"/>
      <c r="L47" s="197"/>
      <c r="M47" s="197"/>
      <c r="N47" s="197"/>
      <c r="O47" s="197"/>
      <c r="P47" s="197"/>
      <c r="Q47" s="197"/>
      <c r="R47" s="197"/>
      <c r="S47" s="197"/>
    </row>
    <row r="48" spans="1:19" s="198" customFormat="1">
      <c r="A48" s="192"/>
      <c r="B48" s="96" t="s">
        <v>176</v>
      </c>
      <c r="C48" s="192"/>
      <c r="D48" s="192"/>
      <c r="E48" s="192"/>
      <c r="F48" s="192"/>
      <c r="G48" s="192"/>
      <c r="H48" s="192"/>
      <c r="I48" s="192"/>
      <c r="J48" s="192"/>
      <c r="K48" s="192"/>
      <c r="L48" s="192"/>
      <c r="M48" s="192"/>
      <c r="N48" s="192"/>
      <c r="O48" s="192"/>
      <c r="P48" s="192"/>
      <c r="Q48" s="192"/>
      <c r="R48" s="192"/>
      <c r="S48" s="192"/>
    </row>
    <row r="49" spans="1:19">
      <c r="A49" s="192"/>
      <c r="B49" s="197" t="s">
        <v>310</v>
      </c>
      <c r="C49" s="197"/>
      <c r="D49" s="197"/>
      <c r="E49" s="197"/>
      <c r="F49" s="197"/>
      <c r="G49" s="197"/>
      <c r="H49" s="80" t="str">
        <f>IF(AND(H34="ja",H46="ja"),"ja","nee")</f>
        <v>nee</v>
      </c>
      <c r="I49" s="197"/>
      <c r="J49" s="197"/>
      <c r="K49" s="197"/>
      <c r="L49" s="197"/>
      <c r="M49" s="197"/>
      <c r="N49" s="197"/>
      <c r="O49" s="197"/>
      <c r="P49" s="197"/>
      <c r="Q49" s="197"/>
      <c r="R49" s="26"/>
      <c r="S49" s="197"/>
    </row>
    <row r="50" spans="1:19">
      <c r="A50" s="192"/>
      <c r="B50" s="197"/>
      <c r="C50" s="197"/>
      <c r="D50" s="197"/>
      <c r="E50" s="197"/>
      <c r="F50" s="197"/>
      <c r="G50" s="197"/>
      <c r="H50" s="197"/>
      <c r="I50" s="197"/>
      <c r="J50" s="197"/>
      <c r="K50" s="197"/>
      <c r="L50" s="197"/>
      <c r="M50" s="197"/>
      <c r="N50" s="197"/>
      <c r="O50" s="197"/>
      <c r="P50" s="197"/>
      <c r="Q50" s="197"/>
      <c r="R50" s="197"/>
      <c r="S50" s="197"/>
    </row>
    <row r="51" spans="1:19">
      <c r="A51" s="192"/>
      <c r="B51" s="197" t="s">
        <v>424</v>
      </c>
      <c r="C51" s="197"/>
      <c r="D51" s="197"/>
      <c r="E51" s="197"/>
      <c r="F51" s="197" t="s">
        <v>84</v>
      </c>
      <c r="G51" s="197"/>
      <c r="H51" s="197"/>
      <c r="I51" s="197"/>
      <c r="J51" s="197"/>
      <c r="K51" s="197"/>
      <c r="L51" s="206">
        <f>IF($H$49="ja",L18,L17)</f>
        <v>22.55</v>
      </c>
      <c r="M51" s="38">
        <f>IF($H$49="ja",M18,M17)</f>
        <v>1212716</v>
      </c>
      <c r="N51" s="38">
        <f>IF($H$49="ja",N18,N17)</f>
        <v>12026541</v>
      </c>
      <c r="O51" s="38">
        <f>IF($H$49="ja",O18,O17)</f>
        <v>235262</v>
      </c>
      <c r="P51" s="38">
        <f>IF($H$49="ja",P18,P17)</f>
        <v>3215320</v>
      </c>
      <c r="Q51" s="197"/>
      <c r="R51" s="197"/>
      <c r="S51" s="197"/>
    </row>
    <row r="52" spans="1:19">
      <c r="A52" s="192"/>
      <c r="B52" s="197" t="s">
        <v>425</v>
      </c>
      <c r="C52" s="197"/>
      <c r="D52" s="197"/>
      <c r="E52" s="197"/>
      <c r="F52" s="197" t="s">
        <v>84</v>
      </c>
      <c r="G52" s="197"/>
      <c r="H52" s="197"/>
      <c r="I52" s="197"/>
      <c r="J52" s="197"/>
      <c r="K52" s="197"/>
      <c r="L52" s="206">
        <f>IF($H$49="ja",L24,L23)</f>
        <v>91.56</v>
      </c>
      <c r="M52" s="38">
        <f>IF($H$49="ja",M24,M23)</f>
        <v>14929120</v>
      </c>
      <c r="N52" s="38">
        <f>IF($H$49="ja",N24,N23)</f>
        <v>153986790</v>
      </c>
      <c r="O52" s="38">
        <f>IF($H$49="ja",O24,O23)</f>
        <v>226512</v>
      </c>
      <c r="P52" s="38">
        <f>IF($H$49="ja",P24,P23)</f>
        <v>1737592</v>
      </c>
      <c r="Q52" s="197"/>
      <c r="R52" s="197"/>
      <c r="S52" s="197"/>
    </row>
    <row r="53" spans="1:19">
      <c r="A53" s="192"/>
      <c r="B53" s="197"/>
      <c r="C53" s="197"/>
      <c r="D53" s="197"/>
      <c r="E53" s="197"/>
      <c r="F53" s="197"/>
      <c r="G53" s="197"/>
      <c r="H53" s="197"/>
      <c r="I53" s="197"/>
      <c r="J53" s="197"/>
      <c r="K53" s="197"/>
      <c r="L53" s="197"/>
      <c r="M53" s="197"/>
      <c r="N53" s="197"/>
      <c r="O53" s="197"/>
      <c r="P53" s="197"/>
      <c r="Q53" s="197"/>
      <c r="R53" s="197"/>
      <c r="S53" s="197"/>
    </row>
  </sheetData>
  <mergeCells count="2">
    <mergeCell ref="B5:G5"/>
    <mergeCell ref="B8:G8"/>
  </mergeCells>
  <pageMargins left="0.7" right="0.7" top="0.75" bottom="0.75" header="0.3" footer="0.3"/>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autoPageBreaks="0"/>
  </sheetPr>
  <dimension ref="A1:U92"/>
  <sheetViews>
    <sheetView showGridLines="0" zoomScale="85" zoomScaleNormal="85" workbookViewId="0">
      <pane xSplit="6" ySplit="8" topLeftCell="G48" activePane="bottomRight" state="frozen"/>
      <selection pane="topRight"/>
      <selection pane="bottomLeft"/>
      <selection pane="bottomRight"/>
    </sheetView>
  </sheetViews>
  <sheetFormatPr defaultColWidth="9.140625" defaultRowHeight="12.75"/>
  <cols>
    <col min="1" max="1" width="4" style="2" customWidth="1"/>
    <col min="2" max="2" width="62.570312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32" width="13.7109375" style="2" customWidth="1"/>
    <col min="33" max="16384" width="9.140625" style="2"/>
  </cols>
  <sheetData>
    <row r="1" spans="1:18">
      <c r="A1" s="8"/>
    </row>
    <row r="2" spans="1:18" s="20" customFormat="1" ht="18">
      <c r="B2" s="20" t="s">
        <v>613</v>
      </c>
    </row>
    <row r="4" spans="1:18">
      <c r="B4" s="1" t="s">
        <v>57</v>
      </c>
      <c r="C4" s="1"/>
      <c r="D4" s="1"/>
      <c r="H4" s="84"/>
    </row>
    <row r="5" spans="1:18" ht="68.25" customHeight="1">
      <c r="B5" s="272" t="s">
        <v>426</v>
      </c>
      <c r="C5" s="272"/>
      <c r="D5" s="272"/>
      <c r="E5" s="272"/>
      <c r="H5" s="21"/>
    </row>
    <row r="6" spans="1:18">
      <c r="C6" s="23"/>
      <c r="D6" s="23"/>
      <c r="H6" s="21"/>
    </row>
    <row r="7" spans="1:18" s="7" customFormat="1" ht="38.25">
      <c r="B7" s="7" t="s">
        <v>45</v>
      </c>
      <c r="F7" s="7" t="s">
        <v>27</v>
      </c>
      <c r="H7" s="7" t="s">
        <v>28</v>
      </c>
      <c r="J7" s="7" t="s">
        <v>49</v>
      </c>
      <c r="L7" s="87" t="s">
        <v>79</v>
      </c>
      <c r="M7" s="31" t="s">
        <v>262</v>
      </c>
      <c r="N7" s="31" t="s">
        <v>81</v>
      </c>
      <c r="O7" s="31" t="s">
        <v>261</v>
      </c>
      <c r="P7" s="31" t="s">
        <v>174</v>
      </c>
      <c r="R7" s="7" t="s">
        <v>47</v>
      </c>
    </row>
    <row r="10" spans="1:18" s="7" customFormat="1">
      <c r="B10" s="7" t="s">
        <v>48</v>
      </c>
    </row>
    <row r="12" spans="1:18">
      <c r="B12" s="1" t="s">
        <v>83</v>
      </c>
    </row>
    <row r="13" spans="1:18">
      <c r="B13" s="23" t="s">
        <v>335</v>
      </c>
      <c r="F13" s="2" t="s">
        <v>209</v>
      </c>
      <c r="L13" s="97">
        <f>'Tab 8_Voorstel tarieven en RV'!L31</f>
        <v>12478.96</v>
      </c>
      <c r="M13" s="97">
        <f>'Tab 8_Voorstel tarieven en RV'!M31</f>
        <v>17.27</v>
      </c>
      <c r="N13" s="97">
        <f>'Tab 8_Voorstel tarieven en RV'!N31</f>
        <v>1.86</v>
      </c>
      <c r="O13" s="97">
        <f>'Tab 8_Voorstel tarieven en RV'!O31</f>
        <v>8.64</v>
      </c>
      <c r="P13" s="97">
        <f>'Tab 8_Voorstel tarieven en RV'!P31</f>
        <v>0.64</v>
      </c>
    </row>
    <row r="14" spans="1:18">
      <c r="B14" s="23" t="s">
        <v>336</v>
      </c>
      <c r="F14" s="2" t="s">
        <v>84</v>
      </c>
      <c r="L14" s="205">
        <f>'Tab 8_Voorstel tarieven en RV'!L32</f>
        <v>22.916666666666668</v>
      </c>
      <c r="M14" s="36">
        <f>'Tab 8_Voorstel tarieven en RV'!M32</f>
        <v>1256264</v>
      </c>
      <c r="N14" s="36">
        <f>'Tab 8_Voorstel tarieven en RV'!N32</f>
        <v>11697648</v>
      </c>
      <c r="O14" s="36">
        <f>'Tab 8_Voorstel tarieven en RV'!O32</f>
        <v>176933</v>
      </c>
      <c r="P14" s="36">
        <f>'Tab 8_Voorstel tarieven en RV'!P32</f>
        <v>2230924</v>
      </c>
      <c r="R14" s="5"/>
    </row>
    <row r="15" spans="1:18">
      <c r="B15" s="23"/>
    </row>
    <row r="16" spans="1:18">
      <c r="B16" s="1" t="s">
        <v>85</v>
      </c>
    </row>
    <row r="17" spans="2:18">
      <c r="B17" s="23" t="s">
        <v>335</v>
      </c>
      <c r="F17" s="2" t="s">
        <v>209</v>
      </c>
      <c r="L17" s="97">
        <f>'Tab 8_Voorstel tarieven en RV'!L35</f>
        <v>2760</v>
      </c>
      <c r="M17" s="97">
        <f>'Tab 8_Voorstel tarieven en RV'!M35</f>
        <v>26.46</v>
      </c>
      <c r="N17" s="97">
        <f>'Tab 8_Voorstel tarieven en RV'!N35</f>
        <v>2.59</v>
      </c>
      <c r="O17" s="97">
        <f>'Tab 8_Voorstel tarieven en RV'!O35</f>
        <v>13.25</v>
      </c>
      <c r="P17" s="97">
        <f>'Tab 8_Voorstel tarieven en RV'!P35</f>
        <v>0.89</v>
      </c>
    </row>
    <row r="18" spans="2:18">
      <c r="B18" s="23" t="s">
        <v>336</v>
      </c>
      <c r="F18" s="2" t="s">
        <v>84</v>
      </c>
      <c r="L18" s="205">
        <f>'Tab 8_Voorstel tarieven en RV'!L36</f>
        <v>94.25</v>
      </c>
      <c r="M18" s="36">
        <f>'Tab 8_Voorstel tarieven en RV'!M36</f>
        <v>14934432</v>
      </c>
      <c r="N18" s="36">
        <f>'Tab 8_Voorstel tarieven en RV'!N36</f>
        <v>153717225</v>
      </c>
      <c r="O18" s="36">
        <f>'Tab 8_Voorstel tarieven en RV'!O36</f>
        <v>247091</v>
      </c>
      <c r="P18" s="36">
        <f>'Tab 8_Voorstel tarieven en RV'!P36</f>
        <v>1955216</v>
      </c>
      <c r="R18" s="5"/>
    </row>
    <row r="20" spans="2:18">
      <c r="B20" s="51" t="s">
        <v>427</v>
      </c>
      <c r="F20" s="2" t="s">
        <v>209</v>
      </c>
      <c r="H20" s="36">
        <f>'Tab 4_Totale inkomsten 2020'!J64</f>
        <v>538746942.565871</v>
      </c>
    </row>
    <row r="21" spans="2:18">
      <c r="B21" s="51" t="s">
        <v>428</v>
      </c>
      <c r="F21" s="2" t="s">
        <v>209</v>
      </c>
      <c r="H21" s="36">
        <f>'Tab 4_Totale inkomsten 2020'!K64</f>
        <v>306558229.67582566</v>
      </c>
    </row>
    <row r="23" spans="2:18">
      <c r="B23" s="52" t="s">
        <v>110</v>
      </c>
      <c r="C23" s="53"/>
    </row>
    <row r="24" spans="2:18">
      <c r="B24" s="54" t="s">
        <v>218</v>
      </c>
      <c r="C24" s="53"/>
      <c r="F24" s="2" t="s">
        <v>63</v>
      </c>
      <c r="H24" s="103">
        <f>'Tab 9_Parameters'!H52</f>
        <v>0.5</v>
      </c>
      <c r="J24" s="21"/>
      <c r="R24" s="55"/>
    </row>
    <row r="25" spans="2:18">
      <c r="B25" s="54" t="s">
        <v>112</v>
      </c>
      <c r="C25" s="53"/>
      <c r="F25" s="2" t="s">
        <v>63</v>
      </c>
      <c r="H25" s="103">
        <f>'Tab 9_Parameters'!H53</f>
        <v>0.5</v>
      </c>
      <c r="J25" s="21"/>
      <c r="R25" s="55"/>
    </row>
    <row r="26" spans="2:18">
      <c r="B26" s="54"/>
      <c r="C26" s="53"/>
      <c r="H26" s="56"/>
      <c r="R26" s="55"/>
    </row>
    <row r="27" spans="2:18">
      <c r="B27" s="52" t="s">
        <v>113</v>
      </c>
      <c r="C27" s="53"/>
      <c r="H27" s="55"/>
      <c r="R27" s="55"/>
    </row>
    <row r="28" spans="2:18">
      <c r="B28" s="53" t="s">
        <v>219</v>
      </c>
      <c r="C28" s="53"/>
      <c r="F28" s="2" t="s">
        <v>63</v>
      </c>
      <c r="H28" s="103">
        <f>'Tab 9_Parameters'!H56</f>
        <v>0.5</v>
      </c>
      <c r="J28" s="21"/>
      <c r="R28" s="55"/>
    </row>
    <row r="29" spans="2:18">
      <c r="B29" s="53" t="s">
        <v>114</v>
      </c>
      <c r="C29" s="53"/>
      <c r="F29" s="2" t="s">
        <v>63</v>
      </c>
      <c r="H29" s="103">
        <f>'Tab 9_Parameters'!H57</f>
        <v>0.34615384615384615</v>
      </c>
      <c r="J29" s="21"/>
      <c r="R29" s="55"/>
    </row>
    <row r="31" spans="2:18" s="7" customFormat="1">
      <c r="B31" s="7" t="s">
        <v>155</v>
      </c>
    </row>
    <row r="33" spans="2:21">
      <c r="B33" s="50"/>
    </row>
    <row r="34" spans="2:21">
      <c r="B34" s="57" t="s">
        <v>115</v>
      </c>
      <c r="C34" s="55"/>
      <c r="E34" s="58"/>
      <c r="F34" s="55" t="s">
        <v>63</v>
      </c>
      <c r="G34" s="59"/>
      <c r="H34" s="60">
        <f>((M18+O18)/((M14+O14)+(M18+O18)))</f>
        <v>0.91373932272105696</v>
      </c>
      <c r="R34" s="59" t="s">
        <v>293</v>
      </c>
      <c r="U34" s="61" t="s">
        <v>116</v>
      </c>
    </row>
    <row r="35" spans="2:21">
      <c r="H35" s="62"/>
    </row>
    <row r="36" spans="2:21">
      <c r="B36" s="52" t="s">
        <v>302</v>
      </c>
      <c r="C36" s="52"/>
      <c r="D36" s="58"/>
      <c r="E36" s="58"/>
      <c r="F36" s="59"/>
      <c r="H36" s="62"/>
    </row>
    <row r="37" spans="2:21">
      <c r="B37" s="63" t="s">
        <v>429</v>
      </c>
      <c r="C37" s="58"/>
      <c r="F37" s="82" t="s">
        <v>209</v>
      </c>
      <c r="H37" s="46">
        <f>SUMPRODUCT(L13:P13,L14:P14)+SUMPRODUCT(L17:P17,L18:P18)</f>
        <v>845262684.66666675</v>
      </c>
      <c r="I37" s="58"/>
      <c r="J37" s="59"/>
    </row>
    <row r="38" spans="2:21">
      <c r="B38" s="51" t="s">
        <v>430</v>
      </c>
      <c r="C38" s="58"/>
      <c r="F38" s="2" t="s">
        <v>209</v>
      </c>
      <c r="H38" s="46">
        <f>H20+H21</f>
        <v>845305172.2416966</v>
      </c>
      <c r="I38" s="58"/>
      <c r="J38" s="59"/>
    </row>
    <row r="39" spans="2:21">
      <c r="B39" s="63" t="s">
        <v>117</v>
      </c>
      <c r="C39" s="58"/>
      <c r="F39" s="82" t="s">
        <v>209</v>
      </c>
      <c r="H39" s="46">
        <f>H37-H38</f>
        <v>-42487.575029850006</v>
      </c>
      <c r="I39" s="58"/>
    </row>
    <row r="40" spans="2:21">
      <c r="B40" s="2" t="s">
        <v>274</v>
      </c>
      <c r="F40" s="2" t="s">
        <v>260</v>
      </c>
      <c r="H40" s="99" t="str">
        <f>IF(H39&gt;0,"nee","ja")</f>
        <v>ja</v>
      </c>
      <c r="J40" s="59"/>
      <c r="O40" s="53"/>
      <c r="P40" s="55"/>
      <c r="R40" s="83" t="s">
        <v>294</v>
      </c>
    </row>
    <row r="41" spans="2:21">
      <c r="O41" s="53"/>
      <c r="P41" s="55"/>
    </row>
    <row r="42" spans="2:21">
      <c r="O42" s="53"/>
      <c r="P42" s="55"/>
    </row>
    <row r="43" spans="2:21">
      <c r="B43" s="52" t="s">
        <v>301</v>
      </c>
      <c r="C43" s="52"/>
      <c r="N43" s="56"/>
      <c r="O43" s="53"/>
      <c r="P43" s="55"/>
    </row>
    <row r="44" spans="2:21">
      <c r="B44" s="53" t="s">
        <v>222</v>
      </c>
      <c r="F44" s="2" t="s">
        <v>209</v>
      </c>
      <c r="H44" s="46">
        <f>L14*L13</f>
        <v>285976.16666666669</v>
      </c>
      <c r="O44" s="53"/>
      <c r="P44" s="55"/>
    </row>
    <row r="45" spans="2:21">
      <c r="B45" s="53" t="s">
        <v>223</v>
      </c>
      <c r="F45" s="82" t="s">
        <v>209</v>
      </c>
      <c r="H45" s="46">
        <f>H20-H44</f>
        <v>538460966.39920437</v>
      </c>
      <c r="O45" s="53"/>
      <c r="P45" s="55"/>
    </row>
    <row r="46" spans="2:21">
      <c r="B46" s="55"/>
      <c r="F46" s="82"/>
      <c r="H46" s="55"/>
      <c r="O46" s="55"/>
      <c r="P46" s="55"/>
    </row>
    <row r="47" spans="2:21">
      <c r="B47" s="53" t="s">
        <v>224</v>
      </c>
      <c r="F47" s="82" t="s">
        <v>209</v>
      </c>
      <c r="H47" s="46">
        <f>(1-H34)*H45</f>
        <v>46448007.649869561</v>
      </c>
      <c r="O47" s="53"/>
      <c r="P47" s="53"/>
    </row>
    <row r="48" spans="2:21">
      <c r="B48" s="64"/>
      <c r="F48" s="82"/>
      <c r="H48" s="65"/>
      <c r="O48" s="53"/>
      <c r="P48" s="53"/>
    </row>
    <row r="49" spans="2:18">
      <c r="B49" s="53" t="s">
        <v>220</v>
      </c>
      <c r="F49" s="82" t="s">
        <v>209</v>
      </c>
      <c r="H49" s="46">
        <f>H47*H24</f>
        <v>23224003.824934781</v>
      </c>
    </row>
    <row r="50" spans="2:18">
      <c r="B50" s="53" t="s">
        <v>221</v>
      </c>
      <c r="F50" s="82" t="s">
        <v>209</v>
      </c>
      <c r="H50" s="46">
        <f>H47*H25</f>
        <v>23224003.824934781</v>
      </c>
    </row>
    <row r="51" spans="2:18">
      <c r="F51" s="82"/>
      <c r="N51" s="58"/>
      <c r="O51" s="58"/>
      <c r="P51" s="59"/>
    </row>
    <row r="52" spans="2:18">
      <c r="B52" s="167" t="s">
        <v>228</v>
      </c>
      <c r="F52" s="82" t="s">
        <v>209</v>
      </c>
      <c r="J52" s="62"/>
      <c r="K52" s="62"/>
      <c r="L52" s="143">
        <f>L13</f>
        <v>12478.96</v>
      </c>
      <c r="M52" s="171">
        <f>H49/(M14+H28*O14)</f>
        <v>17.270377837741304</v>
      </c>
      <c r="N52" s="171">
        <f>H50/(N14+P14*H29)</f>
        <v>1.8624063328377773</v>
      </c>
      <c r="O52" s="171">
        <f>H28*M52</f>
        <v>8.6351889188706519</v>
      </c>
      <c r="P52" s="171">
        <f>H29*N52</f>
        <v>0.64467911521307675</v>
      </c>
      <c r="R52" s="83" t="s">
        <v>295</v>
      </c>
    </row>
    <row r="53" spans="2:18">
      <c r="B53" s="167" t="s">
        <v>118</v>
      </c>
      <c r="F53" s="82" t="s">
        <v>209</v>
      </c>
      <c r="J53" s="46">
        <f>SUM(L53:P53)</f>
        <v>46733983.816536225</v>
      </c>
      <c r="K53" s="62"/>
      <c r="L53" s="46">
        <f>L52*L14</f>
        <v>285976.16666666669</v>
      </c>
      <c r="M53" s="46">
        <f>M52*M14</f>
        <v>21696153.94395224</v>
      </c>
      <c r="N53" s="46">
        <f>N52*N14</f>
        <v>21785773.714507159</v>
      </c>
      <c r="O53" s="46">
        <f>O52*O14</f>
        <v>1527849.880982541</v>
      </c>
      <c r="P53" s="46">
        <f>P52*P14</f>
        <v>1438230.110427618</v>
      </c>
    </row>
    <row r="54" spans="2:18">
      <c r="B54" s="168"/>
      <c r="F54" s="82"/>
      <c r="J54" s="62"/>
      <c r="K54" s="62"/>
      <c r="L54" s="62"/>
      <c r="M54" s="62"/>
      <c r="N54" s="64"/>
      <c r="O54" s="64"/>
      <c r="P54" s="56"/>
    </row>
    <row r="55" spans="2:18">
      <c r="B55" s="167" t="s">
        <v>119</v>
      </c>
      <c r="F55" s="82" t="s">
        <v>209</v>
      </c>
      <c r="J55" s="62"/>
      <c r="K55" s="62"/>
      <c r="L55" s="66">
        <f>ROUND(L52,2)</f>
        <v>12478.96</v>
      </c>
      <c r="M55" s="66">
        <f t="shared" ref="M55:P55" si="0">ROUND(M52,2)</f>
        <v>17.27</v>
      </c>
      <c r="N55" s="66">
        <f t="shared" si="0"/>
        <v>1.86</v>
      </c>
      <c r="O55" s="66">
        <f t="shared" si="0"/>
        <v>8.64</v>
      </c>
      <c r="P55" s="66">
        <f t="shared" si="0"/>
        <v>0.64</v>
      </c>
    </row>
    <row r="56" spans="2:18">
      <c r="B56" s="64" t="s">
        <v>120</v>
      </c>
      <c r="F56" s="82" t="s">
        <v>209</v>
      </c>
      <c r="J56" s="67">
        <f>SUM(L56:P56)</f>
        <v>46695773.206666671</v>
      </c>
      <c r="L56" s="67">
        <f>L55*L14</f>
        <v>285976.16666666669</v>
      </c>
      <c r="M56" s="46">
        <f>M55*M14</f>
        <v>21695679.280000001</v>
      </c>
      <c r="N56" s="46">
        <f>N55*N14</f>
        <v>21757625.280000001</v>
      </c>
      <c r="O56" s="46">
        <f>O55*O14</f>
        <v>1528701.12</v>
      </c>
      <c r="P56" s="46">
        <f>P55*P14</f>
        <v>1427791.36</v>
      </c>
    </row>
    <row r="57" spans="2:18" s="8" customFormat="1">
      <c r="B57" s="8" t="s">
        <v>121</v>
      </c>
      <c r="H57" s="67">
        <f>J56-J53</f>
        <v>-38210.609869554639</v>
      </c>
      <c r="M57" s="55"/>
      <c r="O57" s="53"/>
      <c r="P57" s="53"/>
      <c r="R57" s="173"/>
    </row>
    <row r="58" spans="2:18">
      <c r="M58" s="55"/>
      <c r="O58" s="64"/>
      <c r="P58" s="64"/>
    </row>
    <row r="59" spans="2:18">
      <c r="M59" s="55"/>
      <c r="O59" s="64"/>
      <c r="P59" s="64"/>
    </row>
    <row r="60" spans="2:18">
      <c r="B60" s="52" t="s">
        <v>297</v>
      </c>
      <c r="M60" s="55"/>
      <c r="O60" s="64"/>
      <c r="P60" s="64"/>
    </row>
    <row r="61" spans="2:18">
      <c r="B61" s="53" t="s">
        <v>225</v>
      </c>
      <c r="F61" s="2" t="s">
        <v>209</v>
      </c>
      <c r="H61" s="46">
        <f>L18*L17</f>
        <v>260130</v>
      </c>
      <c r="J61" s="169"/>
      <c r="L61" s="55"/>
      <c r="M61" s="55"/>
      <c r="N61" s="55"/>
      <c r="O61" s="55"/>
      <c r="P61" s="55"/>
    </row>
    <row r="62" spans="2:18">
      <c r="B62" s="53" t="s">
        <v>226</v>
      </c>
      <c r="F62" s="82" t="s">
        <v>209</v>
      </c>
      <c r="H62" s="46">
        <f>H21-H61</f>
        <v>306298099.67582566</v>
      </c>
      <c r="L62" s="55"/>
      <c r="M62" s="55"/>
      <c r="N62" s="55"/>
      <c r="O62" s="55"/>
      <c r="P62" s="55"/>
    </row>
    <row r="63" spans="2:18">
      <c r="B63" s="55"/>
      <c r="F63" s="82"/>
      <c r="H63" s="55"/>
      <c r="M63" s="55"/>
      <c r="N63" s="55"/>
      <c r="O63" s="65"/>
      <c r="P63" s="55"/>
    </row>
    <row r="64" spans="2:18">
      <c r="B64" s="57" t="s">
        <v>115</v>
      </c>
      <c r="F64" s="82" t="s">
        <v>209</v>
      </c>
      <c r="H64" s="46">
        <f>H34*H45</f>
        <v>492012958.74933481</v>
      </c>
      <c r="M64" s="55"/>
      <c r="N64" s="55"/>
      <c r="O64" s="64"/>
      <c r="P64" s="55"/>
    </row>
    <row r="65" spans="2:18">
      <c r="B65" s="53" t="s">
        <v>227</v>
      </c>
      <c r="F65" s="82" t="s">
        <v>209</v>
      </c>
      <c r="H65" s="46">
        <f>H64+H62</f>
        <v>798311058.42516041</v>
      </c>
      <c r="M65" s="55"/>
      <c r="N65" s="55"/>
      <c r="O65" s="64"/>
      <c r="P65" s="55"/>
    </row>
    <row r="66" spans="2:18">
      <c r="B66" s="55"/>
      <c r="F66" s="82"/>
      <c r="H66" s="55"/>
      <c r="M66" s="55"/>
      <c r="N66" s="55"/>
      <c r="O66" s="64"/>
      <c r="P66" s="55"/>
    </row>
    <row r="67" spans="2:18">
      <c r="B67" s="54" t="s">
        <v>220</v>
      </c>
      <c r="F67" s="82" t="s">
        <v>209</v>
      </c>
      <c r="H67" s="46">
        <f>H65*H24</f>
        <v>399155529.2125802</v>
      </c>
      <c r="M67" s="55"/>
      <c r="N67" s="55"/>
      <c r="O67" s="65"/>
      <c r="P67" s="55"/>
    </row>
    <row r="68" spans="2:18">
      <c r="B68" s="54" t="s">
        <v>122</v>
      </c>
      <c r="F68" s="82" t="s">
        <v>209</v>
      </c>
      <c r="H68" s="46">
        <f>H65*H25</f>
        <v>399155529.2125802</v>
      </c>
      <c r="M68" s="55"/>
      <c r="N68" s="55"/>
      <c r="O68" s="64"/>
      <c r="P68" s="68"/>
    </row>
    <row r="69" spans="2:18">
      <c r="F69" s="82"/>
      <c r="M69" s="55"/>
      <c r="N69" s="55"/>
      <c r="O69" s="64"/>
      <c r="P69" s="64"/>
    </row>
    <row r="70" spans="2:18">
      <c r="B70" s="64" t="s">
        <v>229</v>
      </c>
      <c r="F70" s="82" t="s">
        <v>209</v>
      </c>
      <c r="J70" s="62"/>
      <c r="K70" s="62"/>
      <c r="L70" s="172">
        <f>L17</f>
        <v>2760</v>
      </c>
      <c r="M70" s="171">
        <f>H67/(M18+H28*O18)</f>
        <v>26.507911119709153</v>
      </c>
      <c r="N70" s="171">
        <f>H68/(N18+P18*H29)</f>
        <v>2.5853041585901564</v>
      </c>
      <c r="O70" s="171">
        <f>H28*M70</f>
        <v>13.253955559854576</v>
      </c>
      <c r="P70" s="171">
        <f>H29*N70</f>
        <v>0.89491297797351566</v>
      </c>
      <c r="R70" s="83" t="s">
        <v>295</v>
      </c>
    </row>
    <row r="71" spans="2:18">
      <c r="B71" s="64" t="s">
        <v>123</v>
      </c>
      <c r="F71" s="82" t="s">
        <v>209</v>
      </c>
      <c r="J71" s="46">
        <f>SUM(L71:P71)</f>
        <v>798571188.42516041</v>
      </c>
      <c r="K71" s="62"/>
      <c r="L71" s="46">
        <f>L70*L18</f>
        <v>260130</v>
      </c>
      <c r="M71" s="46">
        <f>M70*M18</f>
        <v>395880596.07934022</v>
      </c>
      <c r="N71" s="46">
        <f>N70*N18</f>
        <v>397405781.03943872</v>
      </c>
      <c r="O71" s="46">
        <f>O70*O18</f>
        <v>3274933.1332400274</v>
      </c>
      <c r="P71" s="46">
        <f>P70*P18</f>
        <v>1749748.1731414653</v>
      </c>
    </row>
    <row r="72" spans="2:18">
      <c r="F72" s="82"/>
      <c r="J72" s="62"/>
      <c r="K72" s="62"/>
      <c r="L72" s="62"/>
      <c r="M72" s="62"/>
      <c r="N72" s="64"/>
      <c r="O72" s="64"/>
      <c r="P72" s="56"/>
    </row>
    <row r="73" spans="2:18">
      <c r="B73" s="64" t="s">
        <v>124</v>
      </c>
      <c r="F73" s="82" t="s">
        <v>209</v>
      </c>
      <c r="J73" s="62"/>
      <c r="K73" s="62"/>
      <c r="L73" s="66">
        <f>ROUND(L70,2)</f>
        <v>2760</v>
      </c>
      <c r="M73" s="66">
        <f>ROUND(M70,2)</f>
        <v>26.51</v>
      </c>
      <c r="N73" s="66">
        <f>ROUND(N70,2)</f>
        <v>2.59</v>
      </c>
      <c r="O73" s="66">
        <f>ROUND(O70,2)</f>
        <v>13.25</v>
      </c>
      <c r="P73" s="66">
        <f>ROUND(P70,2)</f>
        <v>0.89</v>
      </c>
    </row>
    <row r="74" spans="2:18">
      <c r="B74" s="64" t="s">
        <v>123</v>
      </c>
      <c r="F74" s="82" t="s">
        <v>209</v>
      </c>
      <c r="J74" s="46">
        <f>SUM(L74:P74)</f>
        <v>799313633.06000006</v>
      </c>
      <c r="L74" s="46">
        <f>L73*L18</f>
        <v>260130</v>
      </c>
      <c r="M74" s="46">
        <f>M73*M18</f>
        <v>395911792.32000005</v>
      </c>
      <c r="N74" s="46">
        <f>N73*N18</f>
        <v>398127612.75</v>
      </c>
      <c r="O74" s="46">
        <f>O73*O18</f>
        <v>3273955.75</v>
      </c>
      <c r="P74" s="46">
        <f>P73*P18</f>
        <v>1740142.24</v>
      </c>
    </row>
    <row r="75" spans="2:18" s="8" customFormat="1">
      <c r="B75" s="8" t="s">
        <v>121</v>
      </c>
      <c r="H75" s="67">
        <f>J74-J71</f>
        <v>742444.63483965397</v>
      </c>
      <c r="M75" s="55"/>
      <c r="O75" s="53"/>
      <c r="P75" s="53"/>
    </row>
    <row r="76" spans="2:18">
      <c r="B76" s="29"/>
    </row>
    <row r="77" spans="2:18">
      <c r="B77" s="96" t="s">
        <v>298</v>
      </c>
      <c r="C77" s="82"/>
      <c r="D77" s="82"/>
      <c r="E77" s="82"/>
      <c r="F77" s="82"/>
      <c r="G77" s="82"/>
      <c r="H77" s="82"/>
    </row>
    <row r="78" spans="2:18" s="164" customFormat="1">
      <c r="B78" s="96" t="s">
        <v>275</v>
      </c>
    </row>
    <row r="79" spans="2:18">
      <c r="B79" s="53" t="s">
        <v>276</v>
      </c>
      <c r="C79" s="69"/>
      <c r="D79" s="82"/>
      <c r="E79" s="82"/>
      <c r="F79" s="82" t="s">
        <v>209</v>
      </c>
      <c r="G79" s="82"/>
      <c r="H79" s="37">
        <f>J53+J71</f>
        <v>845305172.2416966</v>
      </c>
      <c r="M79" s="64"/>
      <c r="N79" s="65"/>
      <c r="O79" s="64"/>
      <c r="P79" s="64"/>
      <c r="R79" s="83"/>
    </row>
    <row r="80" spans="2:18">
      <c r="B80" s="53" t="s">
        <v>277</v>
      </c>
      <c r="C80" s="69"/>
      <c r="D80" s="82"/>
      <c r="E80" s="82"/>
      <c r="F80" s="82" t="s">
        <v>209</v>
      </c>
      <c r="G80" s="82"/>
      <c r="H80" s="37">
        <f>J56+J74</f>
        <v>846009406.26666677</v>
      </c>
    </row>
    <row r="81" spans="2:18">
      <c r="B81" s="55" t="s">
        <v>125</v>
      </c>
      <c r="C81" s="69"/>
      <c r="D81" s="82"/>
      <c r="E81" s="82"/>
      <c r="F81" s="82" t="s">
        <v>209</v>
      </c>
      <c r="G81" s="82"/>
      <c r="H81" s="37">
        <f>H80-H79</f>
        <v>704234.02497017384</v>
      </c>
      <c r="R81" s="173" t="s">
        <v>296</v>
      </c>
    </row>
    <row r="82" spans="2:18" s="82" customFormat="1">
      <c r="B82" s="55"/>
      <c r="C82" s="69"/>
      <c r="H82" s="102"/>
    </row>
    <row r="83" spans="2:18" s="82" customFormat="1">
      <c r="B83" s="96" t="s">
        <v>176</v>
      </c>
      <c r="H83" s="101"/>
    </row>
    <row r="84" spans="2:18">
      <c r="B84" s="29" t="s">
        <v>230</v>
      </c>
      <c r="C84" s="82"/>
      <c r="D84" s="82"/>
      <c r="E84" s="82"/>
      <c r="F84" s="82" t="s">
        <v>260</v>
      </c>
      <c r="G84" s="82"/>
      <c r="H84" s="98" t="str">
        <f>H40</f>
        <v>ja</v>
      </c>
      <c r="R84" s="170"/>
    </row>
    <row r="85" spans="2:18" s="82" customFormat="1">
      <c r="B85" s="29"/>
    </row>
    <row r="86" spans="2:18">
      <c r="B86" s="29" t="s">
        <v>431</v>
      </c>
      <c r="F86" s="2" t="s">
        <v>209</v>
      </c>
      <c r="L86" s="100">
        <f>IF($H$84="ja",L13,L55)</f>
        <v>12478.96</v>
      </c>
      <c r="M86" s="100">
        <f t="shared" ref="M86:P86" si="1">IF($H$84="ja",M13,M55)</f>
        <v>17.27</v>
      </c>
      <c r="N86" s="100">
        <f t="shared" si="1"/>
        <v>1.86</v>
      </c>
      <c r="O86" s="100">
        <f t="shared" si="1"/>
        <v>8.64</v>
      </c>
      <c r="P86" s="100">
        <f t="shared" si="1"/>
        <v>0.64</v>
      </c>
    </row>
    <row r="87" spans="2:18">
      <c r="B87" s="29" t="s">
        <v>432</v>
      </c>
      <c r="F87" s="2" t="s">
        <v>209</v>
      </c>
      <c r="L87" s="100">
        <f>IF($H$84="ja",L17,L73)</f>
        <v>2760</v>
      </c>
      <c r="M87" s="100">
        <f t="shared" ref="M87:P87" si="2">IF($H$84="ja",M17,M73)</f>
        <v>26.46</v>
      </c>
      <c r="N87" s="100">
        <f t="shared" si="2"/>
        <v>2.59</v>
      </c>
      <c r="O87" s="100">
        <f t="shared" si="2"/>
        <v>13.25</v>
      </c>
      <c r="P87" s="100">
        <f t="shared" si="2"/>
        <v>0.89</v>
      </c>
    </row>
    <row r="91" spans="2:18">
      <c r="N91" s="55"/>
      <c r="O91" s="64"/>
      <c r="P91" s="64"/>
    </row>
    <row r="92" spans="2:18">
      <c r="N92" s="55"/>
      <c r="O92" s="64"/>
      <c r="P92" s="64"/>
    </row>
  </sheetData>
  <mergeCells count="1">
    <mergeCell ref="B5: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pageSetUpPr autoPageBreaks="0" fitToPage="1"/>
  </sheetPr>
  <dimension ref="A1:I35"/>
  <sheetViews>
    <sheetView showGridLines="0" zoomScale="85" zoomScaleNormal="85" workbookViewId="0">
      <pane ySplit="3" topLeftCell="A4" activePane="bottomLeft" state="frozen"/>
      <selection pane="bottomLeft"/>
    </sheetView>
  </sheetViews>
  <sheetFormatPr defaultColWidth="9.140625" defaultRowHeight="12.75"/>
  <cols>
    <col min="1" max="1" width="2.85546875" style="2" customWidth="1"/>
    <col min="2" max="2" width="7.5703125" style="2" customWidth="1"/>
    <col min="3" max="3" width="80.5703125" style="2" bestFit="1" customWidth="1"/>
    <col min="4" max="4" width="9.85546875" style="82" bestFit="1" customWidth="1"/>
    <col min="5" max="5" width="64.140625" style="2" bestFit="1" customWidth="1"/>
    <col min="6" max="6" width="4.5703125" style="2" customWidth="1"/>
    <col min="7" max="7" width="96.85546875" style="2" bestFit="1" customWidth="1"/>
    <col min="8" max="8" width="28.7109375" style="2" customWidth="1"/>
    <col min="9" max="9" width="22" style="2" customWidth="1"/>
    <col min="10" max="16384" width="9.140625" style="2"/>
  </cols>
  <sheetData>
    <row r="1" spans="1:9">
      <c r="A1" s="8"/>
    </row>
    <row r="2" spans="1:9" s="12" customFormat="1" ht="18">
      <c r="B2" s="11" t="s">
        <v>238</v>
      </c>
    </row>
    <row r="4" spans="1:9" s="7" customFormat="1">
      <c r="B4" s="7" t="s">
        <v>23</v>
      </c>
      <c r="D4" s="86"/>
    </row>
    <row r="5" spans="1:9">
      <c r="C5" s="26"/>
    </row>
    <row r="6" spans="1:9">
      <c r="B6" s="139" t="s">
        <v>53</v>
      </c>
      <c r="C6" s="139" t="s">
        <v>54</v>
      </c>
      <c r="D6" s="139" t="s">
        <v>193</v>
      </c>
      <c r="E6" s="139" t="s">
        <v>56</v>
      </c>
      <c r="G6" s="139" t="s">
        <v>58</v>
      </c>
      <c r="H6" s="139" t="s">
        <v>24</v>
      </c>
    </row>
    <row r="7" spans="1:9">
      <c r="B7" s="19"/>
      <c r="C7" s="24" t="s">
        <v>55</v>
      </c>
      <c r="D7" s="24"/>
      <c r="E7" s="24" t="s">
        <v>25</v>
      </c>
      <c r="G7" s="24" t="s">
        <v>59</v>
      </c>
      <c r="H7" s="24" t="s">
        <v>26</v>
      </c>
    </row>
    <row r="8" spans="1:9" s="253" customFormat="1">
      <c r="B8" s="6">
        <v>1</v>
      </c>
      <c r="C8" s="25" t="s">
        <v>192</v>
      </c>
      <c r="D8" s="255" t="s">
        <v>667</v>
      </c>
      <c r="E8" s="6"/>
      <c r="G8" s="6"/>
      <c r="H8" s="6"/>
      <c r="I8" s="26"/>
    </row>
    <row r="9" spans="1:9">
      <c r="B9" s="6">
        <v>2</v>
      </c>
      <c r="C9" s="25" t="s">
        <v>194</v>
      </c>
      <c r="D9" s="255" t="s">
        <v>667</v>
      </c>
      <c r="E9" s="6"/>
      <c r="G9" s="6"/>
      <c r="H9" s="6"/>
      <c r="I9" s="26"/>
    </row>
    <row r="10" spans="1:9">
      <c r="B10" s="6">
        <v>3</v>
      </c>
      <c r="C10" s="25" t="s">
        <v>700</v>
      </c>
      <c r="D10" s="255" t="s">
        <v>667</v>
      </c>
      <c r="E10" s="6" t="s">
        <v>668</v>
      </c>
      <c r="G10" s="6"/>
      <c r="H10" s="108"/>
    </row>
    <row r="11" spans="1:9" s="166" customFormat="1">
      <c r="B11" s="25">
        <v>4</v>
      </c>
      <c r="C11" s="25" t="s">
        <v>721</v>
      </c>
      <c r="D11" s="255" t="s">
        <v>667</v>
      </c>
      <c r="E11" s="6" t="s">
        <v>720</v>
      </c>
      <c r="G11" s="6"/>
      <c r="H11" s="108"/>
    </row>
    <row r="12" spans="1:9">
      <c r="B12" s="6">
        <v>5</v>
      </c>
      <c r="C12" s="25" t="s">
        <v>701</v>
      </c>
      <c r="D12" s="255" t="s">
        <v>667</v>
      </c>
      <c r="E12" s="6" t="s">
        <v>197</v>
      </c>
      <c r="G12" s="6"/>
      <c r="H12" s="108"/>
    </row>
    <row r="13" spans="1:9" s="82" customFormat="1">
      <c r="B13" s="6">
        <v>6</v>
      </c>
      <c r="C13" s="25" t="s">
        <v>669</v>
      </c>
      <c r="D13" s="255" t="s">
        <v>667</v>
      </c>
      <c r="E13" s="6" t="s">
        <v>722</v>
      </c>
      <c r="G13" s="6"/>
      <c r="H13" s="108"/>
    </row>
    <row r="14" spans="1:9">
      <c r="B14" s="6">
        <v>7</v>
      </c>
      <c r="C14" s="25" t="s">
        <v>689</v>
      </c>
      <c r="D14" s="6" t="s">
        <v>667</v>
      </c>
      <c r="E14" s="6"/>
      <c r="G14" s="6"/>
      <c r="H14" s="108"/>
    </row>
    <row r="15" spans="1:9">
      <c r="B15" s="6">
        <v>8</v>
      </c>
      <c r="C15" s="25" t="s">
        <v>198</v>
      </c>
      <c r="D15" s="255" t="s">
        <v>667</v>
      </c>
      <c r="E15" s="6"/>
      <c r="G15" s="6"/>
      <c r="H15" s="108"/>
    </row>
    <row r="16" spans="1:9" s="82" customFormat="1">
      <c r="B16" s="6">
        <v>9</v>
      </c>
      <c r="C16" s="25" t="s">
        <v>207</v>
      </c>
      <c r="D16" s="255" t="s">
        <v>667</v>
      </c>
      <c r="E16" s="6" t="s">
        <v>206</v>
      </c>
      <c r="G16" s="6"/>
      <c r="H16" s="108"/>
    </row>
    <row r="17" spans="2:8" s="253" customFormat="1">
      <c r="B17" s="25">
        <v>10</v>
      </c>
      <c r="C17" s="25" t="s">
        <v>670</v>
      </c>
      <c r="D17" s="255" t="s">
        <v>667</v>
      </c>
      <c r="E17" s="6" t="s">
        <v>670</v>
      </c>
      <c r="G17" s="6"/>
      <c r="H17" s="108"/>
    </row>
    <row r="18" spans="2:8" s="82" customFormat="1">
      <c r="B18" s="6">
        <v>11</v>
      </c>
      <c r="C18" s="25" t="s">
        <v>200</v>
      </c>
      <c r="D18" s="6"/>
      <c r="E18" s="6"/>
      <c r="G18" s="6" t="s">
        <v>201</v>
      </c>
      <c r="H18" s="108">
        <v>43707</v>
      </c>
    </row>
    <row r="19" spans="2:8" s="253" customFormat="1">
      <c r="B19" s="6">
        <v>12</v>
      </c>
      <c r="C19" s="25" t="s">
        <v>202</v>
      </c>
      <c r="D19" s="6"/>
      <c r="E19" s="6"/>
      <c r="G19" s="6" t="s">
        <v>199</v>
      </c>
      <c r="H19" s="108">
        <v>43707</v>
      </c>
    </row>
    <row r="20" spans="2:8" s="253" customFormat="1">
      <c r="B20" s="6">
        <v>13</v>
      </c>
      <c r="C20" s="215" t="s">
        <v>672</v>
      </c>
      <c r="D20" s="255" t="s">
        <v>667</v>
      </c>
      <c r="E20" s="6" t="s">
        <v>203</v>
      </c>
      <c r="G20" s="6"/>
      <c r="H20" s="108"/>
    </row>
    <row r="21" spans="2:8" s="82" customFormat="1">
      <c r="B21" s="6">
        <v>14</v>
      </c>
      <c r="C21" s="25" t="s">
        <v>673</v>
      </c>
      <c r="D21" s="255" t="s">
        <v>667</v>
      </c>
      <c r="E21" s="6" t="s">
        <v>690</v>
      </c>
      <c r="G21" s="6"/>
      <c r="H21" s="108"/>
    </row>
    <row r="22" spans="2:8" s="82" customFormat="1">
      <c r="B22" s="6">
        <v>15</v>
      </c>
      <c r="C22" s="25" t="s">
        <v>677</v>
      </c>
      <c r="D22" s="6"/>
      <c r="E22" s="6"/>
      <c r="G22" s="6" t="s">
        <v>694</v>
      </c>
      <c r="H22" s="108">
        <v>43495</v>
      </c>
    </row>
    <row r="23" spans="2:8" s="253" customFormat="1">
      <c r="B23" s="25">
        <v>16</v>
      </c>
      <c r="C23" s="25" t="s">
        <v>674</v>
      </c>
      <c r="D23" s="6"/>
      <c r="E23" s="6"/>
      <c r="G23" s="6" t="s">
        <v>695</v>
      </c>
      <c r="H23" s="108">
        <v>43495</v>
      </c>
    </row>
    <row r="24" spans="2:8" s="253" customFormat="1">
      <c r="B24" s="6">
        <v>17</v>
      </c>
      <c r="C24" s="25" t="s">
        <v>675</v>
      </c>
      <c r="D24" s="6"/>
      <c r="E24" s="6"/>
      <c r="G24" s="6" t="s">
        <v>696</v>
      </c>
      <c r="H24" s="108">
        <v>43495</v>
      </c>
    </row>
    <row r="25" spans="2:8" s="253" customFormat="1">
      <c r="B25" s="6">
        <v>18</v>
      </c>
      <c r="C25" s="25" t="s">
        <v>676</v>
      </c>
      <c r="D25" s="6"/>
      <c r="E25" s="6"/>
      <c r="G25" s="6" t="s">
        <v>697</v>
      </c>
      <c r="H25" s="108">
        <v>43495</v>
      </c>
    </row>
    <row r="26" spans="2:8" s="82" customFormat="1">
      <c r="B26" s="25">
        <v>19</v>
      </c>
      <c r="C26" s="25" t="s">
        <v>678</v>
      </c>
      <c r="D26" s="6"/>
      <c r="E26" s="6"/>
      <c r="G26" s="6" t="s">
        <v>692</v>
      </c>
      <c r="H26" s="108">
        <v>43495</v>
      </c>
    </row>
    <row r="27" spans="2:8" s="82" customFormat="1">
      <c r="B27" s="6">
        <v>20</v>
      </c>
      <c r="C27" s="25" t="s">
        <v>679</v>
      </c>
      <c r="D27" s="6"/>
      <c r="E27" s="6"/>
      <c r="G27" s="6" t="s">
        <v>693</v>
      </c>
      <c r="H27" s="108">
        <v>43495</v>
      </c>
    </row>
    <row r="28" spans="2:8" s="82" customFormat="1">
      <c r="B28" s="6">
        <v>21</v>
      </c>
      <c r="C28" s="180" t="s">
        <v>688</v>
      </c>
      <c r="D28" s="255" t="s">
        <v>667</v>
      </c>
      <c r="E28" s="180" t="s">
        <v>688</v>
      </c>
      <c r="G28" s="6"/>
      <c r="H28" s="6"/>
    </row>
    <row r="29" spans="2:8" s="253" customFormat="1">
      <c r="B29" s="25">
        <v>22</v>
      </c>
      <c r="C29" s="180" t="s">
        <v>687</v>
      </c>
      <c r="D29" s="180" t="s">
        <v>667</v>
      </c>
      <c r="E29" s="180"/>
      <c r="G29" s="6"/>
      <c r="H29" s="6"/>
    </row>
    <row r="30" spans="2:8" s="176" customFormat="1">
      <c r="B30" s="6">
        <v>23</v>
      </c>
      <c r="C30" s="25" t="s">
        <v>691</v>
      </c>
      <c r="D30" s="255" t="s">
        <v>667</v>
      </c>
      <c r="E30" s="6" t="s">
        <v>691</v>
      </c>
      <c r="G30" s="6"/>
      <c r="H30" s="25"/>
    </row>
    <row r="32" spans="2:8" s="7" customFormat="1">
      <c r="B32" s="7" t="s">
        <v>52</v>
      </c>
      <c r="D32" s="86"/>
    </row>
    <row r="34" spans="2:2">
      <c r="B34" s="4" t="s">
        <v>50</v>
      </c>
    </row>
    <row r="35" spans="2:2">
      <c r="B35" s="4" t="s">
        <v>51</v>
      </c>
    </row>
  </sheetData>
  <hyperlinks>
    <hyperlink ref="D12" r:id="rId1"/>
    <hyperlink ref="D10" r:id="rId2"/>
    <hyperlink ref="D8" r:id="rId3" location="/CBS/nl/dataset/70936ned/table?ts=1532343719053."/>
    <hyperlink ref="D9" r:id="rId4"/>
    <hyperlink ref="D11" r:id="rId5"/>
    <hyperlink ref="D13" r:id="rId6"/>
    <hyperlink ref="D15" r:id="rId7"/>
    <hyperlink ref="D16" r:id="rId8"/>
    <hyperlink ref="D17" r:id="rId9"/>
    <hyperlink ref="D20" r:id="rId10"/>
    <hyperlink ref="D21" r:id="rId11"/>
    <hyperlink ref="D28" r:id="rId12"/>
    <hyperlink ref="D30" r:id="rId13"/>
  </hyperlinks>
  <pageMargins left="0.75" right="0.75" top="1" bottom="1" header="0.5" footer="0.5"/>
  <pageSetup paperSize="9" scale="87" orientation="landscape" r:id="rId1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zoomScale="90" zoomScaleNormal="90" workbookViewId="0"/>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autoPageBreaks="0"/>
  </sheetPr>
  <dimension ref="B2:P68"/>
  <sheetViews>
    <sheetView showGridLines="0" zoomScale="85" zoomScaleNormal="85" workbookViewId="0">
      <pane xSplit="6" ySplit="16" topLeftCell="G20" activePane="bottomRight" state="frozen"/>
      <selection pane="topRight"/>
      <selection pane="bottomLeft"/>
      <selection pane="bottomRight"/>
    </sheetView>
  </sheetViews>
  <sheetFormatPr defaultColWidth="9.140625" defaultRowHeight="12.75"/>
  <cols>
    <col min="1" max="1" width="4" style="2" customWidth="1"/>
    <col min="2" max="2" width="86.140625" style="2" customWidth="1"/>
    <col min="3" max="4" width="4.5703125" style="2" customWidth="1"/>
    <col min="5" max="5" width="4.140625" style="2" customWidth="1"/>
    <col min="6" max="6" width="13.7109375" style="2" customWidth="1"/>
    <col min="7" max="7" width="2.7109375" style="2" customWidth="1"/>
    <col min="8" max="8" width="13.7109375" style="2" customWidth="1"/>
    <col min="9" max="9" width="2.7109375" style="2" customWidth="1"/>
    <col min="10" max="10" width="16.42578125" style="2" bestFit="1" customWidth="1"/>
    <col min="11" max="11" width="15.85546875" style="2" bestFit="1" customWidth="1"/>
    <col min="12" max="14" width="2.7109375" style="2" customWidth="1"/>
    <col min="15" max="29" width="13.7109375" style="2" customWidth="1"/>
    <col min="30" max="16384" width="9.140625" style="2"/>
  </cols>
  <sheetData>
    <row r="2" spans="2:15" s="20" customFormat="1" ht="18">
      <c r="B2" s="20" t="s">
        <v>322</v>
      </c>
    </row>
    <row r="4" spans="2:15" s="82" customFormat="1" ht="12.75" customHeight="1">
      <c r="B4" s="269" t="s">
        <v>323</v>
      </c>
      <c r="C4" s="269"/>
      <c r="D4" s="269"/>
      <c r="E4" s="269"/>
    </row>
    <row r="5" spans="2:15" s="82" customFormat="1">
      <c r="B5" s="269"/>
      <c r="C5" s="269"/>
      <c r="D5" s="269"/>
      <c r="E5" s="269"/>
    </row>
    <row r="6" spans="2:15" s="82" customFormat="1">
      <c r="B6" s="269"/>
      <c r="C6" s="269"/>
      <c r="D6" s="269"/>
      <c r="E6" s="269"/>
    </row>
    <row r="7" spans="2:15" s="82" customFormat="1">
      <c r="B7" s="269"/>
      <c r="C7" s="269"/>
      <c r="D7" s="269"/>
      <c r="E7" s="269"/>
    </row>
    <row r="8" spans="2:15" s="82" customFormat="1">
      <c r="B8" s="269"/>
      <c r="C8" s="269"/>
      <c r="D8" s="269"/>
      <c r="E8" s="269"/>
    </row>
    <row r="9" spans="2:15" s="82" customFormat="1">
      <c r="B9" s="269"/>
      <c r="C9" s="269"/>
      <c r="D9" s="269"/>
      <c r="E9" s="269"/>
    </row>
    <row r="10" spans="2:15" s="82" customFormat="1">
      <c r="B10" s="269"/>
      <c r="C10" s="269"/>
      <c r="D10" s="269"/>
      <c r="E10" s="269"/>
    </row>
    <row r="11" spans="2:15" s="82" customFormat="1">
      <c r="B11" s="269"/>
      <c r="C11" s="269"/>
      <c r="D11" s="269"/>
      <c r="E11" s="269"/>
    </row>
    <row r="12" spans="2:15" s="82" customFormat="1">
      <c r="B12" s="269"/>
      <c r="C12" s="269"/>
      <c r="D12" s="269"/>
      <c r="E12" s="269"/>
    </row>
    <row r="13" spans="2:15" s="82" customFormat="1">
      <c r="B13" s="269"/>
      <c r="C13" s="269"/>
      <c r="D13" s="269"/>
      <c r="E13" s="269"/>
    </row>
    <row r="14" spans="2:15" s="82" customFormat="1"/>
    <row r="15" spans="2:15" s="7" customFormat="1">
      <c r="B15" s="7" t="s">
        <v>45</v>
      </c>
      <c r="F15" s="7" t="s">
        <v>27</v>
      </c>
      <c r="H15" s="7" t="s">
        <v>49</v>
      </c>
      <c r="J15" s="7" t="s">
        <v>83</v>
      </c>
      <c r="K15" s="7" t="s">
        <v>85</v>
      </c>
      <c r="O15" s="7" t="s">
        <v>47</v>
      </c>
    </row>
    <row r="18" spans="2:16" s="7" customFormat="1">
      <c r="B18" s="7" t="s">
        <v>145</v>
      </c>
    </row>
    <row r="20" spans="2:16" s="7" customFormat="1">
      <c r="B20" s="7" t="s">
        <v>146</v>
      </c>
    </row>
    <row r="21" spans="2:16">
      <c r="B21" s="1"/>
    </row>
    <row r="22" spans="2:16">
      <c r="B22" s="2" t="s">
        <v>324</v>
      </c>
      <c r="F22" s="2" t="s">
        <v>209</v>
      </c>
      <c r="H22" s="38">
        <f>SUM(J22:K22)</f>
        <v>457329667.19425219</v>
      </c>
      <c r="I22" s="34"/>
      <c r="J22" s="38">
        <f>'Tab 13_Wettelijke formule'!U44+'Tab 13_Wettelijke formule'!U45</f>
        <v>145168951.07513136</v>
      </c>
      <c r="K22" s="38">
        <f>'Tab 13_Wettelijke formule'!U46+'Tab 13_Wettelijke formule'!U47</f>
        <v>312160716.11912084</v>
      </c>
    </row>
    <row r="23" spans="2:16">
      <c r="B23" s="2" t="s">
        <v>325</v>
      </c>
      <c r="F23" s="209" t="s">
        <v>209</v>
      </c>
      <c r="H23" s="38">
        <f t="shared" ref="H23:H28" si="0">SUM(J23:K23)</f>
        <v>196196.96002215872</v>
      </c>
      <c r="I23" s="34"/>
      <c r="J23" s="30"/>
      <c r="K23" s="38">
        <f>'Tab 10_Brondata'!U28</f>
        <v>196196.96002215872</v>
      </c>
      <c r="O23" s="149" t="s">
        <v>268</v>
      </c>
    </row>
    <row r="24" spans="2:16">
      <c r="B24" s="2" t="s">
        <v>326</v>
      </c>
      <c r="F24" s="209" t="s">
        <v>209</v>
      </c>
      <c r="H24" s="38">
        <f t="shared" si="0"/>
        <v>20749122.118261997</v>
      </c>
      <c r="I24" s="34"/>
      <c r="J24" s="38">
        <f>'Tab 7_Toevoeging kosten RCR'!L15</f>
        <v>18997452.618262</v>
      </c>
      <c r="K24" s="38">
        <f>'Tab 7_Toevoeging kosten RCR'!M15</f>
        <v>1751669.4999999972</v>
      </c>
    </row>
    <row r="25" spans="2:16">
      <c r="B25" s="2" t="s">
        <v>327</v>
      </c>
      <c r="F25" s="209" t="s">
        <v>209</v>
      </c>
      <c r="H25" s="38">
        <f t="shared" si="0"/>
        <v>81777175.089400202</v>
      </c>
      <c r="I25" s="34"/>
      <c r="J25" s="38">
        <f>'Tab 7_Toevoeging kosten RCR'!L16</f>
        <v>77705186.362881839</v>
      </c>
      <c r="K25" s="38">
        <f>'Tab 7_Toevoeging kosten RCR'!M16</f>
        <v>4071988.7265183637</v>
      </c>
    </row>
    <row r="26" spans="2:16">
      <c r="B26" s="2" t="s">
        <v>347</v>
      </c>
      <c r="F26" s="209" t="s">
        <v>209</v>
      </c>
      <c r="H26" s="38">
        <f t="shared" si="0"/>
        <v>250240907.38494936</v>
      </c>
      <c r="I26" s="34"/>
      <c r="J26" s="38">
        <f>'Tab 14_Budget systeemtaken'!U96</f>
        <v>250240907.38494936</v>
      </c>
      <c r="K26" s="90"/>
      <c r="O26" s="47"/>
      <c r="P26" s="47"/>
    </row>
    <row r="27" spans="2:16">
      <c r="B27" s="2" t="s">
        <v>348</v>
      </c>
      <c r="F27" s="209" t="s">
        <v>209</v>
      </c>
      <c r="H27" s="38">
        <f t="shared" si="0"/>
        <v>15859078.617973084</v>
      </c>
      <c r="I27" s="34"/>
      <c r="J27" s="30"/>
      <c r="K27" s="38">
        <f>'Tab 16_Prognoses IKTNN'!M33</f>
        <v>15859078.617973084</v>
      </c>
    </row>
    <row r="28" spans="2:16">
      <c r="B28" s="2" t="s">
        <v>349</v>
      </c>
      <c r="F28" s="209" t="s">
        <v>209</v>
      </c>
      <c r="H28" s="38">
        <f t="shared" si="0"/>
        <v>-4998942.8428196041</v>
      </c>
      <c r="I28" s="34"/>
      <c r="J28" s="38">
        <f>'Tab 16_Prognoses IKTNN'!L35</f>
        <v>-4998942.8428196041</v>
      </c>
      <c r="K28" s="90"/>
    </row>
    <row r="29" spans="2:16">
      <c r="H29" s="34"/>
      <c r="I29" s="34"/>
      <c r="J29" s="34"/>
      <c r="K29" s="47"/>
    </row>
    <row r="30" spans="2:16">
      <c r="B30" s="2" t="s">
        <v>350</v>
      </c>
      <c r="F30" s="209" t="s">
        <v>209</v>
      </c>
      <c r="H30" s="38">
        <f>SUM(J30:K30)</f>
        <v>821153204.52203941</v>
      </c>
      <c r="I30" s="34"/>
      <c r="J30" s="38">
        <f>SUM(J22:J28)</f>
        <v>487113554.59840494</v>
      </c>
      <c r="K30" s="38">
        <f>SUM(K22:K28)</f>
        <v>334039649.92363447</v>
      </c>
    </row>
    <row r="32" spans="2:16" s="7" customFormat="1">
      <c r="B32" s="7" t="s">
        <v>147</v>
      </c>
    </row>
    <row r="34" spans="2:15">
      <c r="B34" s="1" t="s">
        <v>149</v>
      </c>
      <c r="H34" s="34"/>
      <c r="I34" s="34"/>
      <c r="J34" s="34"/>
      <c r="K34" s="34"/>
    </row>
    <row r="35" spans="2:15">
      <c r="B35" s="2" t="s">
        <v>725</v>
      </c>
      <c r="F35" s="209" t="s">
        <v>209</v>
      </c>
      <c r="H35" s="38">
        <f>SUM(J35:K35)</f>
        <v>-3180227.4304345963</v>
      </c>
      <c r="I35" s="34"/>
      <c r="J35" s="38">
        <f>'Tab 10_Brondata'!U35</f>
        <v>-4040831.0761778317</v>
      </c>
      <c r="K35" s="38">
        <f>'Tab 10_Brondata'!U36</f>
        <v>860603.64574323536</v>
      </c>
    </row>
    <row r="36" spans="2:15" s="229" customFormat="1">
      <c r="B36" s="229" t="s">
        <v>542</v>
      </c>
      <c r="F36" s="229" t="s">
        <v>209</v>
      </c>
      <c r="H36" s="38">
        <f>SUM(J36:K36)</f>
        <v>2991.9605286413948</v>
      </c>
      <c r="I36" s="193"/>
      <c r="J36" s="30"/>
      <c r="K36" s="38">
        <f>'Tab 10_Brondata'!U30</f>
        <v>2991.9605286413948</v>
      </c>
    </row>
    <row r="37" spans="2:15">
      <c r="B37" s="2" t="s">
        <v>351</v>
      </c>
      <c r="F37" s="209" t="s">
        <v>209</v>
      </c>
      <c r="H37" s="38">
        <f t="shared" ref="H37:H47" si="1">SUM(J37:K37)</f>
        <v>920501.15337280161</v>
      </c>
      <c r="I37" s="34"/>
      <c r="J37" s="38">
        <f>'Tab 17_Correcties OA&amp;M en IKTNN'!L32</f>
        <v>-1106126.8090630902</v>
      </c>
      <c r="K37" s="38">
        <f>'Tab 17_Correcties OA&amp;M en IKTNN'!M32</f>
        <v>2026627.9624358919</v>
      </c>
    </row>
    <row r="38" spans="2:15">
      <c r="B38" s="2" t="s">
        <v>352</v>
      </c>
      <c r="F38" s="209" t="s">
        <v>209</v>
      </c>
      <c r="H38" s="38">
        <f t="shared" si="1"/>
        <v>-31126700.239999898</v>
      </c>
      <c r="I38" s="34"/>
      <c r="J38" s="38">
        <f>-'Tab 6_Correcties en prognoses'!U16</f>
        <v>-2083481.47</v>
      </c>
      <c r="K38" s="38">
        <f>-'Tab 6_Correcties en prognoses'!U22</f>
        <v>-29043218.769999899</v>
      </c>
    </row>
    <row r="39" spans="2:15" s="82" customFormat="1">
      <c r="B39" s="82" t="s">
        <v>530</v>
      </c>
      <c r="F39" s="220" t="s">
        <v>209</v>
      </c>
      <c r="H39" s="38">
        <f>SUM(J39:K39)</f>
        <v>24790928.15971069</v>
      </c>
      <c r="I39" s="34"/>
      <c r="J39" s="38">
        <f>'Tab 13_Wettelijke formule'!U60+'Tab 13_Wettelijke formule'!U61</f>
        <v>7844015.7719178423</v>
      </c>
      <c r="K39" s="38">
        <f>'Tab 13_Wettelijke formule'!U62+'Tab 13_Wettelijke formule'!U63</f>
        <v>16946912.387792848</v>
      </c>
    </row>
    <row r="40" spans="2:15" s="225" customFormat="1">
      <c r="B40" s="225" t="s">
        <v>501</v>
      </c>
      <c r="F40" s="225" t="s">
        <v>209</v>
      </c>
      <c r="H40" s="38">
        <f>SUM(J40:K40)</f>
        <v>10493211.211871721</v>
      </c>
      <c r="I40" s="193"/>
      <c r="J40" s="38">
        <f>'Tab 14_Budget systeemtaken'!U103</f>
        <v>10493211.211871721</v>
      </c>
      <c r="K40" s="30"/>
    </row>
    <row r="41" spans="2:15" s="220" customFormat="1">
      <c r="B41" s="220" t="s">
        <v>466</v>
      </c>
      <c r="F41" s="220" t="s">
        <v>209</v>
      </c>
      <c r="H41" s="38">
        <f>SUM(J41:K41)</f>
        <v>9457208.7461748999</v>
      </c>
      <c r="I41" s="193"/>
      <c r="J41" s="38">
        <f>'Tab 15_Nacalculatie IKE&amp;V'!U102</f>
        <v>26155722.688825276</v>
      </c>
      <c r="K41" s="38">
        <f>'Tab 15_Nacalculatie IKE&amp;V'!U126</f>
        <v>-16698513.942650376</v>
      </c>
    </row>
    <row r="42" spans="2:15" s="220" customFormat="1">
      <c r="B42" s="220" t="s">
        <v>465</v>
      </c>
      <c r="F42" s="220" t="s">
        <v>209</v>
      </c>
      <c r="H42" s="38">
        <f>SUM(J42:K42)</f>
        <v>98837648.614136174</v>
      </c>
      <c r="I42" s="193"/>
      <c r="J42" s="38">
        <f>'Tab 15_Nacalculatie IKE&amp;V'!U157</f>
        <v>98837648.614136174</v>
      </c>
      <c r="K42" s="30"/>
    </row>
    <row r="43" spans="2:15">
      <c r="B43" s="197" t="s">
        <v>391</v>
      </c>
      <c r="F43" s="209" t="s">
        <v>209</v>
      </c>
      <c r="H43" s="38">
        <f t="shared" si="1"/>
        <v>3319827.9099504231</v>
      </c>
      <c r="I43" s="34"/>
      <c r="J43" s="38">
        <f>'Tab 18_Overige correcties'!U57</f>
        <v>0</v>
      </c>
      <c r="K43" s="38">
        <f>'Tab 18_Overige correcties'!U60</f>
        <v>3319827.9099504231</v>
      </c>
      <c r="O43" s="150" t="s">
        <v>269</v>
      </c>
    </row>
    <row r="44" spans="2:15">
      <c r="B44" s="197" t="s">
        <v>393</v>
      </c>
      <c r="F44" s="209" t="s">
        <v>209</v>
      </c>
      <c r="H44" s="38">
        <f t="shared" si="1"/>
        <v>0</v>
      </c>
      <c r="I44" s="34"/>
      <c r="J44" s="30"/>
      <c r="K44" s="38">
        <f>'Tab 18_Overige correcties'!U61</f>
        <v>0</v>
      </c>
    </row>
    <row r="45" spans="2:15">
      <c r="B45" s="197" t="s">
        <v>373</v>
      </c>
      <c r="F45" s="209" t="s">
        <v>209</v>
      </c>
      <c r="H45" s="38">
        <f t="shared" si="1"/>
        <v>1890301.1088211804</v>
      </c>
      <c r="I45" s="34"/>
      <c r="J45" s="38">
        <f>'Tab 18_Overige correcties'!U64</f>
        <v>1890301.1088211804</v>
      </c>
      <c r="K45" s="30"/>
      <c r="O45" s="151" t="s">
        <v>270</v>
      </c>
    </row>
    <row r="46" spans="2:15" s="82" customFormat="1">
      <c r="B46" s="82" t="s">
        <v>372</v>
      </c>
      <c r="F46" s="209" t="s">
        <v>209</v>
      </c>
      <c r="H46" s="38">
        <f t="shared" si="1"/>
        <v>50526.057088000009</v>
      </c>
      <c r="I46" s="34"/>
      <c r="J46" s="38">
        <f>'Tab 18_Overige correcties'!U65</f>
        <v>50526.057088000009</v>
      </c>
      <c r="K46" s="30"/>
      <c r="O46" s="152" t="s">
        <v>271</v>
      </c>
    </row>
    <row r="47" spans="2:15" s="82" customFormat="1">
      <c r="B47" s="82" t="s">
        <v>371</v>
      </c>
      <c r="F47" s="209" t="s">
        <v>209</v>
      </c>
      <c r="H47" s="38">
        <f t="shared" si="1"/>
        <v>1079399.4712487999</v>
      </c>
      <c r="I47" s="34"/>
      <c r="J47" s="38">
        <f>'Tab 18_Overige correcties'!U66</f>
        <v>1079399.4712487999</v>
      </c>
      <c r="K47" s="30"/>
      <c r="O47" s="152" t="s">
        <v>271</v>
      </c>
    </row>
    <row r="48" spans="2:15" s="238" customFormat="1">
      <c r="B48" s="238" t="s">
        <v>601</v>
      </c>
      <c r="F48" s="238" t="s">
        <v>209</v>
      </c>
      <c r="H48" s="38">
        <f t="shared" ref="H48:H52" si="2">SUM(J48:K48)</f>
        <v>913227.29558933445</v>
      </c>
      <c r="I48" s="193"/>
      <c r="J48" s="38">
        <f>'Tab 18_Overige correcties'!U69</f>
        <v>867476.77981124201</v>
      </c>
      <c r="K48" s="38">
        <f>'Tab 18_Overige correcties'!U70</f>
        <v>45750.515778092398</v>
      </c>
    </row>
    <row r="49" spans="2:15" s="238" customFormat="1">
      <c r="B49" s="238" t="s">
        <v>602</v>
      </c>
      <c r="F49" s="238" t="s">
        <v>209</v>
      </c>
      <c r="H49" s="38">
        <f t="shared" si="2"/>
        <v>464957.1389732805</v>
      </c>
      <c r="I49" s="193"/>
      <c r="J49" s="38">
        <f>'Tab 18_Overige correcties'!U72</f>
        <v>431816.92621240264</v>
      </c>
      <c r="K49" s="38">
        <f>'Tab 18_Overige correcties'!U73</f>
        <v>33140.212760877839</v>
      </c>
    </row>
    <row r="50" spans="2:15" s="238" customFormat="1">
      <c r="B50" s="238" t="s">
        <v>603</v>
      </c>
      <c r="F50" s="238" t="s">
        <v>209</v>
      </c>
      <c r="H50" s="38">
        <f t="shared" si="2"/>
        <v>1968.0284569030346</v>
      </c>
      <c r="I50" s="193"/>
      <c r="J50" s="38">
        <f>'Tab 18_Overige correcties'!U75</f>
        <v>1747.6650263793708</v>
      </c>
      <c r="K50" s="38">
        <f>'Tab 18_Overige correcties'!U76</f>
        <v>220.36343052366379</v>
      </c>
    </row>
    <row r="51" spans="2:15" s="238" customFormat="1">
      <c r="B51" s="238" t="s">
        <v>604</v>
      </c>
      <c r="F51" s="238" t="s">
        <v>209</v>
      </c>
      <c r="H51" s="38">
        <f t="shared" si="2"/>
        <v>4287.7719084848704</v>
      </c>
      <c r="I51" s="193"/>
      <c r="J51" s="38">
        <f>'Tab 18_Overige correcties'!U78</f>
        <v>4004.4022268176559</v>
      </c>
      <c r="K51" s="38">
        <f>'Tab 18_Overige correcties'!U79</f>
        <v>283.36968166721465</v>
      </c>
    </row>
    <row r="52" spans="2:15" s="238" customFormat="1">
      <c r="B52" s="238" t="s">
        <v>605</v>
      </c>
      <c r="F52" s="238" t="s">
        <v>209</v>
      </c>
      <c r="H52" s="38">
        <f t="shared" si="2"/>
        <v>-89700.492910816785</v>
      </c>
      <c r="I52" s="193"/>
      <c r="J52" s="38">
        <f>'Tab 18_Overige correcties'!U81</f>
        <v>-86512.445280438667</v>
      </c>
      <c r="K52" s="38">
        <f>'Tab 18_Overige correcties'!U82</f>
        <v>-3188.047630378122</v>
      </c>
    </row>
    <row r="53" spans="2:15" s="238" customFormat="1">
      <c r="H53" s="193"/>
      <c r="I53" s="193"/>
      <c r="J53" s="193"/>
      <c r="K53" s="193"/>
    </row>
    <row r="54" spans="2:15">
      <c r="B54" s="1" t="s">
        <v>150</v>
      </c>
      <c r="H54" s="34"/>
      <c r="I54" s="34"/>
      <c r="J54" s="34"/>
      <c r="K54" s="34"/>
    </row>
    <row r="55" spans="2:15">
      <c r="B55" s="2" t="s">
        <v>370</v>
      </c>
      <c r="F55" s="209" t="s">
        <v>209</v>
      </c>
      <c r="H55" s="38">
        <f>SUM(J55:K55)</f>
        <v>2619526.8697731188</v>
      </c>
      <c r="I55" s="34"/>
      <c r="J55" s="30"/>
      <c r="K55" s="38">
        <f>'Tab 17_Correcties OA&amp;M en IKTNN'!M36</f>
        <v>2619526.8697731188</v>
      </c>
    </row>
    <row r="56" spans="2:15">
      <c r="B56" s="23" t="s">
        <v>369</v>
      </c>
      <c r="F56" s="209" t="s">
        <v>209</v>
      </c>
      <c r="H56" s="38">
        <f t="shared" ref="H56:H58" si="3">SUM(J56:K56)</f>
        <v>-6079409.9195695706</v>
      </c>
      <c r="I56" s="34"/>
      <c r="J56" s="38">
        <f>'Tab 17_Correcties OA&amp;M en IKTNN'!L40</f>
        <v>-6079409.9195695706</v>
      </c>
      <c r="K56" s="30"/>
    </row>
    <row r="57" spans="2:15">
      <c r="B57" s="2" t="s">
        <v>368</v>
      </c>
      <c r="F57" s="209" t="s">
        <v>209</v>
      </c>
      <c r="H57" s="38">
        <f t="shared" si="3"/>
        <v>-5839762.0350323413</v>
      </c>
      <c r="I57" s="34"/>
      <c r="J57" s="38">
        <f>'Tab 19_Omzetcorrectie'!H42</f>
        <v>1752622.6503711543</v>
      </c>
      <c r="K57" s="38">
        <f>'Tab 19_Omzetcorrectie'!H47</f>
        <v>-7592384.6854034951</v>
      </c>
    </row>
    <row r="58" spans="2:15">
      <c r="B58" s="2" t="s">
        <v>367</v>
      </c>
      <c r="F58" s="209" t="s">
        <v>209</v>
      </c>
      <c r="H58" s="38">
        <f t="shared" si="3"/>
        <v>-84378743.659999996</v>
      </c>
      <c r="I58" s="34"/>
      <c r="J58" s="38">
        <f>-'Tab 20_ Inzet veilinggelden'!J36</f>
        <v>-84378743.659999996</v>
      </c>
      <c r="K58" s="30"/>
    </row>
    <row r="59" spans="2:15">
      <c r="H59" s="47"/>
      <c r="I59" s="34"/>
      <c r="J59" s="34"/>
      <c r="K59" s="34"/>
    </row>
    <row r="60" spans="2:15">
      <c r="B60" s="2" t="s">
        <v>366</v>
      </c>
      <c r="F60" s="209" t="s">
        <v>209</v>
      </c>
      <c r="H60" s="38">
        <f>SUM(J60:K60)</f>
        <v>24151967.719657198</v>
      </c>
      <c r="I60" s="28"/>
      <c r="J60" s="38">
        <f>SUM(J35:J58)</f>
        <v>51633387.967466027</v>
      </c>
      <c r="K60" s="38">
        <f>SUM(K35:K58)</f>
        <v>-27481420.247808829</v>
      </c>
    </row>
    <row r="62" spans="2:15" s="7" customFormat="1">
      <c r="B62" s="7" t="s">
        <v>148</v>
      </c>
    </row>
    <row r="64" spans="2:15">
      <c r="B64" s="2" t="s">
        <v>365</v>
      </c>
      <c r="F64" s="209" t="s">
        <v>209</v>
      </c>
      <c r="H64" s="38">
        <f>SUM(J64:K64)</f>
        <v>845305172.2416966</v>
      </c>
      <c r="I64" s="47"/>
      <c r="J64" s="38">
        <f>J30+J60</f>
        <v>538746942.565871</v>
      </c>
      <c r="K64" s="38">
        <f>K30+K60</f>
        <v>306558229.67582566</v>
      </c>
      <c r="O64" s="2" t="s">
        <v>614</v>
      </c>
    </row>
    <row r="66" spans="8:11">
      <c r="H66" s="193"/>
      <c r="I66" s="188"/>
      <c r="J66" s="193"/>
      <c r="K66" s="193"/>
    </row>
    <row r="68" spans="8:11">
      <c r="H68" s="193"/>
    </row>
  </sheetData>
  <mergeCells count="1">
    <mergeCell ref="B4:E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autoPageBreaks="0"/>
  </sheetPr>
  <dimension ref="A1:Z39"/>
  <sheetViews>
    <sheetView showGridLines="0" zoomScale="85" zoomScaleNormal="85" workbookViewId="0">
      <pane xSplit="6" ySplit="17" topLeftCell="G18" activePane="bottomRight" state="frozen"/>
      <selection pane="topRight"/>
      <selection pane="bottomLeft"/>
      <selection pane="bottomRight"/>
    </sheetView>
  </sheetViews>
  <sheetFormatPr defaultColWidth="9.140625" defaultRowHeight="12.75"/>
  <cols>
    <col min="1" max="1" width="4" style="2" customWidth="1"/>
    <col min="2" max="2" width="46.855468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8.7109375" style="2" customWidth="1"/>
    <col min="17" max="19" width="2.7109375" style="2" customWidth="1"/>
    <col min="20" max="34" width="13.7109375" style="2" customWidth="1"/>
    <col min="35" max="16384" width="9.140625" style="2"/>
  </cols>
  <sheetData>
    <row r="1" spans="1:20">
      <c r="A1" s="8"/>
    </row>
    <row r="2" spans="1:20" s="20" customFormat="1" ht="18">
      <c r="B2" s="20" t="s">
        <v>394</v>
      </c>
    </row>
    <row r="4" spans="1:20" s="82" customFormat="1" ht="12.75" customHeight="1">
      <c r="B4" s="269" t="s">
        <v>395</v>
      </c>
      <c r="C4" s="269"/>
      <c r="D4" s="269"/>
      <c r="E4" s="269"/>
    </row>
    <row r="5" spans="1:20" s="82" customFormat="1" ht="12.75" customHeight="1">
      <c r="B5" s="269"/>
      <c r="C5" s="269"/>
      <c r="D5" s="269"/>
      <c r="E5" s="269"/>
    </row>
    <row r="6" spans="1:20" s="82" customFormat="1" ht="12.75" customHeight="1">
      <c r="B6" s="269"/>
      <c r="C6" s="269"/>
      <c r="D6" s="269"/>
      <c r="E6" s="269"/>
    </row>
    <row r="7" spans="1:20" s="82" customFormat="1" ht="12.75" customHeight="1">
      <c r="B7" s="269"/>
      <c r="C7" s="269"/>
      <c r="D7" s="269"/>
      <c r="E7" s="269"/>
    </row>
    <row r="8" spans="1:20" s="82" customFormat="1" ht="12.75" customHeight="1">
      <c r="B8" s="269"/>
      <c r="C8" s="269"/>
      <c r="D8" s="269"/>
      <c r="E8" s="269"/>
    </row>
    <row r="9" spans="1:20" s="82" customFormat="1" ht="12.75" customHeight="1">
      <c r="B9" s="269"/>
      <c r="C9" s="269"/>
      <c r="D9" s="269"/>
      <c r="E9" s="269"/>
    </row>
    <row r="10" spans="1:20" s="82" customFormat="1" ht="12.75" customHeight="1">
      <c r="B10" s="269"/>
      <c r="C10" s="269"/>
      <c r="D10" s="269"/>
      <c r="E10" s="269"/>
    </row>
    <row r="11" spans="1:20">
      <c r="B11" s="23"/>
      <c r="C11" s="3"/>
      <c r="D11" s="3"/>
      <c r="H11" s="21"/>
    </row>
    <row r="12" spans="1:20">
      <c r="B12" s="81" t="s">
        <v>266</v>
      </c>
      <c r="C12" s="3"/>
      <c r="D12" s="3"/>
      <c r="H12" s="21"/>
    </row>
    <row r="13" spans="1:20" s="82" customFormat="1">
      <c r="A13" s="198"/>
      <c r="B13" s="83" t="s">
        <v>258</v>
      </c>
      <c r="C13" s="3"/>
      <c r="D13" s="3"/>
      <c r="F13" s="97" t="str">
        <f>'Tab 22_Controle tarieven'!H84</f>
        <v>ja</v>
      </c>
    </row>
    <row r="14" spans="1:20" s="82" customFormat="1">
      <c r="A14" s="198"/>
      <c r="B14" s="83" t="s">
        <v>300</v>
      </c>
      <c r="C14" s="3"/>
      <c r="D14" s="3"/>
      <c r="E14" s="2"/>
      <c r="F14" s="97" t="str">
        <f>'Tab 21_Controle rekenvolumina'!H49</f>
        <v>nee</v>
      </c>
    </row>
    <row r="16" spans="1:20" s="7" customFormat="1" ht="38.25">
      <c r="B16" s="7" t="s">
        <v>45</v>
      </c>
      <c r="F16" s="7" t="s">
        <v>27</v>
      </c>
      <c r="H16" s="7" t="s">
        <v>28</v>
      </c>
      <c r="J16" s="7" t="s">
        <v>49</v>
      </c>
      <c r="L16" s="31" t="s">
        <v>79</v>
      </c>
      <c r="M16" s="31" t="s">
        <v>211</v>
      </c>
      <c r="N16" s="31" t="s">
        <v>140</v>
      </c>
      <c r="O16" s="31" t="s">
        <v>141</v>
      </c>
      <c r="P16" s="31" t="s">
        <v>175</v>
      </c>
      <c r="T16" s="7" t="s">
        <v>47</v>
      </c>
    </row>
    <row r="19" spans="1:20" s="7" customFormat="1">
      <c r="B19" s="7" t="s">
        <v>396</v>
      </c>
    </row>
    <row r="21" spans="1:20">
      <c r="B21" s="1" t="s">
        <v>83</v>
      </c>
    </row>
    <row r="22" spans="1:20">
      <c r="A22" s="198"/>
      <c r="B22" s="23" t="s">
        <v>397</v>
      </c>
      <c r="F22" s="2" t="s">
        <v>209</v>
      </c>
      <c r="L22" s="217">
        <f>'Tab 22_Controle tarieven'!L86</f>
        <v>12478.96</v>
      </c>
      <c r="M22" s="217">
        <f>'Tab 22_Controle tarieven'!M86</f>
        <v>17.27</v>
      </c>
      <c r="N22" s="217">
        <f>'Tab 22_Controle tarieven'!N86</f>
        <v>1.86</v>
      </c>
      <c r="O22" s="217">
        <f>'Tab 22_Controle tarieven'!O86</f>
        <v>8.64</v>
      </c>
      <c r="P22" s="217">
        <f>'Tab 22_Controle tarieven'!P86</f>
        <v>0.64</v>
      </c>
      <c r="T22" s="216"/>
    </row>
    <row r="23" spans="1:20">
      <c r="A23" s="198"/>
      <c r="B23" s="23" t="s">
        <v>398</v>
      </c>
      <c r="F23" s="2" t="s">
        <v>84</v>
      </c>
      <c r="L23" s="218">
        <f>'Tab 21_Controle rekenvolumina'!L51</f>
        <v>22.55</v>
      </c>
      <c r="M23" s="219">
        <f>'Tab 21_Controle rekenvolumina'!M51</f>
        <v>1212716</v>
      </c>
      <c r="N23" s="219">
        <f>'Tab 21_Controle rekenvolumina'!N51</f>
        <v>12026541</v>
      </c>
      <c r="O23" s="219">
        <f>'Tab 21_Controle rekenvolumina'!O51</f>
        <v>235262</v>
      </c>
      <c r="P23" s="219">
        <f>'Tab 21_Controle rekenvolumina'!P51</f>
        <v>3215320</v>
      </c>
      <c r="T23" s="5"/>
    </row>
    <row r="24" spans="1:20">
      <c r="A24" s="198"/>
      <c r="B24" s="23"/>
      <c r="L24" s="215"/>
      <c r="M24" s="215"/>
      <c r="N24" s="215"/>
      <c r="O24" s="215"/>
      <c r="P24" s="215"/>
    </row>
    <row r="25" spans="1:20">
      <c r="A25" s="198"/>
      <c r="B25" s="1" t="s">
        <v>85</v>
      </c>
      <c r="L25" s="215"/>
      <c r="M25" s="215"/>
      <c r="N25" s="215"/>
      <c r="O25" s="215"/>
      <c r="P25" s="215"/>
    </row>
    <row r="26" spans="1:20">
      <c r="A26" s="198"/>
      <c r="B26" s="23" t="s">
        <v>397</v>
      </c>
      <c r="F26" s="2" t="s">
        <v>209</v>
      </c>
      <c r="L26" s="217">
        <f>'Tab 22_Controle tarieven'!L87</f>
        <v>2760</v>
      </c>
      <c r="M26" s="217">
        <f>'Tab 22_Controle tarieven'!M87</f>
        <v>26.46</v>
      </c>
      <c r="N26" s="217">
        <f>'Tab 22_Controle tarieven'!N87</f>
        <v>2.59</v>
      </c>
      <c r="O26" s="217">
        <f>'Tab 22_Controle tarieven'!O87</f>
        <v>13.25</v>
      </c>
      <c r="P26" s="217">
        <f>'Tab 22_Controle tarieven'!P87</f>
        <v>0.89</v>
      </c>
    </row>
    <row r="27" spans="1:20">
      <c r="A27" s="198"/>
      <c r="B27" s="23" t="s">
        <v>398</v>
      </c>
      <c r="F27" s="2" t="s">
        <v>84</v>
      </c>
      <c r="L27" s="218">
        <f>'Tab 21_Controle rekenvolumina'!L52</f>
        <v>91.56</v>
      </c>
      <c r="M27" s="219">
        <f>'Tab 21_Controle rekenvolumina'!M52</f>
        <v>14929120</v>
      </c>
      <c r="N27" s="219">
        <f>'Tab 21_Controle rekenvolumina'!N52</f>
        <v>153986790</v>
      </c>
      <c r="O27" s="219">
        <f>'Tab 21_Controle rekenvolumina'!O52</f>
        <v>226512</v>
      </c>
      <c r="P27" s="219">
        <f>'Tab 21_Controle rekenvolumina'!P52</f>
        <v>1737592</v>
      </c>
      <c r="T27" s="5"/>
    </row>
    <row r="33" spans="2:26">
      <c r="B33" s="5"/>
    </row>
    <row r="34" spans="2:26">
      <c r="U34" s="207"/>
      <c r="V34" s="207"/>
      <c r="W34" s="207"/>
      <c r="X34" s="207"/>
      <c r="Y34" s="207"/>
      <c r="Z34" s="207"/>
    </row>
    <row r="35" spans="2:26">
      <c r="M35" s="193"/>
      <c r="N35" s="193"/>
      <c r="O35" s="193"/>
      <c r="P35" s="193"/>
      <c r="U35" s="207"/>
      <c r="V35" s="193"/>
      <c r="W35" s="207"/>
      <c r="X35" s="207"/>
      <c r="Y35" s="207"/>
      <c r="Z35" s="193"/>
    </row>
    <row r="36" spans="2:26">
      <c r="U36" s="207"/>
      <c r="V36" s="193"/>
      <c r="W36" s="207"/>
      <c r="X36" s="207"/>
      <c r="Y36" s="207"/>
      <c r="Z36" s="193"/>
    </row>
    <row r="37" spans="2:26">
      <c r="U37" s="207"/>
      <c r="V37" s="193"/>
      <c r="W37" s="207"/>
      <c r="X37" s="207"/>
      <c r="Y37" s="207"/>
      <c r="Z37" s="193"/>
    </row>
    <row r="38" spans="2:26">
      <c r="U38" s="207"/>
      <c r="V38" s="193"/>
      <c r="W38" s="207"/>
      <c r="X38" s="207"/>
      <c r="Y38" s="207"/>
      <c r="Z38" s="193"/>
    </row>
    <row r="39" spans="2:26">
      <c r="M39" s="193"/>
      <c r="N39" s="193"/>
      <c r="O39" s="193"/>
      <c r="P39" s="193"/>
    </row>
  </sheetData>
  <mergeCells count="1">
    <mergeCell ref="B4:E10"/>
  </mergeCells>
  <pageMargins left="0.7" right="0.7" top="0.75" bottom="0.75" header="0.3" footer="0.3"/>
  <pageSetup paperSize="9" scale="45" orientation="portrait" r:id="rId1"/>
  <colBreaks count="1" manualBreakCount="1">
    <brk id="7"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autoPageBreaks="0"/>
  </sheetPr>
  <dimension ref="A1"/>
  <sheetViews>
    <sheetView showGridLines="0" topLeftCell="A2" zoomScale="90" zoomScaleNormal="90" workbookViewId="0">
      <selection activeCell="A2" sqref="A2"/>
    </sheetView>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W34"/>
  <sheetViews>
    <sheetView showGridLines="0" zoomScale="85" zoomScaleNormal="85" workbookViewId="0">
      <pane xSplit="6" ySplit="10" topLeftCell="G11" activePane="bottomRight" state="frozen"/>
      <selection pane="topRight"/>
      <selection pane="bottomLeft"/>
      <selection pane="bottomRight"/>
    </sheetView>
  </sheetViews>
  <sheetFormatPr defaultColWidth="9.140625" defaultRowHeight="12.75"/>
  <cols>
    <col min="1" max="1" width="4" style="2" customWidth="1"/>
    <col min="2" max="2" width="77.285156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0" width="12.5703125" style="2" customWidth="1"/>
    <col min="21" max="21" width="12.5703125" style="210"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1:23" s="20" customFormat="1" ht="18">
      <c r="B2" s="20" t="s">
        <v>239</v>
      </c>
    </row>
    <row r="4" spans="1:23" s="82" customFormat="1">
      <c r="B4" s="269" t="s">
        <v>337</v>
      </c>
      <c r="C4" s="269"/>
      <c r="D4" s="269"/>
      <c r="E4" s="269"/>
      <c r="U4" s="210"/>
    </row>
    <row r="5" spans="1:23" s="82" customFormat="1">
      <c r="B5" s="269"/>
      <c r="C5" s="269"/>
      <c r="D5" s="269"/>
      <c r="E5" s="269"/>
      <c r="U5" s="210"/>
    </row>
    <row r="6" spans="1:23" s="82" customFormat="1">
      <c r="B6" s="269"/>
      <c r="C6" s="269"/>
      <c r="D6" s="269"/>
      <c r="E6" s="269"/>
      <c r="U6" s="210"/>
    </row>
    <row r="7" spans="1:23" s="82" customFormat="1">
      <c r="B7" s="269"/>
      <c r="C7" s="269"/>
      <c r="D7" s="269"/>
      <c r="E7" s="269"/>
      <c r="U7" s="210"/>
    </row>
    <row r="9" spans="1:23" s="7" customFormat="1">
      <c r="B9" s="7" t="s">
        <v>45</v>
      </c>
      <c r="F9" s="7" t="s">
        <v>27</v>
      </c>
      <c r="H9" s="7" t="s">
        <v>28</v>
      </c>
      <c r="J9" s="7" t="s">
        <v>49</v>
      </c>
      <c r="L9" s="73">
        <v>2011</v>
      </c>
      <c r="M9" s="73">
        <v>2012</v>
      </c>
      <c r="N9" s="73">
        <v>2013</v>
      </c>
      <c r="O9" s="73">
        <v>2014</v>
      </c>
      <c r="P9" s="73">
        <v>2015</v>
      </c>
      <c r="Q9" s="73">
        <v>2016</v>
      </c>
      <c r="R9" s="73">
        <v>2017</v>
      </c>
      <c r="S9" s="73">
        <v>2018</v>
      </c>
      <c r="T9" s="73">
        <v>2019</v>
      </c>
      <c r="U9" s="73">
        <v>2020</v>
      </c>
      <c r="W9" s="7" t="s">
        <v>47</v>
      </c>
    </row>
    <row r="12" spans="1:23" s="7" customFormat="1">
      <c r="B12" s="7" t="s">
        <v>213</v>
      </c>
      <c r="U12" s="190"/>
    </row>
    <row r="13" spans="1:23">
      <c r="A13" s="198"/>
    </row>
    <row r="14" spans="1:23" s="82" customFormat="1">
      <c r="A14" s="198"/>
      <c r="B14" s="187" t="s">
        <v>83</v>
      </c>
      <c r="C14" s="188"/>
      <c r="D14" s="188"/>
      <c r="E14" s="188"/>
      <c r="F14" s="188"/>
      <c r="G14" s="188"/>
      <c r="H14" s="188"/>
      <c r="I14" s="188"/>
      <c r="J14" s="188"/>
      <c r="K14" s="188"/>
      <c r="L14" s="188"/>
      <c r="M14" s="188"/>
      <c r="N14" s="188"/>
      <c r="O14" s="188"/>
      <c r="P14" s="188"/>
      <c r="Q14" s="47"/>
      <c r="R14" s="188"/>
      <c r="S14" s="188"/>
      <c r="T14" s="188"/>
      <c r="U14" s="210"/>
      <c r="W14" s="5"/>
    </row>
    <row r="15" spans="1:23">
      <c r="A15" s="198"/>
      <c r="B15" s="189" t="s">
        <v>338</v>
      </c>
      <c r="C15" s="188"/>
      <c r="D15" s="188"/>
      <c r="E15" s="188"/>
      <c r="F15" s="188" t="s">
        <v>208</v>
      </c>
      <c r="G15" s="188"/>
      <c r="H15" s="188"/>
      <c r="I15" s="188"/>
      <c r="J15" s="192"/>
      <c r="K15" s="188"/>
      <c r="L15" s="191"/>
      <c r="M15" s="191"/>
      <c r="N15" s="191"/>
      <c r="O15" s="191"/>
      <c r="P15" s="191"/>
      <c r="Q15" s="200"/>
      <c r="S15" s="212">
        <v>-1022676.41370478</v>
      </c>
      <c r="T15" s="198"/>
      <c r="U15" s="198"/>
      <c r="W15" s="153" t="s">
        <v>340</v>
      </c>
    </row>
    <row r="16" spans="1:23">
      <c r="A16" s="198"/>
      <c r="B16" s="188" t="s">
        <v>339</v>
      </c>
      <c r="C16" s="188"/>
      <c r="D16" s="188"/>
      <c r="E16" s="188"/>
      <c r="F16" s="188" t="s">
        <v>208</v>
      </c>
      <c r="G16" s="188"/>
      <c r="H16" s="188"/>
      <c r="I16" s="188"/>
      <c r="J16" s="192"/>
      <c r="K16" s="188"/>
      <c r="L16" s="191"/>
      <c r="M16" s="191"/>
      <c r="N16" s="191"/>
      <c r="O16" s="191"/>
      <c r="P16" s="191"/>
      <c r="Q16" s="198"/>
      <c r="R16" s="198"/>
      <c r="S16" s="198"/>
      <c r="U16" s="212">
        <v>2083481.47</v>
      </c>
    </row>
    <row r="17" spans="1:23" s="8" customFormat="1">
      <c r="A17" s="198"/>
      <c r="B17" s="191"/>
      <c r="C17" s="191"/>
      <c r="D17" s="191"/>
      <c r="E17" s="191"/>
      <c r="F17" s="191"/>
      <c r="G17" s="191"/>
      <c r="H17" s="191"/>
      <c r="I17" s="191"/>
      <c r="J17" s="192"/>
      <c r="K17" s="191"/>
      <c r="L17" s="191"/>
      <c r="M17" s="191"/>
      <c r="N17" s="191"/>
      <c r="O17" s="191"/>
      <c r="P17" s="191"/>
      <c r="Q17" s="198"/>
      <c r="R17" s="198"/>
      <c r="S17" s="198"/>
      <c r="T17" s="200"/>
      <c r="U17" s="200"/>
    </row>
    <row r="18" spans="1:23">
      <c r="A18" s="198"/>
      <c r="B18" s="188" t="s">
        <v>152</v>
      </c>
      <c r="C18" s="188"/>
      <c r="D18" s="188"/>
      <c r="E18" s="188"/>
      <c r="F18" s="188" t="s">
        <v>208</v>
      </c>
      <c r="G18" s="188"/>
      <c r="H18" s="188"/>
      <c r="I18" s="188"/>
      <c r="J18" s="192"/>
      <c r="K18" s="188"/>
      <c r="L18" s="212"/>
      <c r="M18" s="212"/>
      <c r="N18" s="212"/>
      <c r="O18" s="212"/>
      <c r="P18" s="212"/>
      <c r="Q18" s="212"/>
      <c r="R18" s="212"/>
      <c r="S18" s="212"/>
      <c r="T18" s="198"/>
      <c r="U18" s="198"/>
      <c r="W18" s="154" t="s">
        <v>547</v>
      </c>
    </row>
    <row r="19" spans="1:23">
      <c r="A19" s="198"/>
      <c r="B19" s="188"/>
      <c r="C19" s="188"/>
      <c r="D19" s="188"/>
      <c r="E19" s="188"/>
      <c r="F19" s="188"/>
      <c r="G19" s="188"/>
      <c r="H19" s="188"/>
      <c r="I19" s="188"/>
      <c r="J19" s="191"/>
      <c r="K19" s="188"/>
      <c r="L19" s="188"/>
      <c r="M19" s="188"/>
      <c r="N19" s="188"/>
      <c r="O19" s="188"/>
      <c r="P19" s="188"/>
      <c r="Q19" s="188"/>
      <c r="R19" s="188"/>
      <c r="S19" s="188"/>
      <c r="T19" s="188"/>
    </row>
    <row r="20" spans="1:23" s="82" customFormat="1">
      <c r="A20" s="198"/>
      <c r="B20" s="187" t="s">
        <v>85</v>
      </c>
      <c r="C20" s="188"/>
      <c r="D20" s="188"/>
      <c r="E20" s="188"/>
      <c r="F20" s="188"/>
      <c r="G20" s="188"/>
      <c r="H20" s="188"/>
      <c r="I20" s="188"/>
      <c r="J20" s="191"/>
      <c r="K20" s="188"/>
      <c r="L20" s="188"/>
      <c r="M20" s="188"/>
      <c r="N20" s="188"/>
      <c r="O20" s="188"/>
      <c r="P20" s="188"/>
      <c r="Q20" s="188"/>
      <c r="R20" s="188"/>
      <c r="S20" s="188"/>
      <c r="T20" s="188"/>
      <c r="U20" s="210"/>
    </row>
    <row r="21" spans="1:23">
      <c r="A21" s="198"/>
      <c r="B21" s="189" t="s">
        <v>341</v>
      </c>
      <c r="C21" s="188"/>
      <c r="D21" s="188"/>
      <c r="E21" s="188"/>
      <c r="F21" s="188" t="s">
        <v>208</v>
      </c>
      <c r="G21" s="188"/>
      <c r="H21" s="188"/>
      <c r="I21" s="188"/>
      <c r="J21" s="192"/>
      <c r="K21" s="188"/>
      <c r="L21" s="191"/>
      <c r="M21" s="191"/>
      <c r="N21" s="191"/>
      <c r="O21" s="191"/>
      <c r="P21" s="191"/>
      <c r="Q21" s="198"/>
      <c r="S21" s="212">
        <v>1873731.4741456099</v>
      </c>
      <c r="T21" s="198"/>
      <c r="U21" s="198"/>
      <c r="W21" s="155" t="s">
        <v>343</v>
      </c>
    </row>
    <row r="22" spans="1:23">
      <c r="A22" s="198"/>
      <c r="B22" s="188" t="s">
        <v>342</v>
      </c>
      <c r="C22" s="188"/>
      <c r="D22" s="188"/>
      <c r="E22" s="188"/>
      <c r="F22" s="188" t="s">
        <v>208</v>
      </c>
      <c r="G22" s="188"/>
      <c r="H22" s="188"/>
      <c r="I22" s="188"/>
      <c r="J22" s="192"/>
      <c r="K22" s="188"/>
      <c r="L22" s="191"/>
      <c r="M22" s="191"/>
      <c r="N22" s="191"/>
      <c r="O22" s="191"/>
      <c r="P22" s="191"/>
      <c r="Q22" s="198"/>
      <c r="R22" s="198"/>
      <c r="S22" s="198"/>
      <c r="U22" s="212">
        <v>29043218.769999899</v>
      </c>
    </row>
    <row r="23" spans="1:23" s="8" customFormat="1">
      <c r="A23" s="198"/>
      <c r="B23" s="191"/>
      <c r="C23" s="191"/>
      <c r="D23" s="191"/>
      <c r="E23" s="191"/>
      <c r="F23" s="191"/>
      <c r="G23" s="191"/>
      <c r="H23" s="191"/>
      <c r="I23" s="191"/>
      <c r="J23" s="192"/>
      <c r="K23" s="191"/>
      <c r="L23" s="191"/>
      <c r="M23" s="191"/>
      <c r="N23" s="191"/>
      <c r="O23" s="191"/>
      <c r="P23" s="191"/>
      <c r="Q23" s="198"/>
      <c r="R23" s="198"/>
      <c r="S23" s="198"/>
      <c r="T23" s="200"/>
      <c r="U23" s="200"/>
    </row>
    <row r="24" spans="1:23">
      <c r="A24" s="198"/>
      <c r="B24" s="188" t="s">
        <v>153</v>
      </c>
      <c r="C24" s="188"/>
      <c r="D24" s="188"/>
      <c r="E24" s="188"/>
      <c r="F24" s="188" t="s">
        <v>208</v>
      </c>
      <c r="G24" s="188"/>
      <c r="H24" s="188"/>
      <c r="I24" s="188"/>
      <c r="J24" s="192"/>
      <c r="K24" s="188"/>
      <c r="L24" s="212"/>
      <c r="M24" s="212"/>
      <c r="N24" s="212"/>
      <c r="O24" s="212">
        <v>-2760</v>
      </c>
      <c r="P24" s="212">
        <v>2760</v>
      </c>
      <c r="Q24" s="212">
        <v>2760</v>
      </c>
      <c r="R24" s="212">
        <v>2948563.932</v>
      </c>
      <c r="S24" s="212"/>
      <c r="T24" s="198"/>
      <c r="U24" s="198"/>
      <c r="W24" s="156" t="s">
        <v>548</v>
      </c>
    </row>
    <row r="25" spans="1:23" s="188" customFormat="1">
      <c r="A25" s="198"/>
      <c r="B25" s="188" t="s">
        <v>381</v>
      </c>
      <c r="F25" s="188" t="s">
        <v>208</v>
      </c>
      <c r="J25" s="192"/>
      <c r="L25" s="212"/>
      <c r="M25" s="212"/>
      <c r="N25" s="212"/>
      <c r="O25" s="212"/>
      <c r="P25" s="212"/>
      <c r="Q25" s="212"/>
      <c r="R25" s="212"/>
      <c r="S25" s="212"/>
      <c r="T25" s="198"/>
      <c r="U25" s="198"/>
      <c r="W25" s="195"/>
    </row>
    <row r="26" spans="1:23">
      <c r="A26" s="198"/>
      <c r="B26" s="188"/>
      <c r="C26" s="188"/>
      <c r="D26" s="188"/>
      <c r="E26" s="188"/>
      <c r="F26" s="188"/>
      <c r="G26" s="188"/>
      <c r="H26" s="188"/>
      <c r="I26" s="188"/>
      <c r="J26" s="188"/>
      <c r="K26" s="188"/>
      <c r="L26" s="188"/>
      <c r="M26" s="188"/>
      <c r="N26" s="188"/>
      <c r="O26" s="188"/>
      <c r="P26" s="188"/>
      <c r="Q26" s="188"/>
      <c r="R26" s="188"/>
      <c r="S26" s="188"/>
      <c r="T26" s="188"/>
    </row>
    <row r="27" spans="1:23" s="86" customFormat="1">
      <c r="B27" s="190" t="s">
        <v>214</v>
      </c>
      <c r="C27" s="190"/>
      <c r="D27" s="190"/>
      <c r="E27" s="190"/>
      <c r="F27" s="190"/>
      <c r="G27" s="190"/>
      <c r="H27" s="190"/>
      <c r="I27" s="190"/>
      <c r="J27" s="190"/>
      <c r="K27" s="190"/>
      <c r="L27" s="190"/>
      <c r="M27" s="190"/>
      <c r="N27" s="190"/>
      <c r="O27" s="190"/>
      <c r="P27" s="190"/>
      <c r="Q27" s="190"/>
      <c r="R27" s="190"/>
      <c r="S27" s="190"/>
      <c r="T27" s="190"/>
      <c r="U27" s="190"/>
    </row>
    <row r="28" spans="1:23">
      <c r="A28" s="198"/>
      <c r="B28" s="188"/>
      <c r="C28" s="188"/>
      <c r="D28" s="188"/>
      <c r="E28" s="188"/>
      <c r="F28" s="188"/>
      <c r="G28" s="188"/>
      <c r="H28" s="188"/>
      <c r="I28" s="188"/>
      <c r="J28" s="188"/>
      <c r="K28" s="188"/>
      <c r="L28" s="188"/>
      <c r="M28" s="188"/>
      <c r="N28" s="188"/>
      <c r="O28" s="188"/>
      <c r="P28" s="188"/>
      <c r="Q28" s="188"/>
      <c r="R28" s="188"/>
      <c r="S28" s="188"/>
      <c r="T28" s="188"/>
    </row>
    <row r="29" spans="1:23">
      <c r="A29" s="198"/>
      <c r="B29" s="188" t="s">
        <v>344</v>
      </c>
      <c r="C29" s="188"/>
      <c r="D29" s="188"/>
      <c r="E29" s="188"/>
      <c r="F29" s="188" t="s">
        <v>208</v>
      </c>
      <c r="G29" s="188"/>
      <c r="H29" s="188"/>
      <c r="I29" s="188"/>
      <c r="J29" s="188"/>
      <c r="K29" s="188"/>
      <c r="L29" s="198"/>
      <c r="M29" s="198"/>
      <c r="N29" s="198"/>
      <c r="O29" s="198"/>
      <c r="P29" s="198"/>
      <c r="Q29" s="198"/>
      <c r="R29" s="198"/>
      <c r="T29" s="212">
        <v>22230156.690000001</v>
      </c>
    </row>
    <row r="30" spans="1:23" s="82" customFormat="1">
      <c r="A30" s="198"/>
      <c r="B30" s="188"/>
      <c r="C30" s="188"/>
      <c r="D30" s="188"/>
      <c r="E30" s="188"/>
      <c r="F30" s="188"/>
      <c r="G30" s="188"/>
      <c r="H30" s="188"/>
      <c r="I30" s="188"/>
      <c r="J30" s="188"/>
      <c r="K30" s="188"/>
      <c r="L30" s="196"/>
      <c r="M30" s="196"/>
      <c r="N30" s="196"/>
      <c r="O30" s="196"/>
      <c r="P30" s="196"/>
      <c r="Q30" s="196"/>
      <c r="R30" s="196"/>
      <c r="S30" s="196"/>
      <c r="T30" s="188"/>
      <c r="U30" s="210"/>
    </row>
    <row r="31" spans="1:23">
      <c r="A31" s="198"/>
      <c r="B31" s="188" t="s">
        <v>217</v>
      </c>
      <c r="C31" s="188"/>
      <c r="D31" s="188"/>
      <c r="E31" s="188"/>
      <c r="F31" s="188" t="s">
        <v>208</v>
      </c>
      <c r="G31" s="188"/>
      <c r="H31" s="188"/>
      <c r="I31" s="188"/>
      <c r="J31" s="192"/>
      <c r="K31" s="188"/>
      <c r="L31" s="212">
        <v>207131.21</v>
      </c>
      <c r="M31" s="212">
        <v>480652.79000000004</v>
      </c>
      <c r="N31" s="212">
        <v>537799.8600000001</v>
      </c>
      <c r="O31" s="212">
        <v>203463.49</v>
      </c>
      <c r="P31" s="211"/>
      <c r="Q31" s="199"/>
      <c r="R31" s="199"/>
      <c r="S31" s="198"/>
      <c r="T31" s="191"/>
      <c r="U31" s="198"/>
      <c r="W31" s="157" t="s">
        <v>270</v>
      </c>
    </row>
    <row r="32" spans="1:23" s="82" customFormat="1">
      <c r="A32" s="198"/>
      <c r="B32" s="188" t="s">
        <v>215</v>
      </c>
      <c r="C32" s="188"/>
      <c r="D32" s="188"/>
      <c r="E32" s="188"/>
      <c r="F32" s="188" t="s">
        <v>208</v>
      </c>
      <c r="G32" s="188"/>
      <c r="H32" s="188"/>
      <c r="I32" s="188"/>
      <c r="J32" s="188"/>
      <c r="K32" s="188"/>
      <c r="L32" s="199"/>
      <c r="M32" s="199"/>
      <c r="N32" s="199"/>
      <c r="O32" s="199"/>
      <c r="P32" s="199"/>
      <c r="Q32" s="199"/>
      <c r="S32" s="212">
        <v>46714.18</v>
      </c>
      <c r="T32" s="212"/>
      <c r="U32" s="210"/>
      <c r="W32" s="158" t="s">
        <v>271</v>
      </c>
    </row>
    <row r="33" spans="1:23" s="82" customFormat="1">
      <c r="A33" s="198"/>
      <c r="B33" s="188" t="s">
        <v>216</v>
      </c>
      <c r="C33" s="188"/>
      <c r="D33" s="188"/>
      <c r="E33" s="188"/>
      <c r="F33" s="188" t="s">
        <v>208</v>
      </c>
      <c r="G33" s="188"/>
      <c r="H33" s="188"/>
      <c r="I33" s="188"/>
      <c r="J33" s="188"/>
      <c r="K33" s="188"/>
      <c r="L33" s="199"/>
      <c r="M33" s="199"/>
      <c r="N33" s="199"/>
      <c r="O33" s="199"/>
      <c r="P33" s="199"/>
      <c r="Q33" s="199"/>
      <c r="S33" s="212"/>
      <c r="T33" s="212">
        <v>1037884.10697</v>
      </c>
      <c r="U33" s="210"/>
      <c r="W33" s="158" t="s">
        <v>271</v>
      </c>
    </row>
    <row r="34" spans="1:23">
      <c r="A34" s="198"/>
      <c r="S34" s="5"/>
    </row>
  </sheetData>
  <mergeCells count="1">
    <mergeCell ref="B4:E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sheetPr>
  <dimension ref="A2:Q18"/>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cols>
    <col min="1" max="1" width="4" style="2" customWidth="1"/>
    <col min="2" max="2" width="55.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4" width="2.7109375" style="2" customWidth="1"/>
    <col min="15" max="15" width="31.28515625" style="2" bestFit="1" customWidth="1"/>
    <col min="16" max="16" width="2.7109375" style="2" customWidth="1"/>
    <col min="17" max="31" width="13.7109375" style="2" customWidth="1"/>
    <col min="32" max="16384" width="9.140625" style="2"/>
  </cols>
  <sheetData>
    <row r="2" spans="1:17" s="20" customFormat="1" ht="18">
      <c r="B2" s="20" t="s">
        <v>240</v>
      </c>
    </row>
    <row r="4" spans="1:17" s="82" customFormat="1">
      <c r="B4" s="269" t="s">
        <v>549</v>
      </c>
      <c r="C4" s="270"/>
      <c r="D4" s="270"/>
      <c r="E4" s="270"/>
    </row>
    <row r="5" spans="1:17" s="82" customFormat="1">
      <c r="B5" s="270"/>
      <c r="C5" s="270"/>
      <c r="D5" s="270"/>
      <c r="E5" s="270"/>
    </row>
    <row r="6" spans="1:17" s="82" customFormat="1">
      <c r="B6" s="270"/>
      <c r="C6" s="270"/>
      <c r="D6" s="270"/>
      <c r="E6" s="270"/>
    </row>
    <row r="7" spans="1:17" s="82" customFormat="1">
      <c r="B7" s="270"/>
      <c r="C7" s="270"/>
      <c r="D7" s="270"/>
      <c r="E7" s="270"/>
    </row>
    <row r="8" spans="1:17" s="82" customFormat="1">
      <c r="B8" s="270"/>
      <c r="C8" s="270"/>
      <c r="D8" s="270"/>
      <c r="E8" s="270"/>
    </row>
    <row r="9" spans="1:17" s="82" customFormat="1">
      <c r="B9" s="85"/>
      <c r="C9" s="83"/>
      <c r="D9" s="83"/>
    </row>
    <row r="10" spans="1:17" s="7" customFormat="1">
      <c r="B10" s="7" t="s">
        <v>45</v>
      </c>
      <c r="F10" s="7" t="s">
        <v>27</v>
      </c>
      <c r="H10" s="7" t="s">
        <v>28</v>
      </c>
      <c r="J10" s="7" t="s">
        <v>49</v>
      </c>
      <c r="L10" s="7" t="s">
        <v>83</v>
      </c>
      <c r="M10" s="7" t="s">
        <v>85</v>
      </c>
      <c r="O10" s="7" t="s">
        <v>46</v>
      </c>
      <c r="Q10" s="7" t="s">
        <v>47</v>
      </c>
    </row>
    <row r="11" spans="1:17" s="82" customFormat="1"/>
    <row r="12" spans="1:17" s="82" customFormat="1"/>
    <row r="13" spans="1:17" s="71" customFormat="1">
      <c r="B13" s="70" t="s">
        <v>160</v>
      </c>
      <c r="C13" s="70"/>
      <c r="D13" s="70"/>
    </row>
    <row r="14" spans="1:17">
      <c r="A14" s="198"/>
    </row>
    <row r="15" spans="1:17">
      <c r="A15" s="198"/>
      <c r="B15" s="2" t="s">
        <v>326</v>
      </c>
      <c r="F15" s="2" t="s">
        <v>209</v>
      </c>
      <c r="J15" s="82"/>
      <c r="K15" s="8"/>
      <c r="L15" s="212">
        <v>18997452.618262</v>
      </c>
      <c r="M15" s="212">
        <v>1751669.4999999972</v>
      </c>
      <c r="O15" s="2" t="s">
        <v>202</v>
      </c>
      <c r="Q15" s="5"/>
    </row>
    <row r="16" spans="1:17">
      <c r="A16" s="198"/>
      <c r="B16" s="2" t="s">
        <v>327</v>
      </c>
      <c r="F16" s="209" t="s">
        <v>209</v>
      </c>
      <c r="J16" s="82"/>
      <c r="K16" s="8"/>
      <c r="L16" s="212">
        <v>77705186.362881839</v>
      </c>
      <c r="M16" s="212">
        <v>4071988.7265183637</v>
      </c>
      <c r="O16" s="2" t="s">
        <v>202</v>
      </c>
    </row>
    <row r="17" spans="1:13">
      <c r="A17" s="198"/>
      <c r="J17" s="28"/>
      <c r="K17" s="8"/>
      <c r="L17" s="8"/>
      <c r="M17" s="8"/>
    </row>
    <row r="18" spans="1:13">
      <c r="A18" s="198"/>
    </row>
  </sheetData>
  <mergeCells count="1">
    <mergeCell ref="B4:E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E878650FBD2D4392CD8EF4C647E9D5" ma:contentTypeVersion="0" ma:contentTypeDescription="Een nieuw document maken." ma:contentTypeScope="" ma:versionID="403b60cfd241343d50cd2dbad1bbbcf9">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41D22-A657-4695-A560-BC2A67E90602}">
  <ds:schemaRefs>
    <ds:schemaRef ds:uri="http://schemas.microsoft.com/sharepoint/v3/contenttype/forms"/>
  </ds:schemaRefs>
</ds:datastoreItem>
</file>

<file path=customXml/itemProps2.xml><?xml version="1.0" encoding="utf-8"?>
<ds:datastoreItem xmlns:ds="http://schemas.openxmlformats.org/officeDocument/2006/customXml" ds:itemID="{00B2746E-DB0F-499C-B59A-0A8E858D8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2A23967-7DE6-499B-A489-7CBF2DE6D59F}">
  <ds:schemaRefs>
    <ds:schemaRef ds:uri="http://schemas.microsoft.com/office/infopath/2007/PartnerControls"/>
    <ds:schemaRef ds:uri="http://purl.org/dc/elements/1.1/"/>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26</vt:i4>
      </vt:variant>
      <vt:variant>
        <vt:lpstr>Benoemde bereiken</vt:lpstr>
      </vt:variant>
      <vt:variant>
        <vt:i4>2</vt:i4>
      </vt:variant>
    </vt:vector>
  </HeadingPairs>
  <TitlesOfParts>
    <vt:vector size="28" baseType="lpstr">
      <vt:lpstr>Tab 1_Titelblad</vt:lpstr>
      <vt:lpstr>Tab 2_Toelichting</vt:lpstr>
      <vt:lpstr>Tab 3_Bronnen en toepassingen</vt:lpstr>
      <vt:lpstr>Resultaat --&gt;</vt:lpstr>
      <vt:lpstr>Tab 4_Totale inkomsten 2020</vt:lpstr>
      <vt:lpstr>Tab 5_Tarieven en RV 2020</vt:lpstr>
      <vt:lpstr>Input (Dataverzoek TenneT) --&gt;</vt:lpstr>
      <vt:lpstr>Tab 6_Correcties en prognoses</vt:lpstr>
      <vt:lpstr>Tab 7_Toevoeging kosten RCR</vt:lpstr>
      <vt:lpstr>Tab 8_Voorstel tarieven en RV</vt:lpstr>
      <vt:lpstr>Input (Data door ACM) --&gt;</vt:lpstr>
      <vt:lpstr>Tab 9_Parameters</vt:lpstr>
      <vt:lpstr>Tab 10_Brondata</vt:lpstr>
      <vt:lpstr>Tab 11_Tarieven, RV en omzet</vt:lpstr>
      <vt:lpstr>Berekeningen --&gt;</vt:lpstr>
      <vt:lpstr>Tab 12_Berekening parameters</vt:lpstr>
      <vt:lpstr>Tab 13_Wettelijke formule</vt:lpstr>
      <vt:lpstr>Tab 14_Budget systeemtaken</vt:lpstr>
      <vt:lpstr>Tab 15_Nacalculatie IKE&amp;V</vt:lpstr>
      <vt:lpstr>Tab 16_Prognoses IKTNN</vt:lpstr>
      <vt:lpstr>Tab 17_Correcties OA&amp;M en IKTNN</vt:lpstr>
      <vt:lpstr>Tab 18_Overige correcties</vt:lpstr>
      <vt:lpstr>Tab 19_Omzetcorrectie</vt:lpstr>
      <vt:lpstr>Tab 20_ Inzet veilinggelden</vt:lpstr>
      <vt:lpstr>Tab 21_Controle rekenvolumina</vt:lpstr>
      <vt:lpstr>Tab 22_Controle tarieven</vt:lpstr>
      <vt:lpstr>'Tab 12_Berekening parameters'!Afdrukbereik</vt:lpstr>
      <vt:lpstr>'Tab 21_Controle rekenvolumina'!Afdrukbereik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Tol, Ilona</cp:lastModifiedBy>
  <cp:lastPrinted>2018-08-30T08:18:37Z</cp:lastPrinted>
  <dcterms:created xsi:type="dcterms:W3CDTF">2017-12-20T09:39:51Z</dcterms:created>
  <dcterms:modified xsi:type="dcterms:W3CDTF">2019-10-03T10:08:05Z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0x01010049E878650FBD2D4392CD8EF4C647E9D5</vt:lpwstr>
  </property>
</Properties>
</file>