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610" windowHeight="11640" tabRatio="812"/>
  </bookViews>
  <sheets>
    <sheet name="Toelichting" sheetId="4" r:id="rId1"/>
    <sheet name="Import gegevens --&gt;" sheetId="15" r:id="rId2"/>
    <sheet name="Import kosten 2012-2015" sheetId="8" r:id="rId3"/>
    <sheet name="Import SO en BI" sheetId="17" r:id="rId4"/>
    <sheet name="WACC en CPI" sheetId="14" r:id="rId5"/>
    <sheet name="Berekeningen --&gt;" sheetId="19" r:id="rId6"/>
    <sheet name="Productiviteitsverandering" sheetId="18" r:id="rId7"/>
    <sheet name="Berekening surplus AD" sheetId="23" r:id="rId8"/>
    <sheet name="Berekening extra KK AD" sheetId="24" r:id="rId9"/>
    <sheet name="Totale kosten TD maatstaf" sheetId="7" r:id="rId10"/>
    <sheet name="Totale kosten AD maatstaf" sheetId="20" r:id="rId11"/>
    <sheet name="Totale kosten EHD maatstaf" sheetId="21" r:id="rId12"/>
    <sheet name="Toetsen toepassing one-off" sheetId="3" r:id="rId13"/>
    <sheet name="X-factor + TI-bedragen" sheetId="2" r:id="rId14"/>
    <sheet name="Bijlage 1" sheetId="26" r:id="rId15"/>
  </sheets>
  <definedNames>
    <definedName name="cogas_2012_Total_Cost_Imp_1">'Import kosten 2012-2015'!$L$17</definedName>
    <definedName name="cogas_2012_Total_Cost_Imp_2">'Import kosten 2012-2015'!$L$18</definedName>
    <definedName name="cogas_2013_Total_Cost_Imp_1">'Import kosten 2012-2015'!$L$26</definedName>
    <definedName name="cogas_2013_Total_Cost_Imp_10">'Import kosten 2012-2015'!$L$80</definedName>
    <definedName name="cogas_2013_Total_Cost_Imp_11">'Import kosten 2012-2015'!$L$81</definedName>
    <definedName name="cogas_2013_Total_Cost_Imp_12">'Import kosten 2012-2015'!$L$109</definedName>
    <definedName name="cogas_2013_Total_Cost_Imp_13">'Import kosten 2012-2015'!$L$110</definedName>
    <definedName name="cogas_2013_Total_Cost_Imp_14">'Import kosten 2012-2015'!$L$111</definedName>
    <definedName name="cogas_2013_Total_Cost_Imp_15">'Import kosten 2012-2015'!$L$113</definedName>
    <definedName name="cogas_2013_Total_Cost_Imp_16">'Import kosten 2012-2015'!$L$114</definedName>
    <definedName name="cogas_2013_Total_Cost_Imp_2">'Import kosten 2012-2015'!$L$27</definedName>
    <definedName name="cogas_2013_Total_Cost_Imp_3">'Import kosten 2012-2015'!$L$28</definedName>
    <definedName name="cogas_2013_Total_Cost_Imp_4">'Import kosten 2012-2015'!$L$30</definedName>
    <definedName name="cogas_2013_Total_Cost_Imp_5">'Import kosten 2012-2015'!$L$31</definedName>
    <definedName name="cogas_2013_Total_Cost_Imp_6">'Import kosten 2012-2015'!$L$36</definedName>
    <definedName name="cogas_2013_Total_Cost_Imp_7">'Import kosten 2012-2015'!$L$37</definedName>
    <definedName name="cogas_2013_Total_Cost_Imp_8">'Import kosten 2012-2015'!$L$77</definedName>
    <definedName name="cogas_2013_Total_Cost_Imp_9">'Import kosten 2012-2015'!$L$78</definedName>
    <definedName name="cogas_2014_Total_Cost_Imp_1">'Import kosten 2012-2015'!$L$43</definedName>
    <definedName name="cogas_2014_Total_Cost_Imp_10">'Import kosten 2012-2015'!$L$90</definedName>
    <definedName name="cogas_2014_Total_Cost_Imp_11">'Import kosten 2012-2015'!$L$91</definedName>
    <definedName name="cogas_2014_Total_Cost_Imp_12">'Import kosten 2012-2015'!$L$118</definedName>
    <definedName name="cogas_2014_Total_Cost_Imp_13">'Import kosten 2012-2015'!$L$119</definedName>
    <definedName name="cogas_2014_Total_Cost_Imp_14">'Import kosten 2012-2015'!$L$120</definedName>
    <definedName name="cogas_2014_Total_Cost_Imp_15">'Import kosten 2012-2015'!$L$122</definedName>
    <definedName name="cogas_2014_Total_Cost_Imp_16">'Import kosten 2012-2015'!$L$123</definedName>
    <definedName name="cogas_2014_Total_Cost_Imp_2">'Import kosten 2012-2015'!$L$44</definedName>
    <definedName name="cogas_2014_Total_Cost_Imp_3">'Import kosten 2012-2015'!$L$45</definedName>
    <definedName name="cogas_2014_Total_Cost_Imp_4">'Import kosten 2012-2015'!$L$47</definedName>
    <definedName name="cogas_2014_Total_Cost_Imp_5">'Import kosten 2012-2015'!$L$48</definedName>
    <definedName name="cogas_2014_Total_Cost_Imp_6">'Import kosten 2012-2015'!$L$53</definedName>
    <definedName name="cogas_2014_Total_Cost_Imp_7">'Import kosten 2012-2015'!$L$54</definedName>
    <definedName name="cogas_2014_Total_Cost_Imp_8">'Import kosten 2012-2015'!$L$87</definedName>
    <definedName name="cogas_2014_Total_Cost_Imp_9">'Import kosten 2012-2015'!$L$88</definedName>
    <definedName name="cogas_2015_Total_Cost_Imp_1">'Import kosten 2012-2015'!$L$60</definedName>
    <definedName name="cogas_2015_Total_Cost_Imp_10">'Import kosten 2012-2015'!$L$101</definedName>
    <definedName name="cogas_2015_Total_Cost_Imp_11">'Import kosten 2012-2015'!$L$127</definedName>
    <definedName name="cogas_2015_Total_Cost_Imp_12">'Import kosten 2012-2015'!$L$128</definedName>
    <definedName name="cogas_2015_Total_Cost_Imp_13">'Import kosten 2012-2015'!$L$129</definedName>
    <definedName name="cogas_2015_Total_Cost_Imp_14">'Import kosten 2012-2015'!$L$131</definedName>
    <definedName name="cogas_2015_Total_Cost_Imp_15">'Import kosten 2012-2015'!$L$132</definedName>
    <definedName name="cogas_2015_Total_Cost_Imp_2">'Import kosten 2012-2015'!$L$61</definedName>
    <definedName name="cogas_2015_Total_Cost_Imp_3">'Import kosten 2012-2015'!$L$62</definedName>
    <definedName name="cogas_2015_Total_Cost_Imp_4">'Import kosten 2012-2015'!$L$64</definedName>
    <definedName name="cogas_2015_Total_Cost_Imp_5">'Import kosten 2012-2015'!$L$65</definedName>
    <definedName name="cogas_2015_Total_Cost_Imp_6">'Import kosten 2012-2015'!$L$70</definedName>
    <definedName name="cogas_2015_Total_Cost_Imp_7">'Import kosten 2012-2015'!$L$97</definedName>
    <definedName name="cogas_2015_Total_Cost_Imp_8">'Import kosten 2012-2015'!$L$98</definedName>
    <definedName name="cogas_2015_Total_Cost_Imp_9">'Import kosten 2012-2015'!$L$100</definedName>
    <definedName name="cogas_BI_AD_2016_SO_Imp">'Import SO en BI'!$L$32</definedName>
    <definedName name="cogas_BI_TD_2016_SO_Imp">'Import SO en BI'!$L$23</definedName>
    <definedName name="cogas_OUT_AD_2016_SO_Imp">'Import SO en BI'!$L$29</definedName>
    <definedName name="cogas_OUT_TD_2016_SO_Imp">'Import SO en BI'!$L$15</definedName>
    <definedName name="cogas_TOT_EAV_2013_SO_Imp">'Import kosten 2012-2015'!$L$83</definedName>
    <definedName name="cogas_TOT_EAV_2014_SO_Imp">'Import kosten 2012-2015'!$L$93</definedName>
    <definedName name="cogas_TOT_EAV_2015_SO_Imp">'Import kosten 2012-2015'!$L$103</definedName>
    <definedName name="enduris_2012_Total_Cost_Imp_1">'Import kosten 2012-2015'!$M$17</definedName>
    <definedName name="enduris_2012_Total_Cost_Imp_2">'Import kosten 2012-2015'!$M$18</definedName>
    <definedName name="enduris_2013_Total_Cost_Imp_1">'Import kosten 2012-2015'!$M$26</definedName>
    <definedName name="enduris_2013_Total_Cost_Imp_10">'Import kosten 2012-2015'!$M$80</definedName>
    <definedName name="enduris_2013_Total_Cost_Imp_11">'Import kosten 2012-2015'!$M$81</definedName>
    <definedName name="enduris_2013_Total_Cost_Imp_12">'Import kosten 2012-2015'!$M$109</definedName>
    <definedName name="enduris_2013_Total_Cost_Imp_13">'Import kosten 2012-2015'!$M$110</definedName>
    <definedName name="enduris_2013_Total_Cost_Imp_14">'Import kosten 2012-2015'!$M$111</definedName>
    <definedName name="enduris_2013_Total_Cost_Imp_15">'Import kosten 2012-2015'!$M$113</definedName>
    <definedName name="enduris_2013_Total_Cost_Imp_16">'Import kosten 2012-2015'!$M$114</definedName>
    <definedName name="enduris_2013_Total_Cost_Imp_2">'Import kosten 2012-2015'!$M$27</definedName>
    <definedName name="enduris_2013_Total_Cost_Imp_3">'Import kosten 2012-2015'!$M$28</definedName>
    <definedName name="enduris_2013_Total_Cost_Imp_4">'Import kosten 2012-2015'!$M$30</definedName>
    <definedName name="enduris_2013_Total_Cost_Imp_5">'Import kosten 2012-2015'!$M$31</definedName>
    <definedName name="enduris_2013_Total_Cost_Imp_6">'Import kosten 2012-2015'!$M$36</definedName>
    <definedName name="enduris_2013_Total_Cost_Imp_7">'Import kosten 2012-2015'!$M$37</definedName>
    <definedName name="enduris_2013_Total_Cost_Imp_8">'Import kosten 2012-2015'!$M$77</definedName>
    <definedName name="enduris_2013_Total_Cost_Imp_9">'Import kosten 2012-2015'!$M$78</definedName>
    <definedName name="enduris_2014_Total_Cost_Imp_1">'Import kosten 2012-2015'!$M$43</definedName>
    <definedName name="enduris_2014_Total_Cost_Imp_10">'Import kosten 2012-2015'!$M$90</definedName>
    <definedName name="enduris_2014_Total_Cost_Imp_11">'Import kosten 2012-2015'!$M$91</definedName>
    <definedName name="enduris_2014_Total_Cost_Imp_12">'Import kosten 2012-2015'!$M$118</definedName>
    <definedName name="enduris_2014_Total_Cost_Imp_13">'Import kosten 2012-2015'!$M$119</definedName>
    <definedName name="enduris_2014_Total_Cost_Imp_14">'Import kosten 2012-2015'!$M$120</definedName>
    <definedName name="enduris_2014_Total_Cost_Imp_15">'Import kosten 2012-2015'!$M$122</definedName>
    <definedName name="enduris_2014_Total_Cost_Imp_16">'Import kosten 2012-2015'!$M$123</definedName>
    <definedName name="enduris_2014_Total_Cost_Imp_2">'Import kosten 2012-2015'!$M$44</definedName>
    <definedName name="enduris_2014_Total_Cost_Imp_3">'Import kosten 2012-2015'!$M$45</definedName>
    <definedName name="enduris_2014_Total_Cost_Imp_4">'Import kosten 2012-2015'!$M$47</definedName>
    <definedName name="enduris_2014_Total_Cost_Imp_5">'Import kosten 2012-2015'!$M$48</definedName>
    <definedName name="enduris_2014_Total_Cost_Imp_6">'Import kosten 2012-2015'!$M$53</definedName>
    <definedName name="enduris_2014_Total_Cost_Imp_7">'Import kosten 2012-2015'!$M$54</definedName>
    <definedName name="enduris_2014_Total_Cost_Imp_8">'Import kosten 2012-2015'!$M$87</definedName>
    <definedName name="enduris_2014_Total_Cost_Imp_9">'Import kosten 2012-2015'!$M$88</definedName>
    <definedName name="enduris_2015_Total_Cost_Imp_1">'Import kosten 2012-2015'!$M$60</definedName>
    <definedName name="enduris_2015_Total_Cost_Imp_10">'Import kosten 2012-2015'!$M$101</definedName>
    <definedName name="enduris_2015_Total_Cost_Imp_11">'Import kosten 2012-2015'!$M$127</definedName>
    <definedName name="enduris_2015_Total_Cost_Imp_12">'Import kosten 2012-2015'!$M$128</definedName>
    <definedName name="enduris_2015_Total_Cost_Imp_13">'Import kosten 2012-2015'!$M$129</definedName>
    <definedName name="enduris_2015_Total_Cost_Imp_14">'Import kosten 2012-2015'!$M$131</definedName>
    <definedName name="enduris_2015_Total_Cost_Imp_15">'Import kosten 2012-2015'!$M$132</definedName>
    <definedName name="enduris_2015_Total_Cost_Imp_2">'Import kosten 2012-2015'!$M$61</definedName>
    <definedName name="enduris_2015_Total_Cost_Imp_3">'Import kosten 2012-2015'!$M$62</definedName>
    <definedName name="enduris_2015_Total_Cost_Imp_4">'Import kosten 2012-2015'!$M$64</definedName>
    <definedName name="enduris_2015_Total_Cost_Imp_5">'Import kosten 2012-2015'!$M$65</definedName>
    <definedName name="enduris_2015_Total_Cost_Imp_6">'Import kosten 2012-2015'!$M$70</definedName>
    <definedName name="enduris_2015_Total_Cost_Imp_7">'Import kosten 2012-2015'!$M$97</definedName>
    <definedName name="enduris_2015_Total_Cost_Imp_8">'Import kosten 2012-2015'!$M$98</definedName>
    <definedName name="enduris_2015_Total_Cost_Imp_9">'Import kosten 2012-2015'!$M$100</definedName>
    <definedName name="enduris_BI_AD_2016_SO_Imp">'Import SO en BI'!$M$32</definedName>
    <definedName name="enduris_BI_TD_2016_SO_Imp">'Import SO en BI'!$M$23</definedName>
    <definedName name="enduris_EHD_BI_SO_Imp">'Import SO en BI'!$M$41</definedName>
    <definedName name="enduris_EHD_Out_SO_Imp">'Import SO en BI'!$M$38</definedName>
    <definedName name="enduris_OUT_AD_2016_SO_Imp">'Import SO en BI'!$M$29</definedName>
    <definedName name="enduris_OUT_TD_2016_SO_Imp">'Import SO en BI'!$M$15</definedName>
    <definedName name="enduris_TOT_EAV_2013_SO_Imp">'Import kosten 2012-2015'!$M$83</definedName>
    <definedName name="enduris_TOT_EAV_2014_SO_Imp">'Import kosten 2012-2015'!$M$93</definedName>
    <definedName name="enduris_TOT_EAV_2015_SO_Imp">'Import kosten 2012-2015'!$M$103</definedName>
    <definedName name="enexis_2012_Total_Cost_Imp_1">'Import kosten 2012-2015'!$N$17</definedName>
    <definedName name="enexis_2012_Total_Cost_Imp_2">'Import kosten 2012-2015'!$N$18</definedName>
    <definedName name="enexis_2013_Total_Cost_Imp_1">'Import kosten 2012-2015'!$N$26</definedName>
    <definedName name="enexis_2013_Total_Cost_Imp_10">'Import kosten 2012-2015'!$N$80</definedName>
    <definedName name="enexis_2013_Total_Cost_Imp_11">'Import kosten 2012-2015'!$N$81</definedName>
    <definedName name="enexis_2013_Total_Cost_Imp_12">'Import kosten 2012-2015'!$N$109</definedName>
    <definedName name="enexis_2013_Total_Cost_Imp_13">'Import kosten 2012-2015'!$N$110</definedName>
    <definedName name="enexis_2013_Total_Cost_Imp_14">'Import kosten 2012-2015'!$N$111</definedName>
    <definedName name="enexis_2013_Total_Cost_Imp_15">'Import kosten 2012-2015'!$N$113</definedName>
    <definedName name="enexis_2013_Total_Cost_Imp_16">'Import kosten 2012-2015'!$N$114</definedName>
    <definedName name="enexis_2013_Total_Cost_Imp_2">'Import kosten 2012-2015'!$N$27</definedName>
    <definedName name="enexis_2013_Total_Cost_Imp_3">'Import kosten 2012-2015'!$N$28</definedName>
    <definedName name="enexis_2013_Total_Cost_Imp_4">'Import kosten 2012-2015'!$N$30</definedName>
    <definedName name="enexis_2013_Total_Cost_Imp_5">'Import kosten 2012-2015'!$N$31</definedName>
    <definedName name="enexis_2013_Total_Cost_Imp_6">'Import kosten 2012-2015'!$N$36</definedName>
    <definedName name="enexis_2013_Total_Cost_Imp_7">'Import kosten 2012-2015'!$N$37</definedName>
    <definedName name="enexis_2013_Total_Cost_Imp_8">'Import kosten 2012-2015'!$N$77</definedName>
    <definedName name="enexis_2013_Total_Cost_Imp_9">'Import kosten 2012-2015'!$N$78</definedName>
    <definedName name="enexis_2014_Total_Cost_Imp_1">'Import kosten 2012-2015'!$N$43</definedName>
    <definedName name="enexis_2014_Total_Cost_Imp_10">'Import kosten 2012-2015'!$N$90</definedName>
    <definedName name="enexis_2014_Total_Cost_Imp_11">'Import kosten 2012-2015'!$N$91</definedName>
    <definedName name="enexis_2014_Total_Cost_Imp_12">'Import kosten 2012-2015'!$N$118</definedName>
    <definedName name="enexis_2014_Total_Cost_Imp_13">'Import kosten 2012-2015'!$N$119</definedName>
    <definedName name="enexis_2014_Total_Cost_Imp_14">'Import kosten 2012-2015'!$N$120</definedName>
    <definedName name="enexis_2014_Total_Cost_Imp_15">'Import kosten 2012-2015'!$N$122</definedName>
    <definedName name="enexis_2014_Total_Cost_Imp_16">'Import kosten 2012-2015'!$N$123</definedName>
    <definedName name="enexis_2014_Total_Cost_Imp_2">'Import kosten 2012-2015'!$N$44</definedName>
    <definedName name="enexis_2014_Total_Cost_Imp_3">'Import kosten 2012-2015'!$N$45</definedName>
    <definedName name="enexis_2014_Total_Cost_Imp_4">'Import kosten 2012-2015'!$N$47</definedName>
    <definedName name="enexis_2014_Total_Cost_Imp_5">'Import kosten 2012-2015'!$N$48</definedName>
    <definedName name="enexis_2014_Total_Cost_Imp_6">'Import kosten 2012-2015'!$N$53</definedName>
    <definedName name="enexis_2014_Total_Cost_Imp_7">'Import kosten 2012-2015'!$N$54</definedName>
    <definedName name="enexis_2014_Total_Cost_Imp_8">'Import kosten 2012-2015'!$N$87</definedName>
    <definedName name="enexis_2014_Total_Cost_Imp_9">'Import kosten 2012-2015'!$N$88</definedName>
    <definedName name="enexis_2015_Total_Cost_Imp_1">'Import kosten 2012-2015'!$N$60</definedName>
    <definedName name="enexis_2015_Total_Cost_Imp_10">'Import kosten 2012-2015'!$N$101</definedName>
    <definedName name="enexis_2015_Total_Cost_Imp_11">'Import kosten 2012-2015'!$N$127</definedName>
    <definedName name="enexis_2015_Total_Cost_Imp_12">'Import kosten 2012-2015'!$N$128</definedName>
    <definedName name="enexis_2015_Total_Cost_Imp_13">'Import kosten 2012-2015'!$N$129</definedName>
    <definedName name="enexis_2015_Total_Cost_Imp_14">'Import kosten 2012-2015'!$N$131</definedName>
    <definedName name="enexis_2015_Total_Cost_Imp_15">'Import kosten 2012-2015'!$N$132</definedName>
    <definedName name="enexis_2015_Total_Cost_Imp_2">'Import kosten 2012-2015'!$N$61</definedName>
    <definedName name="enexis_2015_Total_Cost_Imp_3">'Import kosten 2012-2015'!$N$62</definedName>
    <definedName name="enexis_2015_Total_Cost_Imp_4">'Import kosten 2012-2015'!$N$64</definedName>
    <definedName name="enexis_2015_Total_Cost_Imp_5">'Import kosten 2012-2015'!$N$65</definedName>
    <definedName name="enexis_2015_Total_Cost_Imp_6">'Import kosten 2012-2015'!$N$70</definedName>
    <definedName name="enexis_2015_Total_Cost_Imp_7">'Import kosten 2012-2015'!$N$97</definedName>
    <definedName name="enexis_2015_Total_Cost_Imp_8">'Import kosten 2012-2015'!$N$98</definedName>
    <definedName name="enexis_2015_Total_Cost_Imp_9">'Import kosten 2012-2015'!$N$100</definedName>
    <definedName name="enexis_BI_AD_2016_SO_Imp">'Import SO en BI'!$N$32</definedName>
    <definedName name="enexis_BI_TD_2016_SO_Imp">'Import SO en BI'!$N$23</definedName>
    <definedName name="enexis_EHD_BI_SO_Imp">'Import SO en BI'!$N$41</definedName>
    <definedName name="enexis_EHD_Out_SO_Imp">'Import SO en BI'!$N$38</definedName>
    <definedName name="enexis_OUT_AD_2016_SO_Imp">'Import SO en BI'!$N$29</definedName>
    <definedName name="enexis_OUT_TD_2016_SO_Imp">'Import SO en BI'!$N$15</definedName>
    <definedName name="enexis_TOT_EAV_2013_SO_Imp">'Import kosten 2012-2015'!$N$83</definedName>
    <definedName name="enexis_TOT_EAV_2014_SO_Imp">'Import kosten 2012-2015'!$N$93</definedName>
    <definedName name="enexis_TOT_EAV_2015_SO_Imp">'Import kosten 2012-2015'!$N$103</definedName>
    <definedName name="liander_2012_Total_Cost_Imp_1">'Import kosten 2012-2015'!$O$17</definedName>
    <definedName name="liander_2012_Total_Cost_Imp_2">'Import kosten 2012-2015'!$O$18</definedName>
    <definedName name="liander_2013_Total_Cost_Imp_1">'Import kosten 2012-2015'!$O$26</definedName>
    <definedName name="liander_2013_Total_Cost_Imp_10">'Import kosten 2012-2015'!$O$80</definedName>
    <definedName name="liander_2013_Total_Cost_Imp_11">'Import kosten 2012-2015'!$O$81</definedName>
    <definedName name="liander_2013_Total_Cost_Imp_12">'Import kosten 2012-2015'!$O$109</definedName>
    <definedName name="liander_2013_Total_Cost_Imp_13">'Import kosten 2012-2015'!$O$110</definedName>
    <definedName name="liander_2013_Total_Cost_Imp_14">'Import kosten 2012-2015'!$O$111</definedName>
    <definedName name="liander_2013_Total_Cost_Imp_15">'Import kosten 2012-2015'!$O$113</definedName>
    <definedName name="liander_2013_Total_Cost_Imp_16">'Import kosten 2012-2015'!$O$114</definedName>
    <definedName name="liander_2013_Total_Cost_Imp_2">'Import kosten 2012-2015'!$O$27</definedName>
    <definedName name="liander_2013_Total_Cost_Imp_3">'Import kosten 2012-2015'!$O$28</definedName>
    <definedName name="liander_2013_Total_Cost_Imp_4">'Import kosten 2012-2015'!$O$30</definedName>
    <definedName name="liander_2013_Total_Cost_Imp_5">'Import kosten 2012-2015'!$O$31</definedName>
    <definedName name="liander_2013_Total_Cost_Imp_6">'Import kosten 2012-2015'!$O$36</definedName>
    <definedName name="liander_2013_Total_Cost_Imp_7">'Import kosten 2012-2015'!$O$37</definedName>
    <definedName name="liander_2013_Total_Cost_Imp_8">'Import kosten 2012-2015'!$O$77</definedName>
    <definedName name="liander_2013_Total_Cost_Imp_9">'Import kosten 2012-2015'!$O$78</definedName>
    <definedName name="liander_2014_Total_Cost_Imp_1">'Import kosten 2012-2015'!$O$43</definedName>
    <definedName name="liander_2014_Total_Cost_Imp_10">'Import kosten 2012-2015'!$O$90</definedName>
    <definedName name="liander_2014_Total_Cost_Imp_11">'Import kosten 2012-2015'!$O$91</definedName>
    <definedName name="liander_2014_Total_Cost_Imp_12">'Import kosten 2012-2015'!$O$118</definedName>
    <definedName name="liander_2014_Total_Cost_Imp_13">'Import kosten 2012-2015'!$O$119</definedName>
    <definedName name="liander_2014_Total_Cost_Imp_14">'Import kosten 2012-2015'!$O$120</definedName>
    <definedName name="liander_2014_Total_Cost_Imp_15">'Import kosten 2012-2015'!$O$122</definedName>
    <definedName name="liander_2014_Total_Cost_Imp_16">'Import kosten 2012-2015'!$O$123</definedName>
    <definedName name="liander_2014_Total_Cost_Imp_2">'Import kosten 2012-2015'!$O$44</definedName>
    <definedName name="liander_2014_Total_Cost_Imp_3">'Import kosten 2012-2015'!$O$45</definedName>
    <definedName name="liander_2014_Total_Cost_Imp_4">'Import kosten 2012-2015'!$O$47</definedName>
    <definedName name="liander_2014_Total_Cost_Imp_5">'Import kosten 2012-2015'!$O$48</definedName>
    <definedName name="liander_2014_Total_Cost_Imp_6">'Import kosten 2012-2015'!$O$53</definedName>
    <definedName name="liander_2014_Total_Cost_Imp_7">'Import kosten 2012-2015'!$O$54</definedName>
    <definedName name="liander_2014_Total_Cost_Imp_8">'Import kosten 2012-2015'!$O$87</definedName>
    <definedName name="liander_2014_Total_Cost_Imp_9">'Import kosten 2012-2015'!$O$88</definedName>
    <definedName name="liander_2015_Total_Cost_Imp_1">'Import kosten 2012-2015'!$O$60</definedName>
    <definedName name="liander_2015_Total_Cost_Imp_10">'Import kosten 2012-2015'!$O$101</definedName>
    <definedName name="liander_2015_Total_Cost_Imp_11">'Import kosten 2012-2015'!$O$127</definedName>
    <definedName name="liander_2015_Total_Cost_Imp_12">'Import kosten 2012-2015'!$O$128</definedName>
    <definedName name="liander_2015_Total_Cost_Imp_13">'Import kosten 2012-2015'!$O$129</definedName>
    <definedName name="liander_2015_Total_Cost_Imp_14">'Import kosten 2012-2015'!$O$131</definedName>
    <definedName name="liander_2015_Total_Cost_Imp_15">'Import kosten 2012-2015'!$O$132</definedName>
    <definedName name="liander_2015_Total_Cost_Imp_2">'Import kosten 2012-2015'!$O$61</definedName>
    <definedName name="liander_2015_Total_Cost_Imp_3">'Import kosten 2012-2015'!$O$62</definedName>
    <definedName name="liander_2015_Total_Cost_Imp_4">'Import kosten 2012-2015'!$O$64</definedName>
    <definedName name="liander_2015_Total_Cost_Imp_5">'Import kosten 2012-2015'!$O$65</definedName>
    <definedName name="liander_2015_Total_Cost_Imp_6">'Import kosten 2012-2015'!$O$70</definedName>
    <definedName name="liander_2015_Total_Cost_Imp_7">'Import kosten 2012-2015'!$O$97</definedName>
    <definedName name="liander_2015_Total_Cost_Imp_8">'Import kosten 2012-2015'!$O$98</definedName>
    <definedName name="liander_2015_Total_Cost_Imp_9">'Import kosten 2012-2015'!$O$100</definedName>
    <definedName name="liander_BI_AD_2016_SO_Imp">'Import SO en BI'!$O$32</definedName>
    <definedName name="liander_BI_TD_2016_SO_Imp">'Import SO en BI'!$O$23</definedName>
    <definedName name="liander_EHD_BI_SO_Imp">'Import SO en BI'!$O$41</definedName>
    <definedName name="liander_EHD_Out_SO_Imp">'Import SO en BI'!$O$38</definedName>
    <definedName name="liander_OUT_AD_2016_SO_Imp">'Import SO en BI'!$O$29</definedName>
    <definedName name="liander_OUT_TD_2016_SO_Imp">'Import SO en BI'!$O$15</definedName>
    <definedName name="liander_TOT_EAV_2013_SO_Imp">'Import kosten 2012-2015'!$O$83</definedName>
    <definedName name="liander_TOT_EAV_2014_SO_Imp">'Import kosten 2012-2015'!$O$93</definedName>
    <definedName name="liander_TOT_EAV_2015_SO_Imp">'Import kosten 2012-2015'!$O$103</definedName>
    <definedName name="Out_TD_2012_SO_Imp">'Import SO en BI'!$J$17</definedName>
    <definedName name="Out_TD_2013_SO_Imp">'Import SO en BI'!$J$18</definedName>
    <definedName name="Out_TD_2014_SO_Imp">'Import SO en BI'!$J$19</definedName>
    <definedName name="Out_TD_2015_SO_Imp">'Import SO en BI'!$J$20</definedName>
    <definedName name="rendo_2012_Total_Cost_Imp_1">'Import kosten 2012-2015'!$P$17</definedName>
    <definedName name="rendo_2012_Total_Cost_Imp_2">'Import kosten 2012-2015'!$P$18</definedName>
    <definedName name="rendo_2013_Total_Cost_Imp_1">'Import kosten 2012-2015'!$P$26</definedName>
    <definedName name="rendo_2013_Total_Cost_Imp_10">'Import kosten 2012-2015'!$P$80</definedName>
    <definedName name="rendo_2013_Total_Cost_Imp_11">'Import kosten 2012-2015'!$P$81</definedName>
    <definedName name="rendo_2013_Total_Cost_Imp_12">'Import kosten 2012-2015'!$P$109</definedName>
    <definedName name="rendo_2013_Total_Cost_Imp_13">'Import kosten 2012-2015'!$P$110</definedName>
    <definedName name="rendo_2013_Total_Cost_Imp_14">'Import kosten 2012-2015'!$P$111</definedName>
    <definedName name="rendo_2013_Total_Cost_Imp_15">'Import kosten 2012-2015'!$P$113</definedName>
    <definedName name="rendo_2013_Total_Cost_Imp_16">'Import kosten 2012-2015'!$P$114</definedName>
    <definedName name="rendo_2013_Total_Cost_Imp_2">'Import kosten 2012-2015'!$P$27</definedName>
    <definedName name="rendo_2013_Total_Cost_Imp_3">'Import kosten 2012-2015'!$P$28</definedName>
    <definedName name="rendo_2013_Total_Cost_Imp_4">'Import kosten 2012-2015'!$P$30</definedName>
    <definedName name="rendo_2013_Total_Cost_Imp_5">'Import kosten 2012-2015'!$P$31</definedName>
    <definedName name="rendo_2013_Total_Cost_Imp_6">'Import kosten 2012-2015'!$P$36</definedName>
    <definedName name="rendo_2013_Total_Cost_Imp_7">'Import kosten 2012-2015'!$P$37</definedName>
    <definedName name="rendo_2013_Total_Cost_Imp_8">'Import kosten 2012-2015'!$P$77</definedName>
    <definedName name="rendo_2013_Total_Cost_Imp_9">'Import kosten 2012-2015'!$P$78</definedName>
    <definedName name="rendo_2014_Total_Cost_Imp_1">'Import kosten 2012-2015'!$P$43</definedName>
    <definedName name="rendo_2014_Total_Cost_Imp_10">'Import kosten 2012-2015'!$P$90</definedName>
    <definedName name="rendo_2014_Total_Cost_Imp_11">'Import kosten 2012-2015'!$P$91</definedName>
    <definedName name="rendo_2014_Total_Cost_Imp_12">'Import kosten 2012-2015'!$P$118</definedName>
    <definedName name="rendo_2014_Total_Cost_Imp_13">'Import kosten 2012-2015'!$P$119</definedName>
    <definedName name="rendo_2014_Total_Cost_Imp_14">'Import kosten 2012-2015'!$P$120</definedName>
    <definedName name="rendo_2014_Total_Cost_Imp_15">'Import kosten 2012-2015'!$P$122</definedName>
    <definedName name="rendo_2014_Total_Cost_Imp_16">'Import kosten 2012-2015'!$P$123</definedName>
    <definedName name="rendo_2014_Total_Cost_Imp_2">'Import kosten 2012-2015'!$P$44</definedName>
    <definedName name="rendo_2014_Total_Cost_Imp_3">'Import kosten 2012-2015'!$P$45</definedName>
    <definedName name="rendo_2014_Total_Cost_Imp_4">'Import kosten 2012-2015'!$P$47</definedName>
    <definedName name="rendo_2014_Total_Cost_Imp_5">'Import kosten 2012-2015'!$P$48</definedName>
    <definedName name="rendo_2014_Total_Cost_Imp_6">'Import kosten 2012-2015'!$P$53</definedName>
    <definedName name="rendo_2014_Total_Cost_Imp_7">'Import kosten 2012-2015'!$P$54</definedName>
    <definedName name="rendo_2014_Total_Cost_Imp_8">'Import kosten 2012-2015'!$P$87</definedName>
    <definedName name="rendo_2014_Total_Cost_Imp_9">'Import kosten 2012-2015'!$P$88</definedName>
    <definedName name="rendo_2015_Total_Cost_Imp_1">'Import kosten 2012-2015'!$P$60</definedName>
    <definedName name="rendo_2015_Total_Cost_Imp_10">'Import kosten 2012-2015'!$P$101</definedName>
    <definedName name="rendo_2015_Total_Cost_Imp_11">'Import kosten 2012-2015'!$P$127</definedName>
    <definedName name="rendo_2015_Total_Cost_Imp_12">'Import kosten 2012-2015'!$P$128</definedName>
    <definedName name="rendo_2015_Total_Cost_Imp_13">'Import kosten 2012-2015'!$P$129</definedName>
    <definedName name="rendo_2015_Total_Cost_Imp_14">'Import kosten 2012-2015'!$P$131</definedName>
    <definedName name="rendo_2015_Total_Cost_Imp_15">'Import kosten 2012-2015'!$P$132</definedName>
    <definedName name="rendo_2015_Total_Cost_Imp_2">'Import kosten 2012-2015'!$P$61</definedName>
    <definedName name="rendo_2015_Total_Cost_Imp_3">'Import kosten 2012-2015'!$P$62</definedName>
    <definedName name="rendo_2015_Total_Cost_Imp_4">'Import kosten 2012-2015'!$P$64</definedName>
    <definedName name="rendo_2015_Total_Cost_Imp_5">'Import kosten 2012-2015'!$P$65</definedName>
    <definedName name="rendo_2015_Total_Cost_Imp_6">'Import kosten 2012-2015'!$P$70</definedName>
    <definedName name="rendo_2015_Total_Cost_Imp_7">'Import kosten 2012-2015'!$P$97</definedName>
    <definedName name="rendo_2015_Total_Cost_Imp_8">'Import kosten 2012-2015'!$P$98</definedName>
    <definedName name="rendo_2015_Total_Cost_Imp_9">'Import kosten 2012-2015'!$P$100</definedName>
    <definedName name="rendo_BI_AD_2016_SO_Imp">'Import SO en BI'!$P$32</definedName>
    <definedName name="rendo_BI_TD_2016_SO_Imp">'Import SO en BI'!$P$23</definedName>
    <definedName name="rendo_OUT_AD_2016_SO_Imp">'Import SO en BI'!$P$29</definedName>
    <definedName name="rendo_OUT_TD_2016_SO_Imp">'Import SO en BI'!$P$15</definedName>
    <definedName name="rendo_TOT_EAV_2013_SO_Imp">'Import kosten 2012-2015'!$P$83</definedName>
    <definedName name="rendo_TOT_EAV_2014_SO_Imp">'Import kosten 2012-2015'!$P$93</definedName>
    <definedName name="rendo_TOT_EAV_2015_SO_Imp">'Import kosten 2012-2015'!$P$103</definedName>
    <definedName name="Savings_2012_Total_Cost_Imp">'Import kosten 2012-2015'!$J$20</definedName>
    <definedName name="Savings_2013_Total_Cost_Imp">'Import kosten 2012-2015'!$J$33</definedName>
    <definedName name="Savings_2014_Total_Cost_Imp">'Import kosten 2012-2015'!$J$50</definedName>
    <definedName name="Savings_2015_Total_Cost_Imp">'Import kosten 2012-2015'!$J$67</definedName>
    <definedName name="stedin_2012_Total_Cost_Imp_1">'Import kosten 2012-2015'!$Q$17</definedName>
    <definedName name="stedin_2012_Total_Cost_Imp_2">'Import kosten 2012-2015'!$Q$18</definedName>
    <definedName name="stedin_2013_Total_Cost_Imp_1">'Import kosten 2012-2015'!$Q$26</definedName>
    <definedName name="stedin_2013_Total_Cost_Imp_10">'Import kosten 2012-2015'!$Q$80</definedName>
    <definedName name="stedin_2013_Total_Cost_Imp_11">'Import kosten 2012-2015'!$Q$81</definedName>
    <definedName name="stedin_2013_Total_Cost_Imp_12">'Import kosten 2012-2015'!$Q$109</definedName>
    <definedName name="stedin_2013_Total_Cost_Imp_13">'Import kosten 2012-2015'!$Q$110</definedName>
    <definedName name="stedin_2013_Total_Cost_Imp_14">'Import kosten 2012-2015'!$Q$111</definedName>
    <definedName name="stedin_2013_Total_Cost_Imp_15">'Import kosten 2012-2015'!$Q$113</definedName>
    <definedName name="stedin_2013_Total_Cost_Imp_16">'Import kosten 2012-2015'!$Q$114</definedName>
    <definedName name="stedin_2013_Total_Cost_Imp_2">'Import kosten 2012-2015'!$Q$27</definedName>
    <definedName name="stedin_2013_Total_Cost_Imp_3">'Import kosten 2012-2015'!$Q$28</definedName>
    <definedName name="stedin_2013_Total_Cost_Imp_4">'Import kosten 2012-2015'!$Q$30</definedName>
    <definedName name="stedin_2013_Total_Cost_Imp_5">'Import kosten 2012-2015'!$Q$31</definedName>
    <definedName name="stedin_2013_Total_Cost_Imp_6">'Import kosten 2012-2015'!$Q$36</definedName>
    <definedName name="stedin_2013_Total_Cost_Imp_7">'Import kosten 2012-2015'!$Q$37</definedName>
    <definedName name="stedin_2013_Total_Cost_Imp_8">'Import kosten 2012-2015'!$Q$77</definedName>
    <definedName name="stedin_2013_Total_Cost_Imp_9">'Import kosten 2012-2015'!$Q$78</definedName>
    <definedName name="stedin_2014_Total_Cost_Imp_1">'Import kosten 2012-2015'!$Q$43</definedName>
    <definedName name="stedin_2014_Total_Cost_Imp_10">'Import kosten 2012-2015'!$Q$90</definedName>
    <definedName name="stedin_2014_Total_Cost_Imp_11">'Import kosten 2012-2015'!$Q$91</definedName>
    <definedName name="stedin_2014_Total_Cost_Imp_12">'Import kosten 2012-2015'!$Q$118</definedName>
    <definedName name="stedin_2014_Total_Cost_Imp_13">'Import kosten 2012-2015'!$Q$119</definedName>
    <definedName name="stedin_2014_Total_Cost_Imp_14">'Import kosten 2012-2015'!$Q$120</definedName>
    <definedName name="stedin_2014_Total_Cost_Imp_15">'Import kosten 2012-2015'!$Q$122</definedName>
    <definedName name="stedin_2014_Total_Cost_Imp_16">'Import kosten 2012-2015'!$Q$123</definedName>
    <definedName name="stedin_2014_Total_Cost_Imp_2">'Import kosten 2012-2015'!$Q$44</definedName>
    <definedName name="stedin_2014_Total_Cost_Imp_3">'Import kosten 2012-2015'!$Q$45</definedName>
    <definedName name="stedin_2014_Total_Cost_Imp_4">'Import kosten 2012-2015'!$Q$47</definedName>
    <definedName name="stedin_2014_Total_Cost_Imp_5">'Import kosten 2012-2015'!$Q$48</definedName>
    <definedName name="stedin_2014_Total_Cost_Imp_6">'Import kosten 2012-2015'!$Q$53</definedName>
    <definedName name="stedin_2014_Total_Cost_Imp_7">'Import kosten 2012-2015'!$Q$54</definedName>
    <definedName name="stedin_2014_Total_Cost_Imp_8">'Import kosten 2012-2015'!$Q$87</definedName>
    <definedName name="stedin_2014_Total_Cost_Imp_9">'Import kosten 2012-2015'!$Q$88</definedName>
    <definedName name="stedin_2015_Total_Cost_Imp_1">'Import kosten 2012-2015'!$Q$60</definedName>
    <definedName name="stedin_2015_Total_Cost_Imp_10">'Import kosten 2012-2015'!$Q$101</definedName>
    <definedName name="stedin_2015_Total_Cost_Imp_11">'Import kosten 2012-2015'!$Q$127</definedName>
    <definedName name="stedin_2015_Total_Cost_Imp_12">'Import kosten 2012-2015'!$Q$128</definedName>
    <definedName name="stedin_2015_Total_Cost_Imp_13">'Import kosten 2012-2015'!$Q$129</definedName>
    <definedName name="stedin_2015_Total_Cost_Imp_14">'Import kosten 2012-2015'!$Q$131</definedName>
    <definedName name="stedin_2015_Total_Cost_Imp_15">'Import kosten 2012-2015'!$Q$132</definedName>
    <definedName name="stedin_2015_Total_Cost_Imp_2">'Import kosten 2012-2015'!$Q$61</definedName>
    <definedName name="stedin_2015_Total_Cost_Imp_3">'Import kosten 2012-2015'!$Q$62</definedName>
    <definedName name="stedin_2015_Total_Cost_Imp_4">'Import kosten 2012-2015'!$Q$64</definedName>
    <definedName name="stedin_2015_Total_Cost_Imp_5">'Import kosten 2012-2015'!$Q$65</definedName>
    <definedName name="stedin_2015_Total_Cost_Imp_6">'Import kosten 2012-2015'!$Q$70</definedName>
    <definedName name="stedin_2015_Total_Cost_Imp_7">'Import kosten 2012-2015'!$Q$97</definedName>
    <definedName name="stedin_2015_Total_Cost_Imp_8">'Import kosten 2012-2015'!$Q$98</definedName>
    <definedName name="stedin_2015_Total_Cost_Imp_9">'Import kosten 2012-2015'!$Q$100</definedName>
    <definedName name="stedin_BI_AD_2016_SO_Imp">'Import SO en BI'!$Q$32</definedName>
    <definedName name="stedin_BI_TD_2016_SO_Imp">'Import SO en BI'!$Q$23</definedName>
    <definedName name="stedin_OUT_AD_2016_SO_Imp">'Import SO en BI'!$Q$29</definedName>
    <definedName name="stedin_OUT_TD_2016_SO_Imp">'Import SO en BI'!$Q$15</definedName>
    <definedName name="stedin_TOT_EAV_2013_SO_Imp">'Import kosten 2012-2015'!$Q$83</definedName>
    <definedName name="stedin_TOT_EAV_2014_SO_Imp">'Import kosten 2012-2015'!$Q$93</definedName>
    <definedName name="stedin_TOT_EAV_2015_SO_Imp">'Import kosten 2012-2015'!$Q$103</definedName>
    <definedName name="westland_2012_Total_Cost_Imp_1">'Import kosten 2012-2015'!$R$17</definedName>
    <definedName name="westland_2012_Total_Cost_Imp_2">'Import kosten 2012-2015'!$R$18</definedName>
    <definedName name="westland_2013_Total_Cost_Imp_1">'Import kosten 2012-2015'!$R$26</definedName>
    <definedName name="westland_2013_Total_Cost_Imp_10">'Import kosten 2012-2015'!$R$80</definedName>
    <definedName name="westland_2013_Total_Cost_Imp_11">'Import kosten 2012-2015'!$R$81</definedName>
    <definedName name="westland_2013_Total_Cost_Imp_12">'Import kosten 2012-2015'!$R$109</definedName>
    <definedName name="westland_2013_Total_Cost_Imp_13">'Import kosten 2012-2015'!$R$110</definedName>
    <definedName name="westland_2013_Total_Cost_Imp_14">'Import kosten 2012-2015'!$R$111</definedName>
    <definedName name="westland_2013_Total_Cost_Imp_15">'Import kosten 2012-2015'!$R$113</definedName>
    <definedName name="westland_2013_Total_Cost_Imp_16">'Import kosten 2012-2015'!$R$114</definedName>
    <definedName name="westland_2013_Total_Cost_Imp_2">'Import kosten 2012-2015'!$R$27</definedName>
    <definedName name="westland_2013_Total_Cost_Imp_3">'Import kosten 2012-2015'!$R$28</definedName>
    <definedName name="westland_2013_Total_Cost_Imp_4">'Import kosten 2012-2015'!$R$30</definedName>
    <definedName name="westland_2013_Total_Cost_Imp_5">'Import kosten 2012-2015'!$R$31</definedName>
    <definedName name="westland_2013_Total_Cost_Imp_6">'Import kosten 2012-2015'!$R$36</definedName>
    <definedName name="westland_2013_Total_Cost_Imp_7">'Import kosten 2012-2015'!$R$37</definedName>
    <definedName name="westland_2013_Total_Cost_Imp_8">'Import kosten 2012-2015'!$R$77</definedName>
    <definedName name="westland_2013_Total_Cost_Imp_9">'Import kosten 2012-2015'!$R$78</definedName>
    <definedName name="westland_2014_Total_Cost_Imp_1">'Import kosten 2012-2015'!$R$43</definedName>
    <definedName name="westland_2014_Total_Cost_Imp_10">'Import kosten 2012-2015'!$R$90</definedName>
    <definedName name="westland_2014_Total_Cost_Imp_11">'Import kosten 2012-2015'!$R$91</definedName>
    <definedName name="westland_2014_Total_Cost_Imp_12">'Import kosten 2012-2015'!$R$118</definedName>
    <definedName name="westland_2014_Total_Cost_Imp_13">'Import kosten 2012-2015'!$R$119</definedName>
    <definedName name="westland_2014_Total_Cost_Imp_14">'Import kosten 2012-2015'!$R$120</definedName>
    <definedName name="westland_2014_Total_Cost_Imp_15">'Import kosten 2012-2015'!$R$122</definedName>
    <definedName name="westland_2014_Total_Cost_Imp_16">'Import kosten 2012-2015'!$R$123</definedName>
    <definedName name="westland_2014_Total_Cost_Imp_2">'Import kosten 2012-2015'!$R$44</definedName>
    <definedName name="westland_2014_Total_Cost_Imp_3">'Import kosten 2012-2015'!$R$45</definedName>
    <definedName name="westland_2014_Total_Cost_Imp_4">'Import kosten 2012-2015'!$R$47</definedName>
    <definedName name="westland_2014_Total_Cost_Imp_5">'Import kosten 2012-2015'!$R$48</definedName>
    <definedName name="westland_2014_Total_Cost_Imp_6">'Import kosten 2012-2015'!$R$53</definedName>
    <definedName name="westland_2014_Total_Cost_Imp_7">'Import kosten 2012-2015'!$R$54</definedName>
    <definedName name="westland_2014_Total_Cost_Imp_8">'Import kosten 2012-2015'!$R$87</definedName>
    <definedName name="westland_2014_Total_Cost_Imp_9">'Import kosten 2012-2015'!$R$88</definedName>
    <definedName name="westland_2015_Total_Cost_Imp_1">'Import kosten 2012-2015'!$R$60</definedName>
    <definedName name="westland_2015_Total_Cost_Imp_10">'Import kosten 2012-2015'!$R$101</definedName>
    <definedName name="westland_2015_Total_Cost_Imp_11">'Import kosten 2012-2015'!$R$127</definedName>
    <definedName name="westland_2015_Total_Cost_Imp_12">'Import kosten 2012-2015'!$R$128</definedName>
    <definedName name="westland_2015_Total_Cost_Imp_13">'Import kosten 2012-2015'!$R$129</definedName>
    <definedName name="westland_2015_Total_Cost_Imp_14">'Import kosten 2012-2015'!$R$131</definedName>
    <definedName name="westland_2015_Total_Cost_Imp_15">'Import kosten 2012-2015'!$R$132</definedName>
    <definedName name="westland_2015_Total_Cost_Imp_2">'Import kosten 2012-2015'!$R$61</definedName>
    <definedName name="westland_2015_Total_Cost_Imp_3">'Import kosten 2012-2015'!$R$62</definedName>
    <definedName name="westland_2015_Total_Cost_Imp_4">'Import kosten 2012-2015'!$R$64</definedName>
    <definedName name="westland_2015_Total_Cost_Imp_5">'Import kosten 2012-2015'!$R$65</definedName>
    <definedName name="westland_2015_Total_Cost_Imp_6">'Import kosten 2012-2015'!$R$70</definedName>
    <definedName name="westland_2015_Total_Cost_Imp_7">'Import kosten 2012-2015'!$R$97</definedName>
    <definedName name="westland_2015_Total_Cost_Imp_8">'Import kosten 2012-2015'!$R$98</definedName>
    <definedName name="westland_2015_Total_Cost_Imp_9">'Import kosten 2012-2015'!$R$100</definedName>
    <definedName name="westland_BI_AD_2016_SO_Imp">'Import SO en BI'!$R$32</definedName>
    <definedName name="westland_BI_TD_2016_SO_Imp">'Import SO en BI'!$R$23</definedName>
    <definedName name="westland_OUT_AD_2016_SO_Imp">'Import SO en BI'!$R$29</definedName>
    <definedName name="westland_OUT_TD_2016_SO_Imp">'Import SO en BI'!$R$15</definedName>
    <definedName name="westland_TOT_EAV_2013_SO_Imp">'Import kosten 2012-2015'!$R$83</definedName>
    <definedName name="westland_TOT_EAV_2014_SO_Imp">'Import kosten 2012-2015'!$R$93</definedName>
    <definedName name="westland_TOT_EAV_2015_SO_Imp">'Import kosten 2012-2015'!$R$103</definedName>
    <definedName name="zebra_2012_Total_Cost_Imp_1">'Import kosten 2012-2015'!$S$17</definedName>
    <definedName name="zebra_2012_Total_Cost_Imp_2">'Import kosten 2012-2015'!$S$18</definedName>
    <definedName name="zebra_2013_Total_Cost_Imp_1">'Import kosten 2012-2015'!$S$26</definedName>
    <definedName name="zebra_2013_Total_Cost_Imp_10">'Import kosten 2012-2015'!$S$80</definedName>
    <definedName name="zebra_2013_Total_Cost_Imp_11">'Import kosten 2012-2015'!$S$81</definedName>
    <definedName name="zebra_2013_Total_Cost_Imp_12">'Import kosten 2012-2015'!$S$109</definedName>
    <definedName name="zebra_2013_Total_Cost_Imp_13">'Import kosten 2012-2015'!$S$110</definedName>
    <definedName name="zebra_2013_Total_Cost_Imp_14">'Import kosten 2012-2015'!$S$111</definedName>
    <definedName name="zebra_2013_Total_Cost_Imp_15">'Import kosten 2012-2015'!$S$113</definedName>
    <definedName name="zebra_2013_Total_Cost_Imp_16">'Import kosten 2012-2015'!$S$114</definedName>
    <definedName name="zebra_2013_Total_Cost_Imp_2">'Import kosten 2012-2015'!$S$27</definedName>
    <definedName name="zebra_2013_Total_Cost_Imp_3">'Import kosten 2012-2015'!$S$28</definedName>
    <definedName name="zebra_2013_Total_Cost_Imp_4">'Import kosten 2012-2015'!$S$30</definedName>
    <definedName name="zebra_2013_Total_Cost_Imp_5">'Import kosten 2012-2015'!$S$31</definedName>
    <definedName name="zebra_2013_Total_Cost_Imp_6">'Import kosten 2012-2015'!$S$36</definedName>
    <definedName name="zebra_2013_Total_Cost_Imp_7">'Import kosten 2012-2015'!$S$37</definedName>
    <definedName name="zebra_2013_Total_Cost_Imp_8">'Import kosten 2012-2015'!$S$77</definedName>
    <definedName name="zebra_2013_Total_Cost_Imp_9">'Import kosten 2012-2015'!$S$78</definedName>
    <definedName name="zebra_2014_Total_Cost_Imp_1">'Import kosten 2012-2015'!$S$43</definedName>
    <definedName name="zebra_2014_Total_Cost_Imp_10">'Import kosten 2012-2015'!$S$90</definedName>
    <definedName name="zebra_2014_Total_Cost_Imp_11">'Import kosten 2012-2015'!$S$91</definedName>
    <definedName name="zebra_2014_Total_Cost_Imp_12">'Import kosten 2012-2015'!$S$118</definedName>
    <definedName name="zebra_2014_Total_Cost_Imp_13">'Import kosten 2012-2015'!$S$119</definedName>
    <definedName name="zebra_2014_Total_Cost_Imp_14">'Import kosten 2012-2015'!$S$120</definedName>
    <definedName name="zebra_2014_Total_Cost_Imp_15">'Import kosten 2012-2015'!$S$122</definedName>
    <definedName name="zebra_2014_Total_Cost_Imp_16">'Import kosten 2012-2015'!$S$123</definedName>
    <definedName name="zebra_2014_Total_Cost_Imp_2">'Import kosten 2012-2015'!$S$44</definedName>
    <definedName name="zebra_2014_Total_Cost_Imp_3">'Import kosten 2012-2015'!$S$45</definedName>
    <definedName name="zebra_2014_Total_Cost_Imp_4">'Import kosten 2012-2015'!$S$47</definedName>
    <definedName name="zebra_2014_Total_Cost_Imp_5">'Import kosten 2012-2015'!$S$48</definedName>
    <definedName name="zebra_2014_Total_Cost_Imp_6">'Import kosten 2012-2015'!$S$53</definedName>
    <definedName name="zebra_2014_Total_Cost_Imp_7">'Import kosten 2012-2015'!$S$54</definedName>
    <definedName name="zebra_2014_Total_Cost_Imp_8">'Import kosten 2012-2015'!$S$87</definedName>
    <definedName name="zebra_2014_Total_Cost_Imp_9">'Import kosten 2012-2015'!$S$88</definedName>
    <definedName name="zebra_2015_Total_Cost_Imp_1">'Import kosten 2012-2015'!$S$60</definedName>
    <definedName name="zebra_2015_Total_Cost_Imp_10">'Import kosten 2012-2015'!$S$101</definedName>
    <definedName name="zebra_2015_Total_Cost_Imp_11">'Import kosten 2012-2015'!$S$127</definedName>
    <definedName name="zebra_2015_Total_Cost_Imp_12">'Import kosten 2012-2015'!$S$128</definedName>
    <definedName name="zebra_2015_Total_Cost_Imp_13">'Import kosten 2012-2015'!$S$129</definedName>
    <definedName name="zebra_2015_Total_Cost_Imp_14">'Import kosten 2012-2015'!$S$131</definedName>
    <definedName name="zebra_2015_Total_Cost_Imp_15">'Import kosten 2012-2015'!$S$132</definedName>
    <definedName name="zebra_2015_Total_Cost_Imp_2">'Import kosten 2012-2015'!$S$61</definedName>
    <definedName name="zebra_2015_Total_Cost_Imp_3">'Import kosten 2012-2015'!$S$62</definedName>
    <definedName name="zebra_2015_Total_Cost_Imp_4">'Import kosten 2012-2015'!$S$64</definedName>
    <definedName name="zebra_2015_Total_Cost_Imp_5">'Import kosten 2012-2015'!$S$65</definedName>
    <definedName name="zebra_2015_Total_Cost_Imp_6">'Import kosten 2012-2015'!$S$70</definedName>
    <definedName name="zebra_2015_Total_Cost_Imp_7">'Import kosten 2012-2015'!$S$97</definedName>
    <definedName name="zebra_2015_Total_Cost_Imp_8">'Import kosten 2012-2015'!$S$98</definedName>
    <definedName name="zebra_2015_Total_Cost_Imp_9">'Import kosten 2012-2015'!$S$100</definedName>
    <definedName name="zebra_EHD_BI_SO_Imp">'Import SO en BI'!$S$41</definedName>
    <definedName name="zebra_EHD_Out_SO_Imp">'Import SO en BI'!$S$38</definedName>
    <definedName name="zebra_TOT_EAV_2013_SO_Imp">'Import kosten 2012-2015'!$S$83</definedName>
    <definedName name="zebra_TOT_EAV_2014_SO_Imp">'Import kosten 2012-2015'!$S$93</definedName>
    <definedName name="zebra_TOT_EAV_2015_SO_Imp">'Import kosten 2012-2015'!$S$103</definedName>
  </definedNames>
  <calcPr calcId="145621"/>
</workbook>
</file>

<file path=xl/calcChain.xml><?xml version="1.0" encoding="utf-8"?>
<calcChain xmlns="http://schemas.openxmlformats.org/spreadsheetml/2006/main">
  <c r="M115" i="21" l="1"/>
  <c r="L114" i="7"/>
  <c r="L30" i="18" l="1"/>
  <c r="J53" i="14"/>
  <c r="J51" i="14"/>
  <c r="G20" i="26" l="1"/>
  <c r="G19" i="26"/>
  <c r="G18" i="26" l="1"/>
  <c r="G17" i="26"/>
  <c r="J30" i="14" l="1"/>
  <c r="J48" i="14"/>
  <c r="J47" i="14"/>
  <c r="J46" i="14"/>
  <c r="J45" i="14"/>
  <c r="J14" i="24" l="1"/>
  <c r="O14" i="2" l="1"/>
  <c r="O13" i="3"/>
  <c r="O115" i="21"/>
  <c r="O15" i="21"/>
  <c r="O16" i="21"/>
  <c r="O17" i="21"/>
  <c r="O19" i="21"/>
  <c r="O20" i="21"/>
  <c r="O26" i="21"/>
  <c r="O27" i="21"/>
  <c r="O28" i="21"/>
  <c r="O30" i="21"/>
  <c r="O31" i="21"/>
  <c r="O37" i="21"/>
  <c r="O38" i="21"/>
  <c r="O39" i="21"/>
  <c r="O41" i="21"/>
  <c r="O42" i="21"/>
  <c r="S14" i="2" l="1"/>
  <c r="S15" i="2" s="1"/>
  <c r="O23" i="26" s="1"/>
  <c r="S13" i="3"/>
  <c r="S14" i="3" s="1"/>
  <c r="S115" i="21"/>
  <c r="S15" i="21"/>
  <c r="S16" i="21"/>
  <c r="S17" i="21"/>
  <c r="S19" i="21"/>
  <c r="S20" i="21"/>
  <c r="S26" i="21"/>
  <c r="S27" i="21"/>
  <c r="S28" i="21"/>
  <c r="S30" i="21"/>
  <c r="S31" i="21"/>
  <c r="S37" i="21"/>
  <c r="S38" i="21"/>
  <c r="S39" i="21"/>
  <c r="S41" i="21"/>
  <c r="S42" i="21"/>
  <c r="J41" i="17"/>
  <c r="J38" i="17"/>
  <c r="J132" i="8"/>
  <c r="J131" i="8"/>
  <c r="J129" i="8"/>
  <c r="J128" i="8"/>
  <c r="J127" i="8"/>
  <c r="J123" i="8"/>
  <c r="J122" i="8"/>
  <c r="J120" i="8"/>
  <c r="J119" i="8"/>
  <c r="J118" i="8"/>
  <c r="J114" i="8"/>
  <c r="J113" i="8"/>
  <c r="J111" i="8"/>
  <c r="J110" i="8"/>
  <c r="J109" i="8"/>
  <c r="J46" i="7"/>
  <c r="J34" i="7"/>
  <c r="J22" i="7"/>
  <c r="J16" i="24"/>
  <c r="J13" i="24"/>
  <c r="L35" i="14"/>
  <c r="L36" i="14"/>
  <c r="L37" i="14"/>
  <c r="L38" i="14"/>
  <c r="L39" i="14"/>
  <c r="J32" i="23"/>
  <c r="M14" i="2"/>
  <c r="N14" i="2"/>
  <c r="M13" i="2"/>
  <c r="N13" i="2"/>
  <c r="O13" i="2"/>
  <c r="P13" i="2"/>
  <c r="Q13" i="2"/>
  <c r="R13" i="2"/>
  <c r="L13" i="2"/>
  <c r="N13" i="3"/>
  <c r="M13" i="3"/>
  <c r="R12" i="3"/>
  <c r="Q12" i="3"/>
  <c r="P12" i="3"/>
  <c r="O12" i="3"/>
  <c r="N12" i="3"/>
  <c r="M12" i="3"/>
  <c r="L12" i="3"/>
  <c r="L11" i="3"/>
  <c r="M11" i="3"/>
  <c r="N11" i="3"/>
  <c r="O11" i="3"/>
  <c r="P11" i="3"/>
  <c r="Q11" i="3"/>
  <c r="R11" i="3"/>
  <c r="N115" i="21"/>
  <c r="M42" i="21"/>
  <c r="N42" i="21"/>
  <c r="M41" i="21"/>
  <c r="N41" i="21"/>
  <c r="M38" i="21"/>
  <c r="N38" i="21"/>
  <c r="M39" i="21"/>
  <c r="J39" i="21" s="1"/>
  <c r="N39" i="21"/>
  <c r="M37" i="21"/>
  <c r="N37" i="21"/>
  <c r="M31" i="21"/>
  <c r="N31" i="21"/>
  <c r="M30" i="21"/>
  <c r="J30" i="21" s="1"/>
  <c r="N30" i="21"/>
  <c r="M27" i="21"/>
  <c r="N27" i="21"/>
  <c r="M28" i="21"/>
  <c r="M71" i="21" s="1"/>
  <c r="N28" i="21"/>
  <c r="M26" i="21"/>
  <c r="N26" i="21"/>
  <c r="M20" i="21"/>
  <c r="N20" i="21"/>
  <c r="M19" i="21"/>
  <c r="N19" i="21"/>
  <c r="M16" i="21"/>
  <c r="N16" i="21"/>
  <c r="M17" i="21"/>
  <c r="M60" i="21" s="1"/>
  <c r="N17" i="21"/>
  <c r="M15" i="21"/>
  <c r="N15" i="21"/>
  <c r="M119" i="20"/>
  <c r="N119" i="20"/>
  <c r="O119" i="20"/>
  <c r="P119" i="20"/>
  <c r="Q119" i="20"/>
  <c r="R119" i="20"/>
  <c r="L119" i="20"/>
  <c r="M43" i="20"/>
  <c r="N43" i="20"/>
  <c r="O43" i="20"/>
  <c r="P43" i="20"/>
  <c r="Q43" i="20"/>
  <c r="R43" i="20"/>
  <c r="L43" i="20"/>
  <c r="L41" i="20"/>
  <c r="M41" i="20"/>
  <c r="N41" i="20"/>
  <c r="O41" i="20"/>
  <c r="P41" i="20"/>
  <c r="Q41" i="20"/>
  <c r="R41" i="20"/>
  <c r="M40" i="20"/>
  <c r="N40" i="20"/>
  <c r="O40" i="20"/>
  <c r="P40" i="20"/>
  <c r="Q40" i="20"/>
  <c r="R40" i="20"/>
  <c r="L40" i="20"/>
  <c r="L38" i="20"/>
  <c r="L81" i="20" s="1"/>
  <c r="M38" i="20"/>
  <c r="M81" i="20" s="1"/>
  <c r="N38" i="20"/>
  <c r="N81" i="20" s="1"/>
  <c r="O38" i="20"/>
  <c r="P38" i="20"/>
  <c r="P81" i="20" s="1"/>
  <c r="Q38" i="20"/>
  <c r="Q81" i="20" s="1"/>
  <c r="R38" i="20"/>
  <c r="M37" i="20"/>
  <c r="N37" i="20"/>
  <c r="O37" i="20"/>
  <c r="P37" i="20"/>
  <c r="Q37" i="20"/>
  <c r="R37" i="20"/>
  <c r="L37" i="20"/>
  <c r="M32" i="20"/>
  <c r="N32" i="20"/>
  <c r="O32" i="20"/>
  <c r="P32" i="20"/>
  <c r="Q32" i="20"/>
  <c r="R32" i="20"/>
  <c r="L32" i="20"/>
  <c r="L30" i="20"/>
  <c r="M30" i="20"/>
  <c r="N30" i="20"/>
  <c r="O30" i="20"/>
  <c r="P30" i="20"/>
  <c r="Q30" i="20"/>
  <c r="R30" i="20"/>
  <c r="M29" i="20"/>
  <c r="N29" i="20"/>
  <c r="O29" i="20"/>
  <c r="P29" i="20"/>
  <c r="Q29" i="20"/>
  <c r="R29" i="20"/>
  <c r="L29" i="20"/>
  <c r="L27" i="20"/>
  <c r="L70" i="20" s="1"/>
  <c r="M27" i="20"/>
  <c r="M70" i="20" s="1"/>
  <c r="N27" i="20"/>
  <c r="N70" i="20" s="1"/>
  <c r="O27" i="20"/>
  <c r="P27" i="20"/>
  <c r="Q27" i="20"/>
  <c r="R27" i="20"/>
  <c r="R70" i="20" s="1"/>
  <c r="M26" i="20"/>
  <c r="N26" i="20"/>
  <c r="O26" i="20"/>
  <c r="P26" i="20"/>
  <c r="Q26" i="20"/>
  <c r="R26" i="20"/>
  <c r="L26" i="20"/>
  <c r="M21" i="20"/>
  <c r="N21" i="20"/>
  <c r="O21" i="20"/>
  <c r="P21" i="20"/>
  <c r="Q21" i="20"/>
  <c r="R21" i="20"/>
  <c r="L21" i="20"/>
  <c r="L19" i="20"/>
  <c r="M19" i="20"/>
  <c r="N19" i="20"/>
  <c r="O19" i="20"/>
  <c r="P19" i="20"/>
  <c r="Q19" i="20"/>
  <c r="R19" i="20"/>
  <c r="M18" i="20"/>
  <c r="N18" i="20"/>
  <c r="O18" i="20"/>
  <c r="P18" i="20"/>
  <c r="Q18" i="20"/>
  <c r="R18" i="20"/>
  <c r="L18" i="20"/>
  <c r="L16" i="20"/>
  <c r="M16" i="20"/>
  <c r="N16" i="20"/>
  <c r="N59" i="20" s="1"/>
  <c r="O16" i="20"/>
  <c r="P16" i="20"/>
  <c r="P59" i="20" s="1"/>
  <c r="Q16" i="20"/>
  <c r="Q59" i="20" s="1"/>
  <c r="R16" i="20"/>
  <c r="R59" i="20" s="1"/>
  <c r="M15" i="20"/>
  <c r="N15" i="20"/>
  <c r="O15" i="20"/>
  <c r="P15" i="20"/>
  <c r="Q15" i="20"/>
  <c r="R15" i="20"/>
  <c r="L15" i="20"/>
  <c r="J32" i="17"/>
  <c r="J29" i="17"/>
  <c r="J103" i="8"/>
  <c r="J101" i="8"/>
  <c r="J100" i="8"/>
  <c r="J98" i="8"/>
  <c r="J97" i="8"/>
  <c r="J93" i="8"/>
  <c r="J91" i="8"/>
  <c r="J90" i="8"/>
  <c r="J88" i="8"/>
  <c r="J87" i="8"/>
  <c r="J83" i="8"/>
  <c r="J81" i="8"/>
  <c r="J80" i="8"/>
  <c r="J78" i="8"/>
  <c r="J77" i="8"/>
  <c r="L12" i="2"/>
  <c r="L40" i="7"/>
  <c r="L83" i="7" s="1"/>
  <c r="M40" i="7"/>
  <c r="N40" i="7"/>
  <c r="O40" i="7"/>
  <c r="O83" i="7" s="1"/>
  <c r="P40" i="7"/>
  <c r="P83" i="7" s="1"/>
  <c r="Q40" i="7"/>
  <c r="Q83" i="7" s="1"/>
  <c r="R40" i="7"/>
  <c r="R83" i="7" s="1"/>
  <c r="L41" i="7"/>
  <c r="L84" i="7" s="1"/>
  <c r="M41" i="7"/>
  <c r="M84" i="7" s="1"/>
  <c r="N41" i="7"/>
  <c r="N84" i="7" s="1"/>
  <c r="O41" i="7"/>
  <c r="P41" i="7"/>
  <c r="Q41" i="7"/>
  <c r="Q84" i="7" s="1"/>
  <c r="R41" i="7"/>
  <c r="M39" i="7"/>
  <c r="N39" i="7"/>
  <c r="O39" i="7"/>
  <c r="P39" i="7"/>
  <c r="Q39" i="7"/>
  <c r="R39" i="7"/>
  <c r="L39" i="7"/>
  <c r="L32" i="7"/>
  <c r="M32" i="7"/>
  <c r="N32" i="7"/>
  <c r="O32" i="7"/>
  <c r="P32" i="7"/>
  <c r="Q32" i="7"/>
  <c r="R32" i="7"/>
  <c r="M31" i="7"/>
  <c r="N31" i="7"/>
  <c r="O31" i="7"/>
  <c r="P31" i="7"/>
  <c r="Q31" i="7"/>
  <c r="R31" i="7"/>
  <c r="L31" i="7"/>
  <c r="L28" i="7"/>
  <c r="L73" i="7" s="1"/>
  <c r="M28" i="7"/>
  <c r="N28" i="7"/>
  <c r="N73" i="7" s="1"/>
  <c r="O28" i="7"/>
  <c r="O73" i="7" s="1"/>
  <c r="P28" i="7"/>
  <c r="Q28" i="7"/>
  <c r="Q73" i="7" s="1"/>
  <c r="R28" i="7"/>
  <c r="R73" i="7" s="1"/>
  <c r="L29" i="7"/>
  <c r="L74" i="7" s="1"/>
  <c r="M29" i="7"/>
  <c r="N29" i="7"/>
  <c r="O29" i="7"/>
  <c r="P29" i="7"/>
  <c r="P74" i="7" s="1"/>
  <c r="Q29" i="7"/>
  <c r="R29" i="7"/>
  <c r="R74" i="7" s="1"/>
  <c r="M27" i="7"/>
  <c r="N27" i="7"/>
  <c r="O27" i="7"/>
  <c r="P27" i="7"/>
  <c r="Q27" i="7"/>
  <c r="R27" i="7"/>
  <c r="L27" i="7"/>
  <c r="M114" i="7"/>
  <c r="N114" i="7"/>
  <c r="O114" i="7"/>
  <c r="P114" i="7"/>
  <c r="Q114" i="7"/>
  <c r="R114" i="7"/>
  <c r="M12" i="2"/>
  <c r="N12" i="2"/>
  <c r="O12" i="2"/>
  <c r="P12" i="2"/>
  <c r="P15" i="2" s="1"/>
  <c r="L23" i="26" s="1"/>
  <c r="Q12" i="2"/>
  <c r="R12" i="2"/>
  <c r="O30" i="18"/>
  <c r="N30" i="18"/>
  <c r="M30" i="18"/>
  <c r="J23" i="17"/>
  <c r="J15" i="17"/>
  <c r="L44" i="7"/>
  <c r="M44" i="7"/>
  <c r="N44" i="7"/>
  <c r="O44" i="7"/>
  <c r="P44" i="7"/>
  <c r="Q44" i="7"/>
  <c r="R44" i="7"/>
  <c r="M43" i="7"/>
  <c r="N43" i="7"/>
  <c r="O43" i="7"/>
  <c r="P43" i="7"/>
  <c r="Q43" i="7"/>
  <c r="R43" i="7"/>
  <c r="L43" i="7"/>
  <c r="L20" i="7"/>
  <c r="M20" i="7"/>
  <c r="N20" i="7"/>
  <c r="O20" i="7"/>
  <c r="P20" i="7"/>
  <c r="Q20" i="7"/>
  <c r="R20" i="7"/>
  <c r="M19" i="7"/>
  <c r="N19" i="7"/>
  <c r="O19" i="7"/>
  <c r="P19" i="7"/>
  <c r="Q19" i="7"/>
  <c r="R19" i="7"/>
  <c r="L19" i="7"/>
  <c r="L16" i="7"/>
  <c r="L62" i="7" s="1"/>
  <c r="M16" i="7"/>
  <c r="M62" i="7" s="1"/>
  <c r="N16" i="7"/>
  <c r="N62" i="7" s="1"/>
  <c r="O16" i="7"/>
  <c r="O62" i="7" s="1"/>
  <c r="P16" i="7"/>
  <c r="Q16" i="7"/>
  <c r="Q62" i="7" s="1"/>
  <c r="R16" i="7"/>
  <c r="L17" i="7"/>
  <c r="L63" i="7" s="1"/>
  <c r="M17" i="7"/>
  <c r="N17" i="7"/>
  <c r="N63" i="7" s="1"/>
  <c r="O17" i="7"/>
  <c r="O63" i="7" s="1"/>
  <c r="P17" i="7"/>
  <c r="P63" i="7" s="1"/>
  <c r="Q17" i="7"/>
  <c r="R17" i="7"/>
  <c r="R63" i="7" s="1"/>
  <c r="M15" i="7"/>
  <c r="N15" i="7"/>
  <c r="O15" i="7"/>
  <c r="P15" i="7"/>
  <c r="Q15" i="7"/>
  <c r="R15" i="7"/>
  <c r="L15" i="7"/>
  <c r="J18" i="8"/>
  <c r="L23" i="18" s="1"/>
  <c r="J70" i="8"/>
  <c r="O25" i="18" s="1"/>
  <c r="J65" i="8"/>
  <c r="J64" i="8"/>
  <c r="J54" i="8"/>
  <c r="N25" i="18" s="1"/>
  <c r="J53" i="8"/>
  <c r="N24" i="18" s="1"/>
  <c r="J48" i="8"/>
  <c r="J47" i="8"/>
  <c r="J37" i="8"/>
  <c r="M24" i="18" s="1"/>
  <c r="J36" i="8"/>
  <c r="M23" i="18" s="1"/>
  <c r="J31" i="8"/>
  <c r="J30" i="8"/>
  <c r="P39" i="14"/>
  <c r="J56" i="7"/>
  <c r="O38" i="14"/>
  <c r="O39" i="14"/>
  <c r="N37" i="14"/>
  <c r="N38" i="14"/>
  <c r="N39" i="14"/>
  <c r="M36" i="14"/>
  <c r="M37" i="14"/>
  <c r="M38" i="14"/>
  <c r="M39" i="14"/>
  <c r="J34" i="23"/>
  <c r="J51" i="20"/>
  <c r="J51" i="21"/>
  <c r="M14" i="18"/>
  <c r="J54" i="7"/>
  <c r="J35" i="23"/>
  <c r="J52" i="21"/>
  <c r="J52" i="20"/>
  <c r="N14" i="18"/>
  <c r="J33" i="23"/>
  <c r="L14" i="18"/>
  <c r="J36" i="23"/>
  <c r="J53" i="20"/>
  <c r="J53" i="21"/>
  <c r="O14" i="18"/>
  <c r="J55" i="7"/>
  <c r="J19" i="2"/>
  <c r="L41" i="18"/>
  <c r="L42" i="18"/>
  <c r="L43" i="18"/>
  <c r="L44" i="18"/>
  <c r="L45" i="18"/>
  <c r="L46" i="18"/>
  <c r="L47" i="18"/>
  <c r="J62" i="8"/>
  <c r="J61" i="8"/>
  <c r="J60" i="8"/>
  <c r="O22" i="18" s="1"/>
  <c r="J45" i="8"/>
  <c r="J44" i="8"/>
  <c r="J43" i="8"/>
  <c r="N22" i="18" s="1"/>
  <c r="J28" i="8"/>
  <c r="J27" i="8"/>
  <c r="J26" i="8"/>
  <c r="M22" i="18" s="1"/>
  <c r="J17" i="8"/>
  <c r="L22" i="18" s="1"/>
  <c r="D36" i="2"/>
  <c r="D37" i="2"/>
  <c r="D67" i="2"/>
  <c r="D66" i="2"/>
  <c r="D81" i="2"/>
  <c r="D51" i="2"/>
  <c r="D52" i="2"/>
  <c r="Q70" i="20"/>
  <c r="Q74" i="7"/>
  <c r="M83" i="7"/>
  <c r="M63" i="7"/>
  <c r="O84" i="7"/>
  <c r="O74" i="7"/>
  <c r="M74" i="7"/>
  <c r="O59" i="20"/>
  <c r="M59" i="20"/>
  <c r="L59" i="20"/>
  <c r="S59" i="21"/>
  <c r="S70" i="21"/>
  <c r="J14" i="2"/>
  <c r="J115" i="21" l="1"/>
  <c r="J20" i="21"/>
  <c r="R81" i="20"/>
  <c r="R110" i="20" s="1"/>
  <c r="R123" i="20" s="1"/>
  <c r="J13" i="3"/>
  <c r="Q14" i="3"/>
  <c r="M73" i="7"/>
  <c r="M108" i="7" s="1"/>
  <c r="M118" i="7" s="1"/>
  <c r="P14" i="3"/>
  <c r="O14" i="3"/>
  <c r="N15" i="2"/>
  <c r="J23" i="26" s="1"/>
  <c r="J41" i="21"/>
  <c r="J37" i="21"/>
  <c r="O29" i="18"/>
  <c r="O95" i="7"/>
  <c r="O23" i="2" s="1"/>
  <c r="O45" i="2" s="1"/>
  <c r="N94" i="20"/>
  <c r="N27" i="2" s="1"/>
  <c r="N60" i="2" s="1"/>
  <c r="M95" i="7"/>
  <c r="M23" i="2" s="1"/>
  <c r="M45" i="2" s="1"/>
  <c r="L95" i="7"/>
  <c r="N29" i="18"/>
  <c r="N28" i="18"/>
  <c r="L94" i="20"/>
  <c r="J59" i="20"/>
  <c r="L108" i="7"/>
  <c r="M28" i="18"/>
  <c r="M27" i="18"/>
  <c r="L27" i="18"/>
  <c r="L15" i="2"/>
  <c r="H23" i="26" s="1"/>
  <c r="L14" i="3"/>
  <c r="J31" i="21"/>
  <c r="J28" i="21"/>
  <c r="J42" i="21"/>
  <c r="J26" i="21"/>
  <c r="J19" i="21"/>
  <c r="J17" i="21"/>
  <c r="J43" i="20"/>
  <c r="R15" i="2"/>
  <c r="N23" i="26" s="1"/>
  <c r="R14" i="3"/>
  <c r="J41" i="20"/>
  <c r="J15" i="20"/>
  <c r="J40" i="20"/>
  <c r="J18" i="20"/>
  <c r="J32" i="20"/>
  <c r="Q110" i="20"/>
  <c r="Q123" i="20" s="1"/>
  <c r="J16" i="20"/>
  <c r="J30" i="20"/>
  <c r="M94" i="20"/>
  <c r="M27" i="2" s="1"/>
  <c r="M60" i="2" s="1"/>
  <c r="J29" i="7"/>
  <c r="L110" i="20"/>
  <c r="J21" i="20"/>
  <c r="N14" i="3"/>
  <c r="Q15" i="2"/>
  <c r="M23" i="26" s="1"/>
  <c r="O15" i="2"/>
  <c r="K23" i="26" s="1"/>
  <c r="J12" i="3"/>
  <c r="P73" i="7"/>
  <c r="R84" i="7"/>
  <c r="R95" i="7" s="1"/>
  <c r="P84" i="7"/>
  <c r="O70" i="20"/>
  <c r="Q108" i="7"/>
  <c r="Q118" i="7" s="1"/>
  <c r="N82" i="21"/>
  <c r="O81" i="21"/>
  <c r="O82" i="21"/>
  <c r="M70" i="21"/>
  <c r="O70" i="21"/>
  <c r="O71" i="21"/>
  <c r="N60" i="21"/>
  <c r="O59" i="21"/>
  <c r="O60" i="21"/>
  <c r="Q63" i="7"/>
  <c r="R62" i="7"/>
  <c r="R108" i="7" s="1"/>
  <c r="R118" i="7" s="1"/>
  <c r="P62" i="7"/>
  <c r="N74" i="7"/>
  <c r="N83" i="7"/>
  <c r="N108" i="7" s="1"/>
  <c r="N118" i="7" s="1"/>
  <c r="P70" i="20"/>
  <c r="P94" i="20" s="1"/>
  <c r="P27" i="2" s="1"/>
  <c r="P60" i="2" s="1"/>
  <c r="O81" i="20"/>
  <c r="N59" i="21"/>
  <c r="M15" i="2"/>
  <c r="I23" i="26" s="1"/>
  <c r="J119" i="20"/>
  <c r="J114" i="7"/>
  <c r="J11" i="3"/>
  <c r="J12" i="2"/>
  <c r="J13" i="2"/>
  <c r="M14" i="3"/>
  <c r="J16" i="21"/>
  <c r="J15" i="21"/>
  <c r="J26" i="20"/>
  <c r="Q94" i="20"/>
  <c r="Q27" i="2" s="1"/>
  <c r="Q60" i="2" s="1"/>
  <c r="J40" i="7"/>
  <c r="J32" i="7"/>
  <c r="J28" i="7"/>
  <c r="J29" i="20"/>
  <c r="J27" i="7"/>
  <c r="J19" i="7"/>
  <c r="J15" i="7"/>
  <c r="J38" i="20"/>
  <c r="J37" i="20"/>
  <c r="J44" i="7"/>
  <c r="J43" i="7"/>
  <c r="J41" i="7"/>
  <c r="O108" i="7"/>
  <c r="O118" i="7" s="1"/>
  <c r="J39" i="7"/>
  <c r="J27" i="20"/>
  <c r="J31" i="7"/>
  <c r="J20" i="7"/>
  <c r="J16" i="7"/>
  <c r="N110" i="20"/>
  <c r="N123" i="20" s="1"/>
  <c r="J17" i="7"/>
  <c r="J19" i="20"/>
  <c r="M110" i="20"/>
  <c r="M123" i="20" s="1"/>
  <c r="M59" i="21"/>
  <c r="J27" i="21"/>
  <c r="J38" i="21"/>
  <c r="M82" i="21"/>
  <c r="M94" i="21" s="1"/>
  <c r="S71" i="21"/>
  <c r="S81" i="21"/>
  <c r="S108" i="21" s="1"/>
  <c r="S119" i="21" s="1"/>
  <c r="S82" i="21"/>
  <c r="M81" i="21"/>
  <c r="N81" i="21"/>
  <c r="S60" i="21"/>
  <c r="N71" i="21"/>
  <c r="N70" i="21"/>
  <c r="J60" i="21" l="1"/>
  <c r="J81" i="20"/>
  <c r="R94" i="20"/>
  <c r="R27" i="2" s="1"/>
  <c r="R60" i="2" s="1"/>
  <c r="O110" i="20"/>
  <c r="O123" i="20" s="1"/>
  <c r="J73" i="7"/>
  <c r="G23" i="26"/>
  <c r="K24" i="26" s="1"/>
  <c r="R23" i="2"/>
  <c r="R45" i="2" s="1"/>
  <c r="J62" i="7"/>
  <c r="Q95" i="7"/>
  <c r="Q23" i="2" s="1"/>
  <c r="Q45" i="2" s="1"/>
  <c r="O31" i="18"/>
  <c r="J50" i="18" s="1"/>
  <c r="P95" i="7"/>
  <c r="P23" i="2" s="1"/>
  <c r="P45" i="2" s="1"/>
  <c r="P108" i="7"/>
  <c r="P118" i="7" s="1"/>
  <c r="N95" i="7"/>
  <c r="N23" i="2" s="1"/>
  <c r="N45" i="2" s="1"/>
  <c r="J74" i="7"/>
  <c r="N31" i="18"/>
  <c r="J49" i="18" s="1"/>
  <c r="M31" i="18"/>
  <c r="J48" i="18" s="1"/>
  <c r="L123" i="20"/>
  <c r="L27" i="2"/>
  <c r="L60" i="2" s="1"/>
  <c r="L118" i="7"/>
  <c r="L24" i="26"/>
  <c r="J83" i="7"/>
  <c r="O94" i="21"/>
  <c r="O31" i="2" s="1"/>
  <c r="O75" i="2" s="1"/>
  <c r="N94" i="21"/>
  <c r="N31" i="2" s="1"/>
  <c r="N75" i="2" s="1"/>
  <c r="J59" i="21"/>
  <c r="M108" i="21"/>
  <c r="M119" i="21" s="1"/>
  <c r="J84" i="7"/>
  <c r="J70" i="20"/>
  <c r="P110" i="20"/>
  <c r="P123" i="20" s="1"/>
  <c r="O94" i="20"/>
  <c r="O27" i="2" s="1"/>
  <c r="O60" i="2" s="1"/>
  <c r="J15" i="2"/>
  <c r="J14" i="3"/>
  <c r="O108" i="21"/>
  <c r="O119" i="21" s="1"/>
  <c r="J82" i="21"/>
  <c r="J63" i="7"/>
  <c r="N108" i="21"/>
  <c r="N119" i="21" s="1"/>
  <c r="S94" i="21"/>
  <c r="S31" i="2" s="1"/>
  <c r="S75" i="2" s="1"/>
  <c r="J81" i="21"/>
  <c r="J70" i="21"/>
  <c r="M31" i="2"/>
  <c r="J71" i="21"/>
  <c r="J123" i="20" l="1"/>
  <c r="J118" i="7"/>
  <c r="N24" i="26"/>
  <c r="I24" i="26"/>
  <c r="H24" i="26"/>
  <c r="O24" i="26"/>
  <c r="M24" i="26"/>
  <c r="J24" i="26"/>
  <c r="J108" i="7"/>
  <c r="J110" i="20"/>
  <c r="J94" i="20"/>
  <c r="J95" i="7"/>
  <c r="L50" i="18"/>
  <c r="J27" i="26"/>
  <c r="L49" i="18"/>
  <c r="I27" i="26"/>
  <c r="J94" i="21"/>
  <c r="L48" i="18"/>
  <c r="H27" i="26"/>
  <c r="J108" i="21"/>
  <c r="J60" i="2"/>
  <c r="J27" i="2"/>
  <c r="J119" i="21"/>
  <c r="L23" i="2"/>
  <c r="L45" i="2" s="1"/>
  <c r="M75" i="2"/>
  <c r="J31" i="2"/>
  <c r="G24" i="26" l="1"/>
  <c r="L52" i="18"/>
  <c r="J49" i="20" s="1"/>
  <c r="J45" i="2"/>
  <c r="J23" i="2"/>
  <c r="J75" i="2"/>
  <c r="G28" i="26" l="1"/>
  <c r="J18" i="2"/>
  <c r="J52" i="7"/>
  <c r="J76" i="7" s="1"/>
  <c r="J30" i="23"/>
  <c r="J43" i="23" s="1"/>
  <c r="J49" i="21"/>
  <c r="J63" i="21" s="1"/>
  <c r="J15" i="24"/>
  <c r="J80" i="20"/>
  <c r="J83" i="20"/>
  <c r="J73" i="20"/>
  <c r="J62" i="20"/>
  <c r="J84" i="20"/>
  <c r="J72" i="20"/>
  <c r="J69" i="20"/>
  <c r="J61" i="20"/>
  <c r="J58" i="20"/>
  <c r="J86" i="20"/>
  <c r="J75" i="20"/>
  <c r="J64" i="20"/>
  <c r="J87" i="7"/>
  <c r="J45" i="23"/>
  <c r="J53" i="23" l="1"/>
  <c r="J82" i="7"/>
  <c r="J72" i="7"/>
  <c r="J112" i="20"/>
  <c r="J55" i="23"/>
  <c r="J46" i="23"/>
  <c r="J44" i="23"/>
  <c r="J54" i="23"/>
  <c r="J47" i="23"/>
  <c r="J73" i="21"/>
  <c r="J74" i="21"/>
  <c r="J61" i="7"/>
  <c r="J86" i="7"/>
  <c r="J65" i="7"/>
  <c r="J77" i="7"/>
  <c r="J66" i="7"/>
  <c r="J58" i="21"/>
  <c r="J62" i="21"/>
  <c r="J84" i="21"/>
  <c r="J85" i="21"/>
  <c r="J69" i="21"/>
  <c r="J80" i="21"/>
  <c r="J109" i="20"/>
  <c r="J93" i="20"/>
  <c r="J99" i="20"/>
  <c r="J115" i="20"/>
  <c r="J96" i="20"/>
  <c r="J49" i="23" l="1"/>
  <c r="J57" i="23"/>
  <c r="J107" i="7"/>
  <c r="J110" i="7"/>
  <c r="J107" i="21"/>
  <c r="J96" i="21"/>
  <c r="J97" i="7"/>
  <c r="J94" i="7"/>
  <c r="J93" i="21"/>
  <c r="J110" i="21"/>
  <c r="J64" i="23" l="1"/>
  <c r="J12" i="24" s="1"/>
  <c r="Q68" i="24" s="1"/>
  <c r="J114" i="21"/>
  <c r="J116" i="21" s="1"/>
  <c r="N118" i="21" s="1"/>
  <c r="N120" i="21" s="1"/>
  <c r="N18" i="3" s="1"/>
  <c r="N35" i="3" s="1"/>
  <c r="N66" i="2" s="1"/>
  <c r="N67" i="2" s="1"/>
  <c r="J113" i="7"/>
  <c r="J115" i="7" s="1"/>
  <c r="R117" i="7" s="1"/>
  <c r="R119" i="7" s="1"/>
  <c r="R16" i="3" s="1"/>
  <c r="R33" i="3" s="1"/>
  <c r="R36" i="2" s="1"/>
  <c r="R37" i="2" s="1"/>
  <c r="J100" i="7"/>
  <c r="J22" i="2" s="1"/>
  <c r="J39" i="2" s="1"/>
  <c r="J41" i="2" s="1"/>
  <c r="J42" i="2" s="1"/>
  <c r="J100" i="21"/>
  <c r="J30" i="2" s="1"/>
  <c r="J69" i="2" s="1"/>
  <c r="J71" i="2" s="1"/>
  <c r="J72" i="2" s="1"/>
  <c r="M74" i="2" s="1"/>
  <c r="M76" i="2" s="1"/>
  <c r="M118" i="21" l="1"/>
  <c r="M120" i="21" s="1"/>
  <c r="M18" i="3" s="1"/>
  <c r="M35" i="3" s="1"/>
  <c r="S118" i="21"/>
  <c r="S120" i="21" s="1"/>
  <c r="S18" i="3" s="1"/>
  <c r="S19" i="3" s="1"/>
  <c r="S24" i="3" s="1"/>
  <c r="R75" i="24"/>
  <c r="N47" i="24"/>
  <c r="M40" i="24"/>
  <c r="O54" i="24"/>
  <c r="P61" i="24"/>
  <c r="L33" i="24"/>
  <c r="J23" i="24"/>
  <c r="R55" i="24" s="1"/>
  <c r="P117" i="7"/>
  <c r="P119" i="7" s="1"/>
  <c r="P16" i="3" s="1"/>
  <c r="P33" i="3" s="1"/>
  <c r="P36" i="2" s="1"/>
  <c r="P37" i="2" s="1"/>
  <c r="O118" i="21"/>
  <c r="O120" i="21" s="1"/>
  <c r="O18" i="3" s="1"/>
  <c r="O35" i="3" s="1"/>
  <c r="O66" i="2" s="1"/>
  <c r="O67" i="2" s="1"/>
  <c r="M117" i="7"/>
  <c r="M119" i="7" s="1"/>
  <c r="M16" i="3" s="1"/>
  <c r="M33" i="3" s="1"/>
  <c r="M36" i="2" s="1"/>
  <c r="M37" i="2" s="1"/>
  <c r="O117" i="7"/>
  <c r="O119" i="7" s="1"/>
  <c r="O16" i="3" s="1"/>
  <c r="O33" i="3" s="1"/>
  <c r="O36" i="2" s="1"/>
  <c r="O37" i="2" s="1"/>
  <c r="L117" i="7"/>
  <c r="L119" i="7" s="1"/>
  <c r="L16" i="3" s="1"/>
  <c r="L33" i="3" s="1"/>
  <c r="L36" i="2" s="1"/>
  <c r="N117" i="7"/>
  <c r="N119" i="7" s="1"/>
  <c r="N16" i="3" s="1"/>
  <c r="N33" i="3" s="1"/>
  <c r="N36" i="2" s="1"/>
  <c r="N37" i="2" s="1"/>
  <c r="Q117" i="7"/>
  <c r="Q119" i="7" s="1"/>
  <c r="Q16" i="3" s="1"/>
  <c r="Q33" i="3" s="1"/>
  <c r="Q36" i="2" s="1"/>
  <c r="Q37" i="2" s="1"/>
  <c r="L44" i="2"/>
  <c r="L46" i="2" s="1"/>
  <c r="R44" i="2"/>
  <c r="R46" i="2" s="1"/>
  <c r="N44" i="2"/>
  <c r="N46" i="2" s="1"/>
  <c r="P44" i="2"/>
  <c r="P46" i="2" s="1"/>
  <c r="O44" i="2"/>
  <c r="O46" i="2" s="1"/>
  <c r="Q44" i="2"/>
  <c r="Q46" i="2" s="1"/>
  <c r="M44" i="2"/>
  <c r="M46" i="2" s="1"/>
  <c r="O74" i="2"/>
  <c r="O76" i="2" s="1"/>
  <c r="N74" i="2"/>
  <c r="N76" i="2" s="1"/>
  <c r="S74" i="2"/>
  <c r="S76" i="2" s="1"/>
  <c r="S82" i="2" s="1"/>
  <c r="O11" i="26" s="1"/>
  <c r="O10" i="26" l="1"/>
  <c r="S35" i="3"/>
  <c r="S66" i="2" s="1"/>
  <c r="S67" i="2" s="1"/>
  <c r="S81" i="2" s="1"/>
  <c r="S84" i="2" s="1"/>
  <c r="P34" i="24"/>
  <c r="Q62" i="24"/>
  <c r="M32" i="24"/>
  <c r="P41" i="24"/>
  <c r="Q55" i="24"/>
  <c r="N34" i="24"/>
  <c r="R32" i="24"/>
  <c r="P46" i="24"/>
  <c r="O41" i="24"/>
  <c r="R53" i="24"/>
  <c r="N32" i="24"/>
  <c r="P39" i="24"/>
  <c r="J18" i="3"/>
  <c r="L34" i="24"/>
  <c r="L82" i="24" s="1"/>
  <c r="R34" i="24"/>
  <c r="O46" i="24"/>
  <c r="Q39" i="24"/>
  <c r="P32" i="24"/>
  <c r="Q69" i="24"/>
  <c r="Q70" i="24" s="1"/>
  <c r="R66" i="24" s="1"/>
  <c r="R39" i="24"/>
  <c r="N41" i="24"/>
  <c r="N48" i="24"/>
  <c r="N49" i="24" s="1"/>
  <c r="O45" i="24" s="1"/>
  <c r="M34" i="24"/>
  <c r="Q60" i="24"/>
  <c r="O39" i="24"/>
  <c r="Q53" i="24"/>
  <c r="R76" i="24"/>
  <c r="R77" i="24" s="1"/>
  <c r="O48" i="24"/>
  <c r="P48" i="24"/>
  <c r="R46" i="24"/>
  <c r="R48" i="24"/>
  <c r="Q41" i="24"/>
  <c r="Q46" i="24"/>
  <c r="Q48" i="24"/>
  <c r="P55" i="24"/>
  <c r="Q34" i="24"/>
  <c r="Q32" i="24"/>
  <c r="R60" i="24"/>
  <c r="O32" i="24"/>
  <c r="M41" i="24"/>
  <c r="M42" i="24" s="1"/>
  <c r="N38" i="24" s="1"/>
  <c r="P62" i="24"/>
  <c r="P63" i="24" s="1"/>
  <c r="Q59" i="24" s="1"/>
  <c r="N39" i="24"/>
  <c r="R62" i="24"/>
  <c r="R69" i="24"/>
  <c r="O34" i="24"/>
  <c r="P53" i="24"/>
  <c r="R67" i="24"/>
  <c r="R41" i="24"/>
  <c r="J118" i="21"/>
  <c r="J120" i="21"/>
  <c r="O55" i="24"/>
  <c r="O56" i="24" s="1"/>
  <c r="P52" i="24" s="1"/>
  <c r="J119" i="7"/>
  <c r="J16" i="3"/>
  <c r="J117" i="7"/>
  <c r="J46" i="2"/>
  <c r="J44" i="2"/>
  <c r="J76" i="2"/>
  <c r="J74" i="2"/>
  <c r="M66" i="2"/>
  <c r="M67" i="2" s="1"/>
  <c r="L37" i="2"/>
  <c r="J37" i="2" s="1"/>
  <c r="J33" i="3"/>
  <c r="J35" i="3" l="1"/>
  <c r="J67" i="2"/>
  <c r="Q82" i="24"/>
  <c r="O49" i="24"/>
  <c r="P45" i="24" s="1"/>
  <c r="L35" i="24"/>
  <c r="L81" i="24" s="1"/>
  <c r="M82" i="24"/>
  <c r="Q63" i="24"/>
  <c r="R59" i="24" s="1"/>
  <c r="R63" i="24" s="1"/>
  <c r="N82" i="24"/>
  <c r="O82" i="24"/>
  <c r="P49" i="24"/>
  <c r="Q45" i="24" s="1"/>
  <c r="Q49" i="24" s="1"/>
  <c r="R45" i="24" s="1"/>
  <c r="R49" i="24" s="1"/>
  <c r="N42" i="24"/>
  <c r="O38" i="24" s="1"/>
  <c r="O42" i="24" s="1"/>
  <c r="P38" i="24" s="1"/>
  <c r="P42" i="24" s="1"/>
  <c r="Q38" i="24" s="1"/>
  <c r="Q42" i="24" s="1"/>
  <c r="R38" i="24" s="1"/>
  <c r="R42" i="24" s="1"/>
  <c r="R82" i="24"/>
  <c r="P82" i="24"/>
  <c r="P56" i="24"/>
  <c r="Q52" i="24" s="1"/>
  <c r="Q56" i="24" s="1"/>
  <c r="R52" i="24" s="1"/>
  <c r="R56" i="24" s="1"/>
  <c r="R70" i="24"/>
  <c r="S85" i="2"/>
  <c r="M31" i="24"/>
  <c r="M35" i="24" s="1"/>
  <c r="M81" i="24" s="1"/>
  <c r="S93" i="2" l="1"/>
  <c r="S94" i="2" s="1"/>
  <c r="S95" i="2" s="1"/>
  <c r="S96" i="2" s="1"/>
  <c r="S97" i="2" s="1"/>
  <c r="O13" i="26"/>
  <c r="N31" i="24"/>
  <c r="N35" i="24" s="1"/>
  <c r="N81" i="24" s="1"/>
  <c r="M83" i="24"/>
  <c r="J113" i="20" s="1"/>
  <c r="J118" i="20" s="1"/>
  <c r="O31" i="24" l="1"/>
  <c r="O35" i="24" s="1"/>
  <c r="O81" i="24" s="1"/>
  <c r="J120" i="20"/>
  <c r="M85" i="24"/>
  <c r="G32" i="26" s="1"/>
  <c r="M122" i="20" l="1"/>
  <c r="M124" i="20" s="1"/>
  <c r="M17" i="3" s="1"/>
  <c r="L122" i="20"/>
  <c r="P122" i="20"/>
  <c r="P124" i="20" s="1"/>
  <c r="P17" i="3" s="1"/>
  <c r="R122" i="20"/>
  <c r="R124" i="20" s="1"/>
  <c r="R17" i="3" s="1"/>
  <c r="Q122" i="20"/>
  <c r="Q124" i="20" s="1"/>
  <c r="Q17" i="3" s="1"/>
  <c r="O122" i="20"/>
  <c r="O124" i="20" s="1"/>
  <c r="O17" i="3" s="1"/>
  <c r="N122" i="20"/>
  <c r="N124" i="20" s="1"/>
  <c r="N17" i="3" s="1"/>
  <c r="P31" i="24"/>
  <c r="P35" i="24" s="1"/>
  <c r="P81" i="24" s="1"/>
  <c r="Q31" i="24" l="1"/>
  <c r="Q35" i="24" s="1"/>
  <c r="Q81" i="24" s="1"/>
  <c r="N34" i="3"/>
  <c r="N51" i="2" s="1"/>
  <c r="N52" i="2" s="1"/>
  <c r="N81" i="2" s="1"/>
  <c r="N19" i="3"/>
  <c r="Q34" i="3"/>
  <c r="Q51" i="2" s="1"/>
  <c r="Q52" i="2" s="1"/>
  <c r="Q81" i="2" s="1"/>
  <c r="Q19" i="3"/>
  <c r="P19" i="3"/>
  <c r="P34" i="3"/>
  <c r="P51" i="2" s="1"/>
  <c r="P52" i="2" s="1"/>
  <c r="P81" i="2" s="1"/>
  <c r="M19" i="3"/>
  <c r="M34" i="3"/>
  <c r="M51" i="2" s="1"/>
  <c r="M52" i="2" s="1"/>
  <c r="M81" i="2" s="1"/>
  <c r="O34" i="3"/>
  <c r="O51" i="2" s="1"/>
  <c r="O52" i="2" s="1"/>
  <c r="O81" i="2" s="1"/>
  <c r="O19" i="3"/>
  <c r="R34" i="3"/>
  <c r="R51" i="2" s="1"/>
  <c r="R52" i="2" s="1"/>
  <c r="R81" i="2" s="1"/>
  <c r="R19" i="3"/>
  <c r="L124" i="20"/>
  <c r="J122" i="20"/>
  <c r="R24" i="3" l="1"/>
  <c r="N10" i="26"/>
  <c r="Q24" i="3"/>
  <c r="M10" i="26"/>
  <c r="P24" i="3"/>
  <c r="L10" i="26"/>
  <c r="O24" i="3"/>
  <c r="K10" i="26"/>
  <c r="N24" i="3"/>
  <c r="J10" i="26"/>
  <c r="M24" i="3"/>
  <c r="I10" i="26"/>
  <c r="L17" i="3"/>
  <c r="L34" i="3" s="1"/>
  <c r="L51" i="2" s="1"/>
  <c r="J124" i="20"/>
  <c r="R31" i="24"/>
  <c r="R35" i="24" l="1"/>
  <c r="R81" i="24" s="1"/>
  <c r="R83" i="24" s="1"/>
  <c r="L19" i="3"/>
  <c r="J17" i="3"/>
  <c r="J97" i="20" l="1"/>
  <c r="J102" i="20" s="1"/>
  <c r="J26" i="2" s="1"/>
  <c r="J54" i="2" s="1"/>
  <c r="J56" i="2" s="1"/>
  <c r="J57" i="2" s="1"/>
  <c r="L59" i="2" s="1"/>
  <c r="L61" i="2" s="1"/>
  <c r="L82" i="2" s="1"/>
  <c r="R85" i="24"/>
  <c r="G33" i="26" s="1"/>
  <c r="H10" i="26"/>
  <c r="L24" i="3"/>
  <c r="J24" i="3" s="1"/>
  <c r="J26" i="3" s="1"/>
  <c r="J34" i="3"/>
  <c r="L52" i="2"/>
  <c r="L81" i="2" s="1"/>
  <c r="J19" i="3"/>
  <c r="P59" i="2" l="1"/>
  <c r="P61" i="2" s="1"/>
  <c r="P82" i="2" s="1"/>
  <c r="P84" i="2" s="1"/>
  <c r="R59" i="2"/>
  <c r="R61" i="2" s="1"/>
  <c r="R82" i="2" s="1"/>
  <c r="R84" i="2" s="1"/>
  <c r="Q59" i="2"/>
  <c r="Q61" i="2" s="1"/>
  <c r="Q82" i="2" s="1"/>
  <c r="Q84" i="2" s="1"/>
  <c r="O59" i="2"/>
  <c r="O61" i="2" s="1"/>
  <c r="O82" i="2" s="1"/>
  <c r="K11" i="26" s="1"/>
  <c r="N59" i="2"/>
  <c r="N61" i="2" s="1"/>
  <c r="N82" i="2" s="1"/>
  <c r="N84" i="2" s="1"/>
  <c r="M59" i="2"/>
  <c r="M61" i="2" s="1"/>
  <c r="M82" i="2" s="1"/>
  <c r="I11" i="26" s="1"/>
  <c r="L84" i="2"/>
  <c r="J52" i="2"/>
  <c r="L11" i="26" l="1"/>
  <c r="N11" i="26"/>
  <c r="O84" i="2"/>
  <c r="O85" i="2" s="1"/>
  <c r="M11" i="26"/>
  <c r="J11" i="26"/>
  <c r="J59" i="2"/>
  <c r="M84" i="2"/>
  <c r="M85" i="2" s="1"/>
  <c r="Q85" i="2"/>
  <c r="P85" i="2"/>
  <c r="J81" i="2"/>
  <c r="G10" i="26"/>
  <c r="R85" i="2"/>
  <c r="N85" i="2"/>
  <c r="J61" i="2"/>
  <c r="H11" i="26"/>
  <c r="G11" i="26" l="1"/>
  <c r="R93" i="2"/>
  <c r="R94" i="2" s="1"/>
  <c r="R95" i="2" s="1"/>
  <c r="R96" i="2" s="1"/>
  <c r="R97" i="2" s="1"/>
  <c r="N13" i="26"/>
  <c r="P93" i="2"/>
  <c r="P94" i="2" s="1"/>
  <c r="P95" i="2" s="1"/>
  <c r="P96" i="2" s="1"/>
  <c r="P97" i="2" s="1"/>
  <c r="L13" i="26"/>
  <c r="Q93" i="2"/>
  <c r="Q94" i="2" s="1"/>
  <c r="Q95" i="2" s="1"/>
  <c r="Q96" i="2" s="1"/>
  <c r="Q97" i="2" s="1"/>
  <c r="M13" i="26"/>
  <c r="N93" i="2"/>
  <c r="N94" i="2" s="1"/>
  <c r="N95" i="2" s="1"/>
  <c r="N96" i="2" s="1"/>
  <c r="N97" i="2" s="1"/>
  <c r="J13" i="26"/>
  <c r="O93" i="2"/>
  <c r="O94" i="2" s="1"/>
  <c r="O95" i="2" s="1"/>
  <c r="O96" i="2" s="1"/>
  <c r="O97" i="2" s="1"/>
  <c r="K13" i="26"/>
  <c r="M93" i="2"/>
  <c r="M94" i="2" s="1"/>
  <c r="M95" i="2" s="1"/>
  <c r="M96" i="2" s="1"/>
  <c r="M97" i="2" s="1"/>
  <c r="I13" i="26"/>
  <c r="J82" i="2"/>
  <c r="J84" i="2" s="1"/>
  <c r="J85" i="2" s="1"/>
  <c r="L85" i="2" l="1"/>
  <c r="H13" i="26" l="1"/>
  <c r="L93" i="2"/>
  <c r="L94" i="2" s="1"/>
  <c r="L95" i="2" s="1"/>
  <c r="J94" i="2" l="1"/>
  <c r="J93" i="2"/>
  <c r="J95" i="2"/>
  <c r="L96" i="2"/>
  <c r="J96" i="2" l="1"/>
  <c r="L97" i="2"/>
  <c r="J97" i="2" s="1"/>
</calcChain>
</file>

<file path=xl/comments1.xml><?xml version="1.0" encoding="utf-8"?>
<comments xmlns="http://schemas.openxmlformats.org/spreadsheetml/2006/main">
  <authors>
    <author>Spee, Luuk</author>
  </authors>
  <commentList>
    <comment ref="N9" authorId="0">
      <text>
        <r>
          <rPr>
            <sz val="8"/>
            <color indexed="81"/>
            <rFont val="Tahoma"/>
            <family val="2"/>
          </rPr>
          <t xml:space="preserve">Inclusief Endinet
</t>
        </r>
      </text>
    </comment>
  </commentList>
</comments>
</file>

<file path=xl/comments2.xml><?xml version="1.0" encoding="utf-8"?>
<comments xmlns="http://schemas.openxmlformats.org/spreadsheetml/2006/main">
  <authors>
    <author>Spee, Luuk</author>
  </authors>
  <commentList>
    <comment ref="N9" authorId="0">
      <text>
        <r>
          <rPr>
            <sz val="8"/>
            <color indexed="81"/>
            <rFont val="Tahoma"/>
            <family val="2"/>
          </rPr>
          <t xml:space="preserve">Inclusief Endinet
</t>
        </r>
      </text>
    </comment>
  </commentList>
</comments>
</file>

<file path=xl/comments3.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4.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5.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6.xml><?xml version="1.0" encoding="utf-8"?>
<comments xmlns="http://schemas.openxmlformats.org/spreadsheetml/2006/main">
  <authors>
    <author>Spee, Luuk</author>
  </authors>
  <commentList>
    <comment ref="N7" authorId="0">
      <text>
        <r>
          <rPr>
            <sz val="8"/>
            <color indexed="81"/>
            <rFont val="Tahoma"/>
            <family val="2"/>
          </rPr>
          <t xml:space="preserve">Inclusief Endinet
</t>
        </r>
      </text>
    </comment>
  </commentList>
</comments>
</file>

<file path=xl/comments7.xml><?xml version="1.0" encoding="utf-8"?>
<comments xmlns="http://schemas.openxmlformats.org/spreadsheetml/2006/main">
  <authors>
    <author>Spee, Luuk</author>
    <author>Adriaansen, Paul</author>
  </authors>
  <commentList>
    <comment ref="N7" authorId="0">
      <text>
        <r>
          <rPr>
            <sz val="8"/>
            <color indexed="81"/>
            <rFont val="Tahoma"/>
            <family val="2"/>
          </rPr>
          <t xml:space="preserve">Inclusief Endinet, na verschuiving FNOP
</t>
        </r>
      </text>
    </comment>
    <comment ref="O7" authorId="1">
      <text>
        <r>
          <rPr>
            <sz val="8"/>
            <color indexed="81"/>
            <rFont val="Tahoma"/>
            <family val="2"/>
          </rPr>
          <t xml:space="preserve">Incl. FNOP-gebied
</t>
        </r>
      </text>
    </comment>
  </commentList>
</comments>
</file>

<file path=xl/sharedStrings.xml><?xml version="1.0" encoding="utf-8"?>
<sst xmlns="http://schemas.openxmlformats.org/spreadsheetml/2006/main" count="1432" uniqueCount="391">
  <si>
    <t>Ophalen gegevens</t>
  </si>
  <si>
    <t>Eenheid</t>
  </si>
  <si>
    <t>EUR, pp 2016</t>
  </si>
  <si>
    <t>Samengestelde output ten behoeve van de maatstaf</t>
  </si>
  <si>
    <t>Samengestelde output op basis van rekenvolumes 2014-2016</t>
  </si>
  <si>
    <t>Cogas</t>
  </si>
  <si>
    <t>Enexis</t>
  </si>
  <si>
    <t>Liander</t>
  </si>
  <si>
    <t>RENDO</t>
  </si>
  <si>
    <t>Stedin</t>
  </si>
  <si>
    <t>Westland</t>
  </si>
  <si>
    <t>Totaal/algemeen</t>
  </si>
  <si>
    <t>#</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</si>
  <si>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</si>
  <si>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</si>
  <si>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</si>
  <si>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</si>
  <si>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</si>
  <si>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</si>
  <si>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</si>
  <si>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</si>
  <si>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</si>
  <si>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</si>
  <si>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</si>
  <si>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</si>
  <si>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</si>
  <si>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</si>
  <si>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Productiviteitsverandering</t>
  </si>
  <si>
    <t>%</t>
  </si>
  <si>
    <t>WACC</t>
  </si>
  <si>
    <t>Netto</t>
  </si>
  <si>
    <t>EUR, pp 2013</t>
  </si>
  <si>
    <t>EUR, pp 2014</t>
  </si>
  <si>
    <t>EUR, pp 2015</t>
  </si>
  <si>
    <t>Gegevens productiviteitsverandering en CPI</t>
  </si>
  <si>
    <t>CPI van 2013 naar 2016</t>
  </si>
  <si>
    <t>CPI van 2014 naar 2016</t>
  </si>
  <si>
    <t>CPI van 2015 naar 2016</t>
  </si>
  <si>
    <t>Gemiddelde van kosten over 2013-2015</t>
  </si>
  <si>
    <t>Op basis van</t>
  </si>
  <si>
    <t>Reguliere operationele kosten 2013</t>
  </si>
  <si>
    <t>Totale bijdrage uit Eenmalige Aansluitvergoedingen 2013</t>
  </si>
  <si>
    <t>Reguliere operationele kosten 2015</t>
  </si>
  <si>
    <t>Totale bijdrage uit Eenmalige Aansluitvergoedingen 2015</t>
  </si>
  <si>
    <t>Reguliere operationele kosten 2014</t>
  </si>
  <si>
    <t>Totale bijdrage uit Eenmalige Aansluitvergoedingen 2014</t>
  </si>
  <si>
    <t>Productiviteitsverandering 2016 - 2021</t>
  </si>
  <si>
    <t>Gemiddelde reguliere operationele kosten</t>
  </si>
  <si>
    <t>Gemiddelde totale bijdrage uit Eenmalige Aansluitvergoedingen</t>
  </si>
  <si>
    <t>Kosten 2013 voor maatstafberekening</t>
  </si>
  <si>
    <t>Kosten 2013-2015 voor maatstafberekening</t>
  </si>
  <si>
    <t>Kosten 2014 voor maatstafberekening</t>
  </si>
  <si>
    <t>Kosten 2015 voor maatstafberekening</t>
  </si>
  <si>
    <t>Kosten 2013 voor maatstafberekening in efficiëntieniveau 2016 en prijspeil 2016</t>
  </si>
  <si>
    <t>Kosten 2014 voor maatstafberekening in efficiëntieniveau 2016 en prijspeil 2016</t>
  </si>
  <si>
    <t>Kosten 2015 voor maatstafberekening in efficiëntieniveau 2016 en prijspeil 2016</t>
  </si>
  <si>
    <t>Gemiddelde kosten 2013-2015 in efficiëntie-niveau 2016; voor maatstafberekening</t>
  </si>
  <si>
    <t>Gemiddelde totale kosten voor maatstafberekening</t>
  </si>
  <si>
    <t>EUR, pp 2012</t>
  </si>
  <si>
    <t>Gegevens WACC en CPI</t>
  </si>
  <si>
    <t>CPI</t>
  </si>
  <si>
    <t>CPI 2013</t>
  </si>
  <si>
    <t>CPI 2014</t>
  </si>
  <si>
    <t>CPI 2015</t>
  </si>
  <si>
    <t>CPI 2016</t>
  </si>
  <si>
    <t>Indicatieve TI bedragen voor vaststelling tarieven</t>
  </si>
  <si>
    <t>EUR, pp 2017</t>
  </si>
  <si>
    <t>EUR, pp 2018</t>
  </si>
  <si>
    <t>EUR, pp 2019</t>
  </si>
  <si>
    <t>EUR, pp 2020</t>
  </si>
  <si>
    <t>EUR, pp 2021</t>
  </si>
  <si>
    <t>Indicatieve tariefruimte 2017 op basis van verwachte CPI</t>
  </si>
  <si>
    <t>Indicatieve tariefruimte 2018 op basis van verwachte CPI</t>
  </si>
  <si>
    <t>Indicatieve tariefruimte 2019 op basis van verwachte CPI</t>
  </si>
  <si>
    <t>Indicatieve tariefruimte 2020 op basis van verwachte CPI</t>
  </si>
  <si>
    <t>Indicatieve tariefruimte 2021 op basis van verwachte CPI</t>
  </si>
  <si>
    <t>Gemiddelde genormaliseerde totale kosten in efficiëntie-niveau 2016</t>
  </si>
  <si>
    <t>Gemiddelde kosten ORV lokale heffingen in efficiëntie-niveau 2016</t>
  </si>
  <si>
    <t>Inschatting van CPI 2017-2021 (per jaar)</t>
  </si>
  <si>
    <t>Q-factor voor de periode 2017-2021</t>
  </si>
  <si>
    <t>Efficiënte kosten 2021 excl. ORV</t>
  </si>
  <si>
    <t>Efficiënte kosten 2021 excl. ORV per eenheid SO</t>
  </si>
  <si>
    <t>Inschatting efficiënte kosten ORV Lokale Heffingen 2021</t>
  </si>
  <si>
    <t>EUR/#, pp 2021</t>
  </si>
  <si>
    <t>Efficiënte kosten 2021 excl. ORV per netbeheerder</t>
  </si>
  <si>
    <t>Eindinkomsten 2021 per netbeheerder</t>
  </si>
  <si>
    <t>Eindinkomsten 2021 per netbeheerder voor berekening x-factor</t>
  </si>
  <si>
    <t>X-factor voor de periode 2017-2021 (onafgerond)</t>
  </si>
  <si>
    <t>X-factor voor de periode 2017-2021 (afgerond)</t>
  </si>
  <si>
    <t>WACC BI2016</t>
  </si>
  <si>
    <t>X-factorberekening en TI-bedragen</t>
  </si>
  <si>
    <t>Efficiënte kosten 2016 per netbeheerder (t.b.v. toepassingsvoorwaarde one-off)</t>
  </si>
  <si>
    <t>Beslissing toepassing one-off</t>
  </si>
  <si>
    <t>Toetsen toepassing one-off</t>
  </si>
  <si>
    <t>Netto; WACC BI2016</t>
  </si>
  <si>
    <t>WACC EI2021</t>
  </si>
  <si>
    <t>Inschatting CPI 2017-2021</t>
  </si>
  <si>
    <t>Totale reguliere kapitaalkosten 2015 o.b.v. WACC BI2016</t>
  </si>
  <si>
    <t>Totale reguliere kapitaalkosten 2014 o.b.v. WACC BI2016</t>
  </si>
  <si>
    <t>Totale reguliere kapitaalkosten 2013 o.b.v. WACC BI2016</t>
  </si>
  <si>
    <t>Gemiddelde totale reguliere kapitaalkosten o.b.v. WACC EI2021</t>
  </si>
  <si>
    <t>Totale reguliere kapitaalkosten 2015 o.b.v. WACC EI2021</t>
  </si>
  <si>
    <t>Totale reguliere kapitaalkosten 2014 o.b.v. WACC EI2021</t>
  </si>
  <si>
    <t>Totale reguliere kapitaalkosten 2013 o.b.v. WACC EI2021</t>
  </si>
  <si>
    <t>Netto; WACC EI2021</t>
  </si>
  <si>
    <t>Reguliere operationele kosten 2012</t>
  </si>
  <si>
    <t>Naar 2016</t>
  </si>
  <si>
    <t>Van 2012</t>
  </si>
  <si>
    <t>Van 2013</t>
  </si>
  <si>
    <t>Van 2014</t>
  </si>
  <si>
    <t>Van 2015</t>
  </si>
  <si>
    <t>Jaarlijkse productiviteitsverandering</t>
  </si>
  <si>
    <t>Jaarlijkse productiviteitsverandering 2005-2006</t>
  </si>
  <si>
    <t>Jaarlijkse productiviteitsverandering 2006-2007</t>
  </si>
  <si>
    <t>Jaarlijkse productiviteitsverandering 2007-2008</t>
  </si>
  <si>
    <t>Jaarlijkse productiviteitsverandering 2008-2009</t>
  </si>
  <si>
    <t>Jaarlijkse productiviteitsverandering 2009-2010</t>
  </si>
  <si>
    <t>Jaarlijkse productiviteitsverandering 2010-2011</t>
  </si>
  <si>
    <t>Jaarlijkse productiviteitsverandering 2011-2012</t>
  </si>
  <si>
    <t>Een beschrijving van deze aanpassingen is opgenomen in het methodebesluit.</t>
  </si>
  <si>
    <t>Berekening jaarlijkse productiviteitsverandering 2012-2015</t>
  </si>
  <si>
    <t>Totale kosten voor PV berekening 2012-2013</t>
  </si>
  <si>
    <t>Totale kosten voor PV berekening 2013-2014</t>
  </si>
  <si>
    <t>Totale kosten voor PV berekening 2014-2015</t>
  </si>
  <si>
    <t>Jaarlijkse productiviteitsverandering 2004-2015</t>
  </si>
  <si>
    <t>Jaarlijkse productiviteitsverandering 2012-2013</t>
  </si>
  <si>
    <t>Jaarlijkse productiviteitsverandering 2013-2014</t>
  </si>
  <si>
    <t>Jaarlijkse productiviteitsverandering 2014-2015</t>
  </si>
  <si>
    <t>Inschatting productiviteitsverandering 2016-2021</t>
  </si>
  <si>
    <t>Jaarlijkse PV</t>
  </si>
  <si>
    <t>Jaarlijkse PV + 1</t>
  </si>
  <si>
    <t>Totale lokale heffingen 2013</t>
  </si>
  <si>
    <t>Totale lokale heffingen 2014</t>
  </si>
  <si>
    <t>Totale lokale heffingen 2015</t>
  </si>
  <si>
    <t>Gemiddelde totale lokale heffingen</t>
  </si>
  <si>
    <t>Totale reguliere kapitaalkosten 2014</t>
  </si>
  <si>
    <t>Totale reguliere kapitaalkosten 2013</t>
  </si>
  <si>
    <t>Totale reguliere kapitaalkosten 2015</t>
  </si>
  <si>
    <t>Kosten 2013-2015 in efficiëntie-niveau en prijspeil 2016; voor maatstafberekening</t>
  </si>
  <si>
    <t>EUR/#, pp 2016</t>
  </si>
  <si>
    <t>Samengestelde output (o.b.v. RV 2016)</t>
  </si>
  <si>
    <t>Gemiddelde totale kosten voor one-off</t>
  </si>
  <si>
    <t>Gemiddelde kosten 2013-2015 in efficiëntie-niveau 2016; voor one-off</t>
  </si>
  <si>
    <t>Efficiënte kosten 2016 excl. ORV</t>
  </si>
  <si>
    <t>Efficiënte kosten excl. ORV per eenheid SO (o.b.v. RV 2016)</t>
  </si>
  <si>
    <t>Efficiënte kosten 2016 excl. ORV per netbeheerder</t>
  </si>
  <si>
    <t>Inschatting efficiënte kosten ORV Lokale Heffingen 2016</t>
  </si>
  <si>
    <t>Van:</t>
  </si>
  <si>
    <t>Naar:</t>
  </si>
  <si>
    <t>Bijdrage EAV 2013</t>
  </si>
  <si>
    <t>Bijdrage EAV 2015</t>
  </si>
  <si>
    <t>Bijdrage EAV 2014</t>
  </si>
  <si>
    <t>Totale reguliere kapitaalkosten 2012</t>
  </si>
  <si>
    <t>Excl. IT en ORV</t>
  </si>
  <si>
    <t>Kostengegevens 2012 - 2015</t>
  </si>
  <si>
    <t>Voor de productiviteitsberekening over 2012-2015 wordt gebruik gemaakt van  de kostenniveaus voor de jaren 2012-2015 die op sommige punten zijn aangepast voor de PV-meting (ten behoeve van de methode in de periode 2017-2021).</t>
  </si>
  <si>
    <t>Samengestelde output</t>
  </si>
  <si>
    <t>Begininkomsten</t>
  </si>
  <si>
    <t>Begininkomsten voor de one-off</t>
  </si>
  <si>
    <t>RV 2014-2016</t>
  </si>
  <si>
    <t>WACC-percentages voor berekening kapitaalkosten (reëel, voor belasting)</t>
  </si>
  <si>
    <t>Efficiëntie kosten 2016 excl. ORV t.b.v. berekening Eindinkomsten 2021</t>
  </si>
  <si>
    <t>Toets toepassingsvoorwaarde en aanleiding one-off</t>
  </si>
  <si>
    <t>Efficiënte kosten 2016 per netbeheerder</t>
  </si>
  <si>
    <t>Gemiddelde totale reguliere kapitaalkosten</t>
  </si>
  <si>
    <t>Transportdienst</t>
  </si>
  <si>
    <t>Aansluitdienst</t>
  </si>
  <si>
    <t>EHD</t>
  </si>
  <si>
    <t>Totale kosten transportdienst voor maatstaf</t>
  </si>
  <si>
    <t>Totale kosten aansluitdienst voor maatstaf</t>
  </si>
  <si>
    <t>Totale kosten EHD voor maatstaf</t>
  </si>
  <si>
    <t>Netto kosten 2013</t>
  </si>
  <si>
    <t>Netto kosten 2014</t>
  </si>
  <si>
    <t>Netto kosten 2015</t>
  </si>
  <si>
    <t>Efficiënte kosten 2016 TD per netbeheerder (t.b.v. toepassingsvoorwaarde one-off)</t>
  </si>
  <si>
    <t>Efficiënte kosten 2016 AD per netbeheerder (t.b.v. toepassingsvoorwaarde one-off)</t>
  </si>
  <si>
    <t>Efficiënte kosten 2016 EHD per netbeheerder (t.b.v. toepassingsvoorwaarde one-off)</t>
  </si>
  <si>
    <t>Samengestelde output TD ten behoeve van de maatstaf</t>
  </si>
  <si>
    <t>Samengestelde output AD ten behoeve van de maatstaf</t>
  </si>
  <si>
    <t>Samengestelde output EHD ten behoeve van de maatstaf</t>
  </si>
  <si>
    <t>Gemiddelde kosten TD</t>
  </si>
  <si>
    <t>Gemiddelde kosten AD</t>
  </si>
  <si>
    <t>Gemiddelde kosten EHD</t>
  </si>
  <si>
    <t>Berekening x-factor</t>
  </si>
  <si>
    <t>Berekening Eindinkomsten TD 2021</t>
  </si>
  <si>
    <t>Berekening Eindinkomsten AD 2021</t>
  </si>
  <si>
    <t>Berekening Eindinkomsten EHD 2021</t>
  </si>
  <si>
    <t>Productiviteitsverandering en CPI</t>
  </si>
  <si>
    <t xml:space="preserve">Totaal netto-investeringen in wijziging en sanering (excl rest van de aansluiting) </t>
  </si>
  <si>
    <t>in efficiëntie niveau van het meetjaar</t>
  </si>
  <si>
    <t>Totaal wijziging en sanering 2011</t>
  </si>
  <si>
    <t>EUR, pp 2011</t>
  </si>
  <si>
    <t>Totaal wijziging en sanering 2012</t>
  </si>
  <si>
    <t>Totaal wijziging en sanering 2013</t>
  </si>
  <si>
    <t>Totaal wijziging en sanering 2014</t>
  </si>
  <si>
    <t>Totaal wijziging en sanering 2015</t>
  </si>
  <si>
    <t>efficiëntieniveau 2011</t>
  </si>
  <si>
    <t>efficiëntieniveau 2012</t>
  </si>
  <si>
    <t>efficiëntieniveau 2013</t>
  </si>
  <si>
    <t>efficiëntieniveau 2014</t>
  </si>
  <si>
    <t>efficiëntieniveau 2015</t>
  </si>
  <si>
    <t>Totaal netto investeringen in wijziging en sanering in prijspeil en efficiëntieniveau 2016</t>
  </si>
  <si>
    <t>Exclusief rest van de aansluiting</t>
  </si>
  <si>
    <t>efficiëntieniveau 2016</t>
  </si>
  <si>
    <t xml:space="preserve">Totaal afschrijvingen gasaansluitdienst (excl. rest van de aansluiting) </t>
  </si>
  <si>
    <t xml:space="preserve">in efficiëntie niveau van het meetjaar, </t>
  </si>
  <si>
    <t>Totaal bedrag afschrijvingen GAW in 2013</t>
  </si>
  <si>
    <t>Totaal bedrag afschrijvingen GAW in 2014</t>
  </si>
  <si>
    <t>Totaal bedrag afschrijvingen GAW in 2015</t>
  </si>
  <si>
    <t>Gemiddeld niveau netto-investering in wijziging en sanering</t>
  </si>
  <si>
    <t>Totaal afschrijvingen gasaansluitdienst in prijspeil en efficiëntieniveau 2016</t>
  </si>
  <si>
    <t>Gemiddeld niveau afschrijvingen gasaansluitdienst</t>
  </si>
  <si>
    <t>Berekening surplus vervangingsinvesteringen gasaansluitdienst</t>
  </si>
  <si>
    <t>Berekening surplus aan investeringen, waarvan we de cumulatieve kapitaalkosten voor de periode 2017 e.v. vergoeden bovenop de maatstaf.</t>
  </si>
  <si>
    <t>Bedrag surplus vervangingsinvesteringen per jaar</t>
  </si>
  <si>
    <t>Berekening gemiddeld niveau investeringen en afschrijvingen</t>
  </si>
  <si>
    <t>CPI van 2012 naar 2016</t>
  </si>
  <si>
    <t>CPI van 2011 naar 2016</t>
  </si>
  <si>
    <t>CPI 2012</t>
  </si>
  <si>
    <t>Jaarlijks surplus bedrag aan investeringen</t>
  </si>
  <si>
    <t>afschrijftermijn nieuwe activa</t>
  </si>
  <si>
    <t>PV</t>
  </si>
  <si>
    <t>Berekening kapitaalkosten</t>
  </si>
  <si>
    <t>Jaarlijkse afschrijving op surplus (op basis van vol jaar)</t>
  </si>
  <si>
    <t>Boekwaarde ultimo</t>
  </si>
  <si>
    <t>Afschrijvingen</t>
  </si>
  <si>
    <t>Investering jaarlaag 2015</t>
  </si>
  <si>
    <t>Beginwaarde activa boekjaar</t>
  </si>
  <si>
    <t>Afschrijving eerste helft boekjaar</t>
  </si>
  <si>
    <t xml:space="preserve">Investering (1-7) </t>
  </si>
  <si>
    <t>Afschrijving tweede helft boekjaar</t>
  </si>
  <si>
    <t>Activawaarde ultimo boekjaar</t>
  </si>
  <si>
    <t>Investering jaarlaag 2016</t>
  </si>
  <si>
    <t>Investering jaarlaag 2017</t>
  </si>
  <si>
    <t>Investering jaarlaag 2018</t>
  </si>
  <si>
    <t>Investering jaarlaag 2019</t>
  </si>
  <si>
    <t>Investering jaarlaag 2020</t>
  </si>
  <si>
    <t>Investering jaarlaag 2021</t>
  </si>
  <si>
    <t>Berekening jaarlijkse afschrijving op surplus</t>
  </si>
  <si>
    <t>Totale kapitaalkosten</t>
  </si>
  <si>
    <t>Mutaties per jaarlaag</t>
  </si>
  <si>
    <t>EUR, pp 2016-2021</t>
  </si>
  <si>
    <t>efficiëntieniveau 2016-2021</t>
  </si>
  <si>
    <t>Bijschatting extra kapitaalkosten</t>
  </si>
  <si>
    <t xml:space="preserve">Besparingen Marktmodel </t>
  </si>
  <si>
    <t>Operationele kosten (incl. besparing marktmodel) 2013</t>
  </si>
  <si>
    <t>Operationele kosten (incl. besparing marktmodel) 2015</t>
  </si>
  <si>
    <t>Operationele kosten (incl. besparing marktmodel) 2014</t>
  </si>
  <si>
    <t>Besparing marktmodel 2013</t>
  </si>
  <si>
    <t>Besparing marktmodel 2014</t>
  </si>
  <si>
    <t>Enduris</t>
  </si>
  <si>
    <t>Samengestelde output EHD 2016 voor maatstaf</t>
  </si>
  <si>
    <t>Samengestelde output aansluitdienst 2016 voor maatstaf</t>
  </si>
  <si>
    <t>Samengestelde output transportdienst 2015 voor productiviteitsverandering</t>
  </si>
  <si>
    <t>Samengestelde output transportdienst 2014 voor productiviteitsverandering</t>
  </si>
  <si>
    <t>Samengestelde output transportdienst 2013 voor productiviteitsverandering</t>
  </si>
  <si>
    <t>Samengestelde output transportdienst 2012 voor productiviteitsverandering</t>
  </si>
  <si>
    <t>Samengestelde output transportdienst 2016 voor maatstaf</t>
  </si>
  <si>
    <t>Samengestelde output voor PV berekening</t>
  </si>
  <si>
    <t>OPEX voor PV berekening (na correctie voor besparingen marktmodel)</t>
  </si>
  <si>
    <t>xfm NG6R</t>
  </si>
  <si>
    <t>xfm NG5R</t>
  </si>
  <si>
    <t>EUR, pp 2012-2015</t>
  </si>
  <si>
    <t xml:space="preserve">Kapitaalkosten voor PV berekening </t>
  </si>
  <si>
    <t>WACC NG4R/NG5R</t>
  </si>
  <si>
    <t>WACC NG4R</t>
  </si>
  <si>
    <t>WACC NG5R</t>
  </si>
  <si>
    <t>Kapitaalkosten voor PV berekening</t>
  </si>
  <si>
    <t>ACM merkt op dat wijziging van onderliggende data kunnen leiden tot wijziging van de PV-cijfers uit deze besluiten (bijvoorbeeld via het nemen van een nieuw x-factorbesluit)</t>
  </si>
  <si>
    <t>In het methodebesluit NG5R zijn hierop enkele bewerkingen doorgevoerd. ACM gaat uit van de waarde in NG5R en ziet in onderhavig besluit geen aanleiding om aanpassingen te maken op deze berekeningen.</t>
  </si>
  <si>
    <t xml:space="preserve">De jaarlijkse productiviteitsveranderingen van 2005-2012 zijn gebaseerd op de x-factorberekeningen voor de periodes NG3R, NG4R en NG5R. </t>
  </si>
  <si>
    <t>Berekening surplus aansluitdienst</t>
  </si>
  <si>
    <t>Berekening extra kapitaalkosten aansluitdienst</t>
  </si>
  <si>
    <t>Netto; Excl. IT en ORV</t>
  </si>
  <si>
    <t>Dit bestand hoort bij de volgende besluiten: x-factorbesluiten RNB gas 2017-2021</t>
  </si>
  <si>
    <t>ACM kiest ervoor de begininkomsten aan te passen naar het niveau van de efficiënte kosten.</t>
  </si>
  <si>
    <t>Begininkomsten 2016 (na aanpassing naar efficiënte kosten 2016)</t>
  </si>
  <si>
    <t>Berekening richt zich op het verwachte bedrag aan vervangingsinvesteringen voor kleinverbruik aansluitingen en het aansluitpunt voor grootverbruik aansluitingen.</t>
  </si>
  <si>
    <t>Totale kapitaalkosten na toepassing PV en indexatie</t>
  </si>
  <si>
    <t>Zebra</t>
  </si>
  <si>
    <t>Begininkomstenniveau voor berekening x-factor</t>
  </si>
  <si>
    <t xml:space="preserve">Import tarieven en volumes </t>
  </si>
  <si>
    <t xml:space="preserve">Bron </t>
  </si>
  <si>
    <t>WACC bijlage methodebesluit NG4R</t>
  </si>
  <si>
    <t>WACC bijlage methodebesluit NG5R</t>
  </si>
  <si>
    <t>CBS</t>
  </si>
  <si>
    <t xml:space="preserve">Op dit tabblad worden de benodigde WACC en CPI gegevens opgehaald. </t>
  </si>
  <si>
    <t>De inschatting van de langjarige PV voor de periode 2017-2021 wordt gebaseerd op de jaarlijkse PV's in de periode 2005-2015 (eerste meetjaar 2005-2006).</t>
  </si>
  <si>
    <t>Formule (29)</t>
  </si>
  <si>
    <t>Formule (28)</t>
  </si>
  <si>
    <t>Formule (30)</t>
  </si>
  <si>
    <t>Formule (31)</t>
  </si>
  <si>
    <t>Formule (33)</t>
  </si>
  <si>
    <t>Formule (34)</t>
  </si>
  <si>
    <t>Formule (22) en (23)</t>
  </si>
  <si>
    <t>Formule (24)</t>
  </si>
  <si>
    <t>Formule (37)</t>
  </si>
  <si>
    <t>Formule (39)</t>
  </si>
  <si>
    <t>Formule (46)</t>
  </si>
  <si>
    <t>Formule (47)</t>
  </si>
  <si>
    <t>Netto; WACC NG4R</t>
  </si>
  <si>
    <t>Netto; WACC NG4R/NG5R</t>
  </si>
  <si>
    <t>Netto; WACC NG5R</t>
  </si>
  <si>
    <t>NETTO KOSTEN 2012</t>
  </si>
  <si>
    <t>NETTO KOSTEN 2013</t>
  </si>
  <si>
    <t>NETTO KOSTEN 2015</t>
  </si>
  <si>
    <t>NETTO KOSTEN 2014</t>
  </si>
  <si>
    <t>Maatstaf</t>
  </si>
  <si>
    <t xml:space="preserve">Productiviteitsverandering </t>
  </si>
  <si>
    <t>Totale lokale heffingen 2015 (uitsluitend OPEX)</t>
  </si>
  <si>
    <t>Totale lokale heffingen 2013 (uitsluitend OPEX)</t>
  </si>
  <si>
    <t>Totale lokale heffingen 2014 (uitsluitend OPEX)</t>
  </si>
  <si>
    <t>Gemiddelde totale lokale heffingen (uitsluitend OPEX)</t>
  </si>
  <si>
    <t>Netto kosten 2013 voor maatstaf</t>
  </si>
  <si>
    <t>Netto kosten 2014 voor maatstaf</t>
  </si>
  <si>
    <t>Netto kosten 2015 voor maatstaf</t>
  </si>
  <si>
    <t>Begininkomsten NG6R TD (product van tarieven 2016 en rekenvolumes 2017-2021)</t>
  </si>
  <si>
    <t>Begininkomsten NG6R AD (product van tarieven 2016 en rekenvolumes 2017-2021)</t>
  </si>
  <si>
    <t>Begininkomsten NG6R EHD (product van tarieven 2016 en rekenvolumes 2017-2021)</t>
  </si>
  <si>
    <t>Begininkomsten NG6R (product van tarieven 2016 en rekenvolumes 2017-2021)</t>
  </si>
  <si>
    <t>Verschil tussen begininkomsten NG6R en Efficiënte kosten 2016</t>
  </si>
  <si>
    <t>Verschil tussen begininkomsten NG6R en sectorkosten 2016</t>
  </si>
  <si>
    <t>Begininkomsten TD (na aanpassing naar efficiënte kosten 2016; t.b.v. regulering NG6R)</t>
  </si>
  <si>
    <t>Begininkomsten AD (na aanpassing naar efficiënte kosten 2016; t.b.v. regulering NG6R)</t>
  </si>
  <si>
    <t>Begininkomsten EHD (na aanpassing naar efficiënte kosten 2016; t.b.v. regulering NG6R)</t>
  </si>
  <si>
    <t>De bijdragen EAV zijn berekend voor de volumes vóór de FNOP-verschuiving.</t>
  </si>
  <si>
    <t>WACC Nieuw vermogen 2016</t>
  </si>
  <si>
    <t>WACC Nieuw vermogen 2021</t>
  </si>
  <si>
    <t>WACC nieuw vermogen 2016</t>
  </si>
  <si>
    <t>WACC nieuw vermogen 2021</t>
  </si>
  <si>
    <t>Netto; WACC NV2016</t>
  </si>
  <si>
    <t>Netto; WACC NV2021</t>
  </si>
  <si>
    <t>RNB Gas 2017-2021 Kostenbestand (sep 2016)</t>
  </si>
  <si>
    <t>RNB Gas 2017-2021 SO-bestand (sep 2016)</t>
  </si>
  <si>
    <t>Bron: bestand 'RNB Gas 2017-2021 Investeringenbestand (sep 2016)', tabblad 'Output Investeringen GasAD'</t>
  </si>
  <si>
    <r>
      <rPr>
        <sz val="10"/>
        <rFont val="Arial"/>
        <family val="2"/>
      </rPr>
      <t>Kenmerk: ACM/DE/2016/205160 ACM/DE/2016/205162 ACM/DE/2016/205163 ACM/DE/2016/205164 ACM/DE/2016/205165 ACM/DE/2016/205166 ACM/DE/2016/205167 ACM/DE/2016/205168</t>
    </r>
    <r>
      <rPr>
        <sz val="10"/>
        <color rgb="FFFF0000"/>
        <rFont val="Arial"/>
        <family val="2"/>
      </rPr>
      <t xml:space="preserve">
</t>
    </r>
  </si>
  <si>
    <t>Berekening inschatting CPI 2017-2021</t>
  </si>
  <si>
    <t>Inflatie in WACC 2016</t>
  </si>
  <si>
    <t>Inflatie 2017 o.b.v. ingroei 2016-2021</t>
  </si>
  <si>
    <t>Inflatie 2018 o.b.v. ingroei 2016-2021</t>
  </si>
  <si>
    <t>Inflatie 2019 o.b.v. ingroei 2016-2021</t>
  </si>
  <si>
    <t>Inflatie 2020 o.b.v. ingroei 2016-2021</t>
  </si>
  <si>
    <t>Inflatie in WACC 2021</t>
  </si>
  <si>
    <t>Inschatting CPI 2017-2021 (afgerond)</t>
  </si>
  <si>
    <t>WACC bijlage methodebesluit</t>
  </si>
  <si>
    <t>Bijlage 1</t>
  </si>
  <si>
    <t>Resultaten x-factor en q-factor gas</t>
  </si>
  <si>
    <t>Sector</t>
  </si>
  <si>
    <t>Gegevens berekening x-factor en totale inkomsten</t>
  </si>
  <si>
    <t>X-factor</t>
  </si>
  <si>
    <t>Overige parameters</t>
  </si>
  <si>
    <t>Samengestelde Output (SO)</t>
  </si>
  <si>
    <t>SO</t>
  </si>
  <si>
    <t>Aandeel SO</t>
  </si>
  <si>
    <t>PV 2013</t>
  </si>
  <si>
    <t>PV 2014</t>
  </si>
  <si>
    <t>PV 2015</t>
  </si>
  <si>
    <t>Jaarlijkse productiviteitsverandering (2013-2015)</t>
  </si>
  <si>
    <t>Gestandaardiseerde Activawaarde</t>
  </si>
  <si>
    <t>SO:</t>
  </si>
  <si>
    <t>Samengestelde Output</t>
  </si>
  <si>
    <t>EHD:</t>
  </si>
  <si>
    <t>Extra Hoge Druk</t>
  </si>
  <si>
    <t>GAW:</t>
  </si>
  <si>
    <t>WACC BI 2016</t>
  </si>
  <si>
    <t>WACC EI 2021</t>
  </si>
  <si>
    <r>
      <t xml:space="preserve">Controleregel: leeg is OK, waarschuwingen verschijnen in </t>
    </r>
    <r>
      <rPr>
        <b/>
        <sz val="11"/>
        <color rgb="FFFF0000"/>
        <rFont val="Arial"/>
        <family val="2"/>
      </rPr>
      <t>Rood</t>
    </r>
  </si>
  <si>
    <t>RNBs Gas 2014-2016 gewijzigd X-factormodel (aug 2016)</t>
  </si>
  <si>
    <t>Gemiddelde totale kosten excl. lokale heffingen</t>
  </si>
  <si>
    <t>Extra kapitaalkosten aansluitdienst</t>
  </si>
  <si>
    <t>Extra kapitaalkosten AD 2016</t>
  </si>
  <si>
    <t>Extra kapitaalkosten AD 2021</t>
  </si>
  <si>
    <t>RNB Gas 2017-2021 EHD maatstafberekening (sep 2016)</t>
  </si>
  <si>
    <t>Op dit tabblad haalt ACM de kostengegevens op vanuit het kostenbestand en het EHD model.</t>
  </si>
  <si>
    <t>RNB Gas 2017-2021 EHD Maatstafberekening (sep 2016)</t>
  </si>
  <si>
    <t xml:space="preserve">Op dit tabblad importeert ACM de gegevens vanuit het SO bestand en het EHD model. </t>
  </si>
  <si>
    <t xml:space="preserve">De onderliggende berekeningen van de jaarlijkse PV's over de periode 2005-2012 worden uit het x-factorbesluit van NG5R gehaald. Op dit tabblad worden de jaarlijkse PV's van 2013-2015 berekend. </t>
  </si>
  <si>
    <t xml:space="preserve">Op dit tabblad wordt het surplus van de vervangingsinvesteringen van de gasaansluitdienst berekend. Dit betreft de gemiddeld niveau netto-investering minus het gemiddelde niveau van afschrijvingen. </t>
  </si>
  <si>
    <t>Bron: RNB Gas 2017-2021 Kostenbestand (sep 2016), tabblad 'Berekening kapitaalkosten AD'</t>
  </si>
  <si>
    <t>Dit tabblad berekent ACM het bedrag dat ACM jaarlijks toevoegt aan de kapitaalkosten van de aansluitdienst. Dit wordt berekend door de extra investeringen te schatten en daarvan de kapitaalkosten te berekenen.</t>
  </si>
  <si>
    <t>eff. niveau 2016, WACC NV</t>
  </si>
  <si>
    <t>Op dit blad worden de efficiënte kosten voor het jaar 2016 voor de bepaling van de begin- en eindinkomsten voor de transportdienst berekend.</t>
  </si>
  <si>
    <t>Op dit blad worden de efficiënte kosten voor het jaar 2016 voor de bepaling van de begin- en eindinkomsten voor de aansluitdienst berekend.</t>
  </si>
  <si>
    <t>Op dit blad worden de efficiënte kosten voor het jaar 2016 voor de bepaling van de begin- en eindinkomsten voor EHD berekend.</t>
  </si>
  <si>
    <t>Op dit blad worden de toepassingsvoorwaarde en de aanleidingstoets uitgevoerd in verband met de aanpassing van de begininkomsten.</t>
  </si>
  <si>
    <t>Op dit tabblad wordt de x-factor berekend. Dit gebeurt door de begin- en eindinkomsten van de transportdienst, aansluitdienst en EHD-netten te sommeren. Dit leidt tot de x-factoren voor de periode 2017-2021.</t>
  </si>
  <si>
    <t>Begininkomsten 2016</t>
  </si>
  <si>
    <t>Eindinkomsten 2021</t>
  </si>
  <si>
    <t>Deze tabel bevat een overzicht van de gehanteerde gegevens (op hoofdlijnen) om te komen tot vaststelling van de x-factor voor de regionale netbeheerders gas.</t>
  </si>
  <si>
    <t>Besluit: x-factorbesluiten RNB gas; bestand: x-berekening RNB G</t>
  </si>
  <si>
    <t>Datum: 12 september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</si>
</sst>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 #,##0_ ;_ &quot;€&quot;\ * \-#,##0_ ;_ &quot;€&quot;\ * &quot;-&quot;_ ;_ @_ "/>
    <numFmt numFmtId="41" formatCode="_ * #,##0_ ;_ * \-#,##0_ ;_ * &quot;-&quot;_ ;_ @_ "/>
    <numFmt numFmtId="43" formatCode="_ * #,##0.00_ ;_ * \-#,##0.00_ ;_ * &quot;-&quot;??_ ;_ @_ "/>
    <numFmt numFmtId="164" formatCode="_ * #,##0_ ;_ * \-#,##0_ ;_ * &quot;-&quot;??_ ;_ @_ "/>
    <numFmt numFmtId="165" formatCode="0.0000%"/>
    <numFmt numFmtId="166" formatCode="0.000"/>
    <numFmt numFmtId="167" formatCode="_-* #,##0_-;_-* #,##0\-;_-* &quot;-&quot;??_-;_-@_-"/>
    <numFmt numFmtId="168" formatCode="0.0000"/>
    <numFmt numFmtId="169" formatCode="0.0%"/>
    <numFmt numFmtId="170" formatCode="_ * #,##0.000_ ;_ * \-#,##0.000_ ;_ * &quot;-&quot;??_ ;_ @_ "/>
    <numFmt numFmtId="171" formatCode="_ &quot;€&quot;\ * #,##0.000_ ;_ &quot;€&quot;\ * \-#,##0.000_ ;_ &quot;€&quot;\ * &quot;-&quot;_ ;_ @_ "/>
    <numFmt numFmtId="172" formatCode="0.000000%"/>
    <numFmt numFmtId="173" formatCode="0.000%"/>
  </numFmts>
  <fonts count="21" x14ac:knownFonts="1">
    <font>
      <sz val="11"/>
      <color theme="1"/>
      <name val="Calibri"/>
      <family val="2"/>
      <scheme val="minor"/>
    </font>
    <font>
      <sz val="11"/>
      <color theme="1"/>
      <name val="Arial"/>
      <family val="2"/>
    </font>
    <font>
      <sz val="11"/>
      <color theme="1"/>
      <name val="Calibri"/>
      <family val="2"/>
      <scheme val="minor"/>
    </font>
    <font>
      <b/>
      <sz val="12"/>
      <color theme="1"/>
      <name val="Arial"/>
      <family val="2"/>
    </font>
    <font>
      <b/>
      <sz val="10"/>
      <color theme="1"/>
      <name val="Arial"/>
      <family val="2"/>
    </font>
    <font>
      <sz val="10"/>
      <color theme="1"/>
      <name val="Arial"/>
      <family val="2"/>
    </font>
    <font>
      <sz val="10"/>
      <name val="Arial"/>
      <family val="2"/>
    </font>
    <font>
      <sz val="10"/>
      <color rgb="FFFF0000"/>
      <name val="Arial"/>
      <family val="2"/>
    </font>
    <font>
      <b/>
      <sz val="12"/>
      <color theme="0"/>
      <name val="Arial"/>
      <family val="2"/>
    </font>
    <font>
      <sz val="10"/>
      <color theme="0"/>
      <name val="Arial"/>
      <family val="2"/>
    </font>
    <font>
      <i/>
      <sz val="10"/>
      <color theme="1"/>
      <name val="Arial"/>
      <family val="2"/>
    </font>
    <font>
      <b/>
      <sz val="10"/>
      <name val="Arial"/>
      <family val="2"/>
    </font>
    <font>
      <i/>
      <sz val="10"/>
      <name val="Arial"/>
      <family val="2"/>
    </font>
    <font>
      <sz val="8"/>
      <color indexed="81"/>
      <name val="Tahoma"/>
      <family val="2"/>
    </font>
    <font>
      <sz val="9.5"/>
      <color theme="1"/>
      <name val="Arial"/>
      <family val="2"/>
    </font>
    <font>
      <b/>
      <sz val="11"/>
      <color indexed="8"/>
      <name val="Arial"/>
      <family val="2"/>
    </font>
    <font>
      <b/>
      <sz val="11"/>
      <color rgb="FFFF0000"/>
      <name val="Arial"/>
      <family val="2"/>
    </font>
    <font>
      <sz val="11"/>
      <color rgb="FF0070C0"/>
      <name val="Arial"/>
      <family val="2"/>
    </font>
    <font>
      <i/>
      <sz val="11"/>
      <color theme="1"/>
      <name val="Arial"/>
      <family val="2"/>
    </font>
    <font>
      <sz val="11"/>
      <name val="Arial"/>
      <family val="2"/>
    </font>
    <font>
      <b/>
      <sz val="10"/>
      <color theme="0"/>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rgb="FFFFCC99"/>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theme="0" tint="-0.249977111117893"/>
        <bgColor indexed="64"/>
      </patternFill>
    </fill>
  </fills>
  <borders count="3">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cellStyleXfs>
  <cellXfs count="142">
    <xf numFmtId="0" fontId="0" fillId="0" borderId="0" xfId="0"/>
    <xf numFmtId="0" fontId="5" fillId="2" borderId="1" xfId="0" applyFont="1" applyFill="1" applyBorder="1"/>
    <xf numFmtId="0" fontId="5" fillId="0" borderId="0" xfId="0" applyFont="1"/>
    <xf numFmtId="0" fontId="3" fillId="2" borderId="1" xfId="0" applyFont="1" applyFill="1" applyBorder="1"/>
    <xf numFmtId="0" fontId="4" fillId="0" borderId="0" xfId="0" applyFont="1"/>
    <xf numFmtId="164" fontId="5" fillId="4" borderId="0" xfId="1" applyNumberFormat="1" applyFont="1" applyFill="1"/>
    <xf numFmtId="164" fontId="5" fillId="3" borderId="0" xfId="1" applyNumberFormat="1" applyFont="1" applyFill="1"/>
    <xf numFmtId="164" fontId="5" fillId="0" borderId="0" xfId="0" applyNumberFormat="1" applyFont="1"/>
    <xf numFmtId="0" fontId="0" fillId="10" borderId="0" xfId="0" applyFill="1"/>
    <xf numFmtId="0" fontId="4" fillId="2" borderId="1" xfId="0" applyFont="1" applyFill="1" applyBorder="1"/>
    <xf numFmtId="0" fontId="5" fillId="0" borderId="0" xfId="0" applyFont="1" applyFill="1"/>
    <xf numFmtId="0" fontId="7" fillId="0" borderId="0" xfId="0" applyFont="1"/>
    <xf numFmtId="164" fontId="5" fillId="3" borderId="0" xfId="0" applyNumberFormat="1" applyFont="1" applyFill="1"/>
    <xf numFmtId="0" fontId="8" fillId="11" borderId="1" xfId="0" applyFont="1" applyFill="1" applyBorder="1"/>
    <xf numFmtId="0" fontId="9" fillId="11" borderId="1" xfId="0" applyFont="1" applyFill="1" applyBorder="1"/>
    <xf numFmtId="0" fontId="10" fillId="0" borderId="0" xfId="0" applyFont="1"/>
    <xf numFmtId="164" fontId="5" fillId="0" borderId="0" xfId="1" applyNumberFormat="1" applyFont="1"/>
    <xf numFmtId="0" fontId="11" fillId="0" borderId="0" xfId="0" applyFont="1"/>
    <xf numFmtId="164" fontId="5" fillId="0" borderId="0" xfId="0" applyNumberFormat="1" applyFont="1" applyFill="1"/>
    <xf numFmtId="10" fontId="5" fillId="0" borderId="0" xfId="0" applyNumberFormat="1" applyFont="1" applyFill="1"/>
    <xf numFmtId="0" fontId="6" fillId="0" borderId="0" xfId="0" applyFont="1"/>
    <xf numFmtId="2" fontId="5" fillId="5" borderId="0" xfId="0" applyNumberFormat="1" applyFont="1" applyFill="1"/>
    <xf numFmtId="164" fontId="5" fillId="5" borderId="0" xfId="0" applyNumberFormat="1" applyFont="1" applyFill="1"/>
    <xf numFmtId="0" fontId="6" fillId="0" borderId="0" xfId="0" applyFont="1" applyFill="1"/>
    <xf numFmtId="0" fontId="5" fillId="3" borderId="0" xfId="0" applyFont="1" applyFill="1"/>
    <xf numFmtId="42" fontId="9" fillId="11" borderId="1" xfId="0" applyNumberFormat="1" applyFont="1" applyFill="1" applyBorder="1"/>
    <xf numFmtId="42" fontId="5" fillId="0" borderId="0" xfId="0" applyNumberFormat="1" applyFont="1"/>
    <xf numFmtId="42" fontId="4" fillId="2" borderId="1" xfId="0" applyNumberFormat="1" applyFont="1" applyFill="1" applyBorder="1"/>
    <xf numFmtId="0" fontId="12" fillId="0" borderId="0" xfId="0" applyFont="1"/>
    <xf numFmtId="0" fontId="12" fillId="0" borderId="0" xfId="0" quotePrefix="1" applyFont="1"/>
    <xf numFmtId="0" fontId="11" fillId="10" borderId="0" xfId="0" applyFont="1" applyFill="1"/>
    <xf numFmtId="167" fontId="6" fillId="0" borderId="0" xfId="1" applyNumberFormat="1" applyFont="1" applyFill="1"/>
    <xf numFmtId="10" fontId="7" fillId="0" borderId="0" xfId="0" applyNumberFormat="1" applyFont="1" applyFill="1"/>
    <xf numFmtId="10" fontId="6" fillId="4" borderId="0" xfId="0" applyNumberFormat="1" applyFont="1" applyFill="1"/>
    <xf numFmtId="164" fontId="6" fillId="4" borderId="0" xfId="0" applyNumberFormat="1" applyFont="1" applyFill="1"/>
    <xf numFmtId="166" fontId="5" fillId="5" borderId="0" xfId="0" applyNumberFormat="1" applyFont="1" applyFill="1"/>
    <xf numFmtId="164" fontId="5" fillId="0" borderId="0" xfId="1" applyNumberFormat="1" applyFont="1" applyFill="1"/>
    <xf numFmtId="0" fontId="6" fillId="0" borderId="0" xfId="7"/>
    <xf numFmtId="10" fontId="6" fillId="3" borderId="0" xfId="7" applyNumberFormat="1" applyFill="1"/>
    <xf numFmtId="0" fontId="6" fillId="12" borderId="0" xfId="7" applyFill="1"/>
    <xf numFmtId="10" fontId="6" fillId="12" borderId="0" xfId="7" applyNumberFormat="1" applyFill="1"/>
    <xf numFmtId="10" fontId="6" fillId="0" borderId="0" xfId="6" applyNumberFormat="1" applyFill="1"/>
    <xf numFmtId="0" fontId="6" fillId="0" borderId="0" xfId="7" applyAlignment="1">
      <alignment horizontal="right"/>
    </xf>
    <xf numFmtId="10" fontId="6" fillId="4" borderId="0" xfId="7" applyNumberFormat="1" applyFill="1"/>
    <xf numFmtId="167" fontId="6" fillId="4" borderId="0" xfId="1" applyNumberFormat="1" applyFont="1" applyFill="1"/>
    <xf numFmtId="164" fontId="6" fillId="4" borderId="0" xfId="1" applyNumberFormat="1" applyFont="1" applyFill="1"/>
    <xf numFmtId="164" fontId="6" fillId="3" borderId="0" xfId="1" applyNumberFormat="1" applyFont="1" applyFill="1"/>
    <xf numFmtId="164" fontId="7" fillId="0" borderId="0" xfId="1" applyNumberFormat="1" applyFont="1" applyFill="1"/>
    <xf numFmtId="169" fontId="6" fillId="4" borderId="0" xfId="0" applyNumberFormat="1" applyFont="1" applyFill="1"/>
    <xf numFmtId="170" fontId="5" fillId="0" borderId="0" xfId="1" applyNumberFormat="1" applyFont="1" applyFill="1"/>
    <xf numFmtId="170" fontId="5" fillId="0" borderId="0" xfId="1" applyNumberFormat="1" applyFont="1"/>
    <xf numFmtId="10" fontId="5" fillId="4" borderId="0" xfId="0" applyNumberFormat="1" applyFont="1" applyFill="1"/>
    <xf numFmtId="0" fontId="6" fillId="13" borderId="0" xfId="7" applyFill="1"/>
    <xf numFmtId="164" fontId="5" fillId="5" borderId="0" xfId="1" applyNumberFormat="1" applyFont="1" applyFill="1"/>
    <xf numFmtId="10" fontId="5" fillId="0" borderId="0" xfId="0" applyNumberFormat="1" applyFont="1"/>
    <xf numFmtId="164" fontId="5" fillId="4" borderId="0" xfId="0" applyNumberFormat="1" applyFont="1" applyFill="1"/>
    <xf numFmtId="0" fontId="5" fillId="10" borderId="0" xfId="0" applyFont="1" applyFill="1"/>
    <xf numFmtId="164" fontId="6" fillId="6" borderId="0" xfId="1" applyNumberFormat="1" applyFont="1" applyFill="1"/>
    <xf numFmtId="167" fontId="6" fillId="3" borderId="0" xfId="1" applyNumberFormat="1" applyFont="1" applyFill="1"/>
    <xf numFmtId="164" fontId="6" fillId="0" borderId="0" xfId="1" applyNumberFormat="1" applyFont="1"/>
    <xf numFmtId="164" fontId="6" fillId="6" borderId="0" xfId="0" applyNumberFormat="1" applyFont="1" applyFill="1"/>
    <xf numFmtId="43" fontId="6" fillId="6" borderId="0" xfId="1" applyFont="1" applyFill="1"/>
    <xf numFmtId="10" fontId="6" fillId="6" borderId="0" xfId="0" applyNumberFormat="1" applyFont="1" applyFill="1"/>
    <xf numFmtId="165" fontId="6" fillId="0" borderId="0" xfId="0" applyNumberFormat="1" applyFont="1" applyFill="1"/>
    <xf numFmtId="0" fontId="6" fillId="6" borderId="0" xfId="0" applyFont="1" applyFill="1"/>
    <xf numFmtId="164" fontId="5" fillId="6" borderId="0" xfId="1" applyNumberFormat="1" applyFont="1" applyFill="1"/>
    <xf numFmtId="164" fontId="6" fillId="0" borderId="0" xfId="0" applyNumberFormat="1" applyFont="1"/>
    <xf numFmtId="0" fontId="5" fillId="0" borderId="0" xfId="0" quotePrefix="1" applyFont="1"/>
    <xf numFmtId="164" fontId="6" fillId="10" borderId="0" xfId="1" applyNumberFormat="1" applyFont="1" applyFill="1"/>
    <xf numFmtId="164" fontId="5" fillId="10" borderId="0" xfId="0" applyNumberFormat="1" applyFont="1" applyFill="1"/>
    <xf numFmtId="164" fontId="5" fillId="10" borderId="0" xfId="1" applyNumberFormat="1" applyFont="1" applyFill="1"/>
    <xf numFmtId="164" fontId="7" fillId="10" borderId="0" xfId="1" applyNumberFormat="1" applyFont="1" applyFill="1"/>
    <xf numFmtId="0" fontId="5" fillId="10" borderId="0" xfId="0" applyNumberFormat="1" applyFont="1" applyFill="1"/>
    <xf numFmtId="164" fontId="6" fillId="10" borderId="0" xfId="0" applyNumberFormat="1" applyFont="1" applyFill="1"/>
    <xf numFmtId="171" fontId="5" fillId="0" borderId="0" xfId="0" applyNumberFormat="1" applyFont="1"/>
    <xf numFmtId="0" fontId="5" fillId="0" borderId="0" xfId="0" applyNumberFormat="1" applyFont="1"/>
    <xf numFmtId="10" fontId="5" fillId="3" borderId="0" xfId="6" applyNumberFormat="1" applyFont="1" applyFill="1"/>
    <xf numFmtId="42" fontId="5" fillId="0" borderId="0" xfId="0" applyNumberFormat="1" applyFont="1" applyAlignment="1">
      <alignment horizontal="left"/>
    </xf>
    <xf numFmtId="10" fontId="5" fillId="6" borderId="0" xfId="5" applyNumberFormat="1" applyFont="1" applyFill="1"/>
    <xf numFmtId="168" fontId="5" fillId="3" borderId="0" xfId="5" applyNumberFormat="1" applyFont="1" applyFill="1"/>
    <xf numFmtId="10" fontId="5" fillId="3" borderId="0" xfId="5" applyNumberFormat="1" applyFont="1" applyFill="1"/>
    <xf numFmtId="10" fontId="5" fillId="5" borderId="0" xfId="5" applyNumberFormat="1" applyFont="1" applyFill="1"/>
    <xf numFmtId="0" fontId="14" fillId="0" borderId="0" xfId="0" applyFont="1"/>
    <xf numFmtId="0" fontId="14" fillId="0" borderId="0" xfId="0" applyFont="1" applyAlignment="1">
      <alignment vertical="center"/>
    </xf>
    <xf numFmtId="0" fontId="5" fillId="0" borderId="0" xfId="0" applyFont="1" applyAlignment="1"/>
    <xf numFmtId="10" fontId="5" fillId="6" borderId="0" xfId="0" applyNumberFormat="1" applyFont="1" applyFill="1"/>
    <xf numFmtId="169" fontId="5" fillId="3" borderId="0" xfId="5" applyNumberFormat="1" applyFont="1" applyFill="1"/>
    <xf numFmtId="169" fontId="5" fillId="0" borderId="0" xfId="5" applyNumberFormat="1" applyFont="1" applyFill="1"/>
    <xf numFmtId="2" fontId="5" fillId="0" borderId="0" xfId="0" applyNumberFormat="1" applyFont="1"/>
    <xf numFmtId="0" fontId="5" fillId="0" borderId="0" xfId="0" applyFont="1" applyBorder="1"/>
    <xf numFmtId="0" fontId="4" fillId="0" borderId="0" xfId="0" applyFont="1" applyBorder="1"/>
    <xf numFmtId="164" fontId="5" fillId="3" borderId="0" xfId="0" applyNumberFormat="1" applyFont="1" applyFill="1" applyBorder="1"/>
    <xf numFmtId="164" fontId="6" fillId="4" borderId="0" xfId="0" applyNumberFormat="1" applyFont="1" applyFill="1" applyBorder="1"/>
    <xf numFmtId="43" fontId="6" fillId="4" borderId="0" xfId="0" applyNumberFormat="1" applyFont="1" applyFill="1" applyBorder="1"/>
    <xf numFmtId="169" fontId="5" fillId="4" borderId="0" xfId="5" applyNumberFormat="1" applyFont="1" applyFill="1" applyBorder="1"/>
    <xf numFmtId="3" fontId="5" fillId="4" borderId="0" xfId="0" applyNumberFormat="1" applyFont="1" applyFill="1" applyBorder="1"/>
    <xf numFmtId="169" fontId="5" fillId="3" borderId="0" xfId="5" applyNumberFormat="1" applyFont="1" applyFill="1" applyBorder="1"/>
    <xf numFmtId="0" fontId="4" fillId="0" borderId="0" xfId="0" applyFont="1" applyBorder="1" applyAlignment="1">
      <alignment horizontal="left"/>
    </xf>
    <xf numFmtId="10" fontId="5" fillId="4" borderId="0" xfId="0" applyNumberFormat="1" applyFont="1" applyFill="1" applyBorder="1"/>
    <xf numFmtId="10" fontId="5" fillId="4" borderId="0" xfId="5" applyNumberFormat="1" applyFont="1" applyFill="1" applyBorder="1"/>
    <xf numFmtId="0" fontId="5" fillId="0" borderId="0" xfId="0" applyFont="1" applyFill="1" applyBorder="1"/>
    <xf numFmtId="169" fontId="5" fillId="0" borderId="0" xfId="5" applyNumberFormat="1" applyFont="1" applyFill="1" applyBorder="1"/>
    <xf numFmtId="0" fontId="9" fillId="11" borderId="0" xfId="0" applyFont="1" applyFill="1" applyBorder="1"/>
    <xf numFmtId="0" fontId="8" fillId="11" borderId="0" xfId="0" applyFont="1" applyFill="1" applyBorder="1"/>
    <xf numFmtId="10" fontId="5" fillId="0" borderId="0" xfId="0" applyNumberFormat="1" applyFont="1" applyFill="1" applyBorder="1"/>
    <xf numFmtId="0" fontId="1" fillId="0" borderId="0" xfId="0" applyFont="1"/>
    <xf numFmtId="0" fontId="1" fillId="0" borderId="0" xfId="0" applyFont="1" applyAlignment="1">
      <alignment horizontal="left" vertical="top"/>
    </xf>
    <xf numFmtId="0" fontId="15" fillId="2" borderId="1" xfId="0" applyFont="1" applyFill="1" applyBorder="1"/>
    <xf numFmtId="0" fontId="15" fillId="0" borderId="0" xfId="0" applyFont="1" applyFill="1" applyBorder="1"/>
    <xf numFmtId="0" fontId="1" fillId="0" borderId="0" xfId="0" applyFont="1" applyFill="1" applyBorder="1"/>
    <xf numFmtId="0" fontId="1" fillId="0" borderId="0" xfId="0" applyFont="1" applyFill="1" applyBorder="1" applyAlignment="1"/>
    <xf numFmtId="0" fontId="1" fillId="6" borderId="0" xfId="0" applyFont="1" applyFill="1"/>
    <xf numFmtId="0" fontId="1" fillId="6" borderId="2" xfId="0" applyFont="1" applyFill="1" applyBorder="1"/>
    <xf numFmtId="0" fontId="1" fillId="4" borderId="0" xfId="0" applyFont="1" applyFill="1"/>
    <xf numFmtId="0" fontId="1" fillId="3" borderId="0" xfId="0" applyFont="1" applyFill="1"/>
    <xf numFmtId="0" fontId="1" fillId="5" borderId="0" xfId="0" applyFont="1" applyFill="1"/>
    <xf numFmtId="0" fontId="1" fillId="7" borderId="0" xfId="0" applyFont="1" applyFill="1"/>
    <xf numFmtId="0" fontId="1" fillId="8" borderId="0" xfId="0" applyFont="1" applyFill="1"/>
    <xf numFmtId="0" fontId="1" fillId="9" borderId="0" xfId="0" applyFont="1" applyFill="1"/>
    <xf numFmtId="0" fontId="1" fillId="10" borderId="0" xfId="0" applyFont="1" applyFill="1"/>
    <xf numFmtId="0" fontId="17" fillId="0" borderId="0" xfId="0" applyFont="1" applyAlignment="1">
      <alignment horizontal="center"/>
    </xf>
    <xf numFmtId="0" fontId="18" fillId="0" borderId="0" xfId="0" applyFont="1"/>
    <xf numFmtId="42" fontId="1" fillId="0" borderId="0" xfId="0" applyNumberFormat="1" applyFont="1"/>
    <xf numFmtId="10" fontId="19" fillId="4" borderId="0" xfId="5" applyNumberFormat="1" applyFont="1" applyFill="1"/>
    <xf numFmtId="0" fontId="1" fillId="0" borderId="0" xfId="0" applyFont="1" applyFill="1"/>
    <xf numFmtId="172" fontId="1" fillId="0" borderId="0" xfId="5" applyNumberFormat="1" applyFont="1"/>
    <xf numFmtId="173" fontId="1" fillId="0" borderId="0" xfId="5" applyNumberFormat="1" applyFont="1"/>
    <xf numFmtId="0" fontId="20" fillId="11" borderId="1" xfId="0" applyFont="1" applyFill="1" applyBorder="1"/>
    <xf numFmtId="41" fontId="5" fillId="3" borderId="0" xfId="0" applyNumberFormat="1" applyFont="1" applyFill="1"/>
    <xf numFmtId="41" fontId="5" fillId="0" borderId="0" xfId="0" applyNumberFormat="1" applyFont="1"/>
    <xf numFmtId="41" fontId="6" fillId="4" borderId="0" xfId="0" applyNumberFormat="1" applyFont="1" applyFill="1"/>
    <xf numFmtId="41" fontId="6" fillId="10" borderId="0" xfId="0" applyNumberFormat="1" applyFont="1" applyFill="1"/>
    <xf numFmtId="41" fontId="6" fillId="3" borderId="0" xfId="0" applyNumberFormat="1" applyFont="1" applyFill="1"/>
    <xf numFmtId="0" fontId="7" fillId="0" borderId="0" xfId="0" applyFont="1" applyFill="1"/>
    <xf numFmtId="41" fontId="5" fillId="0" borderId="0" xfId="0" applyNumberFormat="1" applyFont="1" applyFill="1"/>
    <xf numFmtId="41" fontId="6" fillId="0" borderId="0" xfId="0" applyNumberFormat="1" applyFont="1" applyFill="1"/>
    <xf numFmtId="41" fontId="5" fillId="5" borderId="0" xfId="0" applyNumberFormat="1" applyFont="1" applyFill="1"/>
    <xf numFmtId="41" fontId="5" fillId="10" borderId="0" xfId="0" applyNumberFormat="1" applyFont="1" applyFill="1"/>
    <xf numFmtId="0" fontId="4" fillId="2" borderId="1" xfId="0" applyFont="1" applyFill="1" applyBorder="1" applyAlignment="1">
      <alignment horizontal="right"/>
    </xf>
    <xf numFmtId="164" fontId="5" fillId="7" borderId="0" xfId="1" applyNumberFormat="1" applyFont="1" applyFill="1"/>
    <xf numFmtId="164" fontId="6" fillId="7" borderId="0" xfId="1" applyNumberFormat="1" applyFont="1" applyFill="1"/>
    <xf numFmtId="2" fontId="5" fillId="3" borderId="0" xfId="0" applyNumberFormat="1" applyFont="1" applyFill="1"/>
  </cellXfs>
  <cellStyles count="8">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2" xfId="3"/>
    <cellStyle name="Komma" xfId="1" builtinId="3"/>
    <cellStyle name="Komma 10 2" xfId="4"/>
    <cellStyle name="Procent" xfId="5" builtinId="5"/>
    <cellStyle name="Procent 2" xfId="6"/>
    <cellStyle name="Standaard" xfId="0" builtinId="0"/>
    <cellStyle name="Standaard 2" xfId="7"/>
  </cellStyles>
  <dxfs count="0"/>
  <tableStyles count="0" defaultTableStyle="TableStyleMedium2" defaultPivotStyle="PivotStyleLight16"/>
  <colors>
    <mruColors>
      <color rgb="FFFFCC99"/>
      <color rgb="FFCCFFCC"/>
      <color rgb="FFCCFFFF"/>
      <color rgb="FFFFFFCC"/>
      <color rgb="FFFFCC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19850</xdr:colOff>
      <xdr:row>15</xdr:row>
      <xdr:rowOff>8005</xdr:rowOff>
    </xdr:from>
    <xdr:to>
      <xdr:col>11</xdr:col>
      <xdr:colOff>632733</xdr:colOff>
      <xdr:row>19</xdr:row>
      <xdr:rowOff>10828</xdr:rowOff>
    </xdr:to>
    <xdr:sp macro="" textlink="">
      <xdr:nvSpPr>
        <xdr:cNvPr id="193" name="Rechthoek 192"/>
        <xdr:cNvSpPr/>
      </xdr:nvSpPr>
      <xdr:spPr>
        <a:xfrm>
          <a:off x="24708650" y="2760730"/>
          <a:ext cx="1984483" cy="7267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Kosten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24573</xdr:colOff>
      <xdr:row>25</xdr:row>
      <xdr:rowOff>15208</xdr:rowOff>
    </xdr:from>
    <xdr:to>
      <xdr:col>11</xdr:col>
      <xdr:colOff>637456</xdr:colOff>
      <xdr:row>28</xdr:row>
      <xdr:rowOff>130091</xdr:rowOff>
    </xdr:to>
    <xdr:sp macro="" textlink="">
      <xdr:nvSpPr>
        <xdr:cNvPr id="194" name="Rechthoek 193"/>
        <xdr:cNvSpPr/>
      </xdr:nvSpPr>
      <xdr:spPr>
        <a:xfrm>
          <a:off x="24713373" y="4577683"/>
          <a:ext cx="1984483" cy="657808"/>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EHD maatstaf berekeningen</a:t>
          </a:r>
          <a:endParaRPr kumimoji="0" lang="nl-NL" sz="1200" b="0" i="0" u="none" strike="noStrike" kern="0" cap="none" spc="0" normalizeH="0" baseline="0" noProof="0">
            <a:ln>
              <a:noFill/>
            </a:ln>
            <a:solidFill>
              <a:srgbClr val="5F1F7A"/>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15048</xdr:colOff>
      <xdr:row>20</xdr:row>
      <xdr:rowOff>24497</xdr:rowOff>
    </xdr:from>
    <xdr:to>
      <xdr:col>11</xdr:col>
      <xdr:colOff>627931</xdr:colOff>
      <xdr:row>24</xdr:row>
      <xdr:rowOff>27321</xdr:rowOff>
    </xdr:to>
    <xdr:sp macro="" textlink="">
      <xdr:nvSpPr>
        <xdr:cNvPr id="195" name="Rechthoek 194"/>
        <xdr:cNvSpPr/>
      </xdr:nvSpPr>
      <xdr:spPr>
        <a:xfrm>
          <a:off x="24703848" y="3682097"/>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SO</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18</xdr:row>
      <xdr:rowOff>7363</xdr:rowOff>
    </xdr:from>
    <xdr:to>
      <xdr:col>8</xdr:col>
      <xdr:colOff>3283</xdr:colOff>
      <xdr:row>22</xdr:row>
      <xdr:rowOff>10188</xdr:rowOff>
    </xdr:to>
    <xdr:sp macro="" textlink="">
      <xdr:nvSpPr>
        <xdr:cNvPr id="196" name="Rechthoek 195"/>
        <xdr:cNvSpPr/>
      </xdr:nvSpPr>
      <xdr:spPr>
        <a:xfrm>
          <a:off x="2686051" y="4998463"/>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GAW sheet</a:t>
          </a:r>
        </a:p>
      </xdr:txBody>
    </xdr:sp>
    <xdr:clientData/>
  </xdr:twoCellAnchor>
  <xdr:twoCellAnchor>
    <xdr:from>
      <xdr:col>11</xdr:col>
      <xdr:colOff>627931</xdr:colOff>
      <xdr:row>18</xdr:row>
      <xdr:rowOff>12615</xdr:rowOff>
    </xdr:from>
    <xdr:to>
      <xdr:col>14</xdr:col>
      <xdr:colOff>22408</xdr:colOff>
      <xdr:row>22</xdr:row>
      <xdr:rowOff>25909</xdr:rowOff>
    </xdr:to>
    <xdr:cxnSp macro="">
      <xdr:nvCxnSpPr>
        <xdr:cNvPr id="197" name="Rechte verbindingslijn met pijl 196"/>
        <xdr:cNvCxnSpPr>
          <a:stCxn id="195" idx="3"/>
          <a:endCxn id="204" idx="1"/>
        </xdr:cNvCxnSpPr>
      </xdr:nvCxnSpPr>
      <xdr:spPr>
        <a:xfrm flipV="1">
          <a:off x="26688331" y="3308265"/>
          <a:ext cx="1451877" cy="73719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632733</xdr:colOff>
      <xdr:row>17</xdr:row>
      <xdr:rowOff>9416</xdr:rowOff>
    </xdr:from>
    <xdr:to>
      <xdr:col>14</xdr:col>
      <xdr:colOff>67235</xdr:colOff>
      <xdr:row>17</xdr:row>
      <xdr:rowOff>11206</xdr:rowOff>
    </xdr:to>
    <xdr:cxnSp macro="">
      <xdr:nvCxnSpPr>
        <xdr:cNvPr id="198" name="Rechte verbindingslijn met pijl 197"/>
        <xdr:cNvCxnSpPr>
          <a:stCxn id="193" idx="3"/>
        </xdr:cNvCxnSpPr>
      </xdr:nvCxnSpPr>
      <xdr:spPr>
        <a:xfrm>
          <a:off x="26693133" y="3124091"/>
          <a:ext cx="1491902" cy="1790"/>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549007</xdr:colOff>
      <xdr:row>20</xdr:row>
      <xdr:rowOff>8776</xdr:rowOff>
    </xdr:from>
    <xdr:to>
      <xdr:col>5</xdr:col>
      <xdr:colOff>19051</xdr:colOff>
      <xdr:row>20</xdr:row>
      <xdr:rowOff>12620</xdr:rowOff>
    </xdr:to>
    <xdr:cxnSp macro="">
      <xdr:nvCxnSpPr>
        <xdr:cNvPr id="199" name="Rechte verbindingslijn met pijl 198"/>
        <xdr:cNvCxnSpPr>
          <a:stCxn id="205" idx="3"/>
          <a:endCxn id="196" idx="1"/>
        </xdr:cNvCxnSpPr>
      </xdr:nvCxnSpPr>
      <xdr:spPr>
        <a:xfrm flipV="1">
          <a:off x="1983360" y="5029011"/>
          <a:ext cx="680279" cy="3844"/>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17</xdr:row>
      <xdr:rowOff>9417</xdr:rowOff>
    </xdr:from>
    <xdr:to>
      <xdr:col>9</xdr:col>
      <xdr:colOff>19850</xdr:colOff>
      <xdr:row>20</xdr:row>
      <xdr:rowOff>8776</xdr:rowOff>
    </xdr:to>
    <xdr:cxnSp macro="">
      <xdr:nvCxnSpPr>
        <xdr:cNvPr id="200" name="Rechte verbindingslijn met pijl 199"/>
        <xdr:cNvCxnSpPr>
          <a:stCxn id="196" idx="3"/>
          <a:endCxn id="193" idx="1"/>
        </xdr:cNvCxnSpPr>
      </xdr:nvCxnSpPr>
      <xdr:spPr>
        <a:xfrm flipV="1">
          <a:off x="23949133" y="3124092"/>
          <a:ext cx="759517" cy="54228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627530</xdr:colOff>
      <xdr:row>20</xdr:row>
      <xdr:rowOff>44824</xdr:rowOff>
    </xdr:from>
    <xdr:to>
      <xdr:col>14</xdr:col>
      <xdr:colOff>481853</xdr:colOff>
      <xdr:row>26</xdr:row>
      <xdr:rowOff>22411</xdr:rowOff>
    </xdr:to>
    <xdr:cxnSp macro="">
      <xdr:nvCxnSpPr>
        <xdr:cNvPr id="201" name="Rechte verbindingslijn met pijl 200"/>
        <xdr:cNvCxnSpPr/>
      </xdr:nvCxnSpPr>
      <xdr:spPr>
        <a:xfrm flipH="1">
          <a:off x="26687930" y="3702424"/>
          <a:ext cx="1911723" cy="1063437"/>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661147</xdr:colOff>
      <xdr:row>20</xdr:row>
      <xdr:rowOff>14027</xdr:rowOff>
    </xdr:from>
    <xdr:to>
      <xdr:col>15</xdr:col>
      <xdr:colOff>328849</xdr:colOff>
      <xdr:row>27</xdr:row>
      <xdr:rowOff>78442</xdr:rowOff>
    </xdr:to>
    <xdr:cxnSp macro="">
      <xdr:nvCxnSpPr>
        <xdr:cNvPr id="202" name="Rechte verbindingslijn met pijl 201"/>
        <xdr:cNvCxnSpPr>
          <a:endCxn id="204" idx="2"/>
        </xdr:cNvCxnSpPr>
      </xdr:nvCxnSpPr>
      <xdr:spPr>
        <a:xfrm flipV="1">
          <a:off x="26721547" y="3671627"/>
          <a:ext cx="2410902" cy="1331240"/>
        </a:xfrm>
        <a:prstGeom prst="straightConnector1">
          <a:avLst/>
        </a:prstGeom>
        <a:noFill/>
        <a:ln w="19050" cap="flat" cmpd="sng" algn="ctr">
          <a:solidFill>
            <a:srgbClr val="5F1F7A"/>
          </a:solidFill>
          <a:prstDash val="solid"/>
          <a:tailEnd type="arrow"/>
        </a:ln>
        <a:effectLst/>
      </xdr:spPr>
    </xdr:cxnSp>
    <xdr:clientData/>
  </xdr:twoCellAnchor>
  <xdr:twoCellAnchor>
    <xdr:from>
      <xdr:col>6</xdr:col>
      <xdr:colOff>325492</xdr:colOff>
      <xdr:row>22</xdr:row>
      <xdr:rowOff>10188</xdr:rowOff>
    </xdr:from>
    <xdr:to>
      <xdr:col>9</xdr:col>
      <xdr:colOff>24573</xdr:colOff>
      <xdr:row>26</xdr:row>
      <xdr:rowOff>186389</xdr:rowOff>
    </xdr:to>
    <xdr:cxnSp macro="">
      <xdr:nvCxnSpPr>
        <xdr:cNvPr id="203" name="Rechte verbindingslijn met pijl 202"/>
        <xdr:cNvCxnSpPr>
          <a:stCxn id="196" idx="2"/>
          <a:endCxn id="194" idx="1"/>
        </xdr:cNvCxnSpPr>
      </xdr:nvCxnSpPr>
      <xdr:spPr>
        <a:xfrm>
          <a:off x="22956892" y="4029738"/>
          <a:ext cx="1756481" cy="890576"/>
        </a:xfrm>
        <a:prstGeom prst="straightConnector1">
          <a:avLst/>
        </a:prstGeom>
        <a:noFill/>
        <a:ln w="19050" cap="flat" cmpd="sng" algn="ctr">
          <a:solidFill>
            <a:srgbClr val="5F1F7A"/>
          </a:solidFill>
          <a:prstDash val="solid"/>
          <a:tailEnd type="arrow"/>
        </a:ln>
        <a:effectLst/>
      </xdr:spPr>
    </xdr:cxnSp>
    <xdr:clientData/>
  </xdr:twoCellAnchor>
  <xdr:twoCellAnchor>
    <xdr:from>
      <xdr:col>14</xdr:col>
      <xdr:colOff>22408</xdr:colOff>
      <xdr:row>16</xdr:row>
      <xdr:rowOff>11203</xdr:rowOff>
    </xdr:from>
    <xdr:to>
      <xdr:col>16</xdr:col>
      <xdr:colOff>635291</xdr:colOff>
      <xdr:row>20</xdr:row>
      <xdr:rowOff>14027</xdr:rowOff>
    </xdr:to>
    <xdr:sp macro="" textlink="">
      <xdr:nvSpPr>
        <xdr:cNvPr id="204" name="Rechthoek 203"/>
        <xdr:cNvSpPr/>
      </xdr:nvSpPr>
      <xdr:spPr>
        <a:xfrm>
          <a:off x="28140208" y="2944903"/>
          <a:ext cx="1984483" cy="726724"/>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FFFFFF"/>
              </a:solidFill>
              <a:effectLst/>
              <a:uLnTx/>
              <a:uFillTx/>
              <a:latin typeface="Arial"/>
              <a:ea typeface="+mn-ea"/>
              <a:cs typeface="+mn-cs"/>
            </a:rPr>
            <a:t>(dit bestand)</a:t>
          </a:r>
        </a:p>
      </xdr:txBody>
    </xdr:sp>
    <xdr:clientData/>
  </xdr:twoCellAnchor>
  <xdr:twoCellAnchor>
    <xdr:from>
      <xdr:col>0</xdr:col>
      <xdr:colOff>179293</xdr:colOff>
      <xdr:row>18</xdr:row>
      <xdr:rowOff>33620</xdr:rowOff>
    </xdr:from>
    <xdr:to>
      <xdr:col>3</xdr:col>
      <xdr:colOff>549007</xdr:colOff>
      <xdr:row>21</xdr:row>
      <xdr:rowOff>182120</xdr:rowOff>
    </xdr:to>
    <xdr:sp macro="" textlink="">
      <xdr:nvSpPr>
        <xdr:cNvPr id="205" name="Rechthoek 204"/>
        <xdr:cNvSpPr/>
      </xdr:nvSpPr>
      <xdr:spPr>
        <a:xfrm>
          <a:off x="179293" y="4672855"/>
          <a:ext cx="1804067"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Investeringen</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10</xdr:row>
      <xdr:rowOff>78441</xdr:rowOff>
    </xdr:from>
    <xdr:to>
      <xdr:col>7</xdr:col>
      <xdr:colOff>635292</xdr:colOff>
      <xdr:row>14</xdr:row>
      <xdr:rowOff>81265</xdr:rowOff>
    </xdr:to>
    <xdr:sp macro="" textlink="">
      <xdr:nvSpPr>
        <xdr:cNvPr id="206" name="Stroomdiagram: Proces 205"/>
        <xdr:cNvSpPr/>
      </xdr:nvSpPr>
      <xdr:spPr>
        <a:xfrm>
          <a:off x="21968010" y="1926291"/>
          <a:ext cx="1984482" cy="7267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Start EHD-GAW</a:t>
          </a:r>
        </a:p>
      </xdr:txBody>
    </xdr:sp>
    <xdr:clientData/>
  </xdr:twoCellAnchor>
  <xdr:twoCellAnchor>
    <xdr:from>
      <xdr:col>6</xdr:col>
      <xdr:colOff>325492</xdr:colOff>
      <xdr:row>14</xdr:row>
      <xdr:rowOff>81265</xdr:rowOff>
    </xdr:from>
    <xdr:to>
      <xdr:col>6</xdr:col>
      <xdr:colOff>328851</xdr:colOff>
      <xdr:row>18</xdr:row>
      <xdr:rowOff>7363</xdr:rowOff>
    </xdr:to>
    <xdr:cxnSp macro="">
      <xdr:nvCxnSpPr>
        <xdr:cNvPr id="207" name="Rechte verbindingslijn met pijl 206"/>
        <xdr:cNvCxnSpPr>
          <a:stCxn id="206" idx="2"/>
          <a:endCxn id="196" idx="0"/>
        </xdr:cNvCxnSpPr>
      </xdr:nvCxnSpPr>
      <xdr:spPr>
        <a:xfrm flipH="1">
          <a:off x="22956892" y="2653015"/>
          <a:ext cx="3359" cy="649998"/>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1:R45"/>
  <sheetViews>
    <sheetView showGridLines="0" tabSelected="1" zoomScale="85" zoomScaleNormal="85" workbookViewId="0"/>
  </sheetViews>
  <sheetFormatPr defaultRowHeight="14.25" x14ac:dyDescent="0.2"/>
  <cols>
    <col min="1" max="1" width="3.42578125" style="105" customWidth="1"/>
    <col min="2" max="16384" width="9.140625" style="105"/>
  </cols>
  <sheetData>
    <row r="1" spans="2:18" x14ac:dyDescent="0.2">
      <c r="B1" s="2" t="s">
        <v>389</v>
      </c>
    </row>
    <row r="3" spans="2:18" s="1" customFormat="1" ht="18" customHeight="1" x14ac:dyDescent="0.25">
      <c r="B3" s="3" t="s">
        <v>13</v>
      </c>
    </row>
    <row r="5" spans="2:18" x14ac:dyDescent="0.2">
      <c r="B5" s="2" t="s">
        <v>274</v>
      </c>
    </row>
    <row r="6" spans="2:18" x14ac:dyDescent="0.2">
      <c r="B6" s="84" t="s">
        <v>335</v>
      </c>
    </row>
    <row r="7" spans="2:18" x14ac:dyDescent="0.2">
      <c r="B7" s="20" t="s">
        <v>390</v>
      </c>
      <c r="F7" s="106"/>
    </row>
    <row r="8" spans="2:18" x14ac:dyDescent="0.2">
      <c r="B8" s="20"/>
      <c r="F8" s="106"/>
    </row>
    <row r="10" spans="2:18" s="107" customFormat="1" ht="15" x14ac:dyDescent="0.25">
      <c r="B10" s="107" t="s">
        <v>14</v>
      </c>
    </row>
    <row r="11" spans="2:18" s="108" customFormat="1" ht="15" x14ac:dyDescent="0.25"/>
    <row r="12" spans="2:18" s="108" customFormat="1" ht="15" x14ac:dyDescent="0.25">
      <c r="B12" s="109"/>
      <c r="C12" s="109"/>
      <c r="D12" s="109"/>
      <c r="E12" s="109"/>
      <c r="F12" s="109"/>
      <c r="G12" s="109"/>
      <c r="H12" s="109"/>
      <c r="I12" s="109"/>
      <c r="J12" s="109"/>
      <c r="K12" s="109"/>
      <c r="L12" s="109"/>
      <c r="M12" s="109"/>
      <c r="N12" s="109"/>
      <c r="O12" s="109"/>
      <c r="P12" s="109"/>
      <c r="Q12" s="109"/>
      <c r="R12" s="105"/>
    </row>
    <row r="13" spans="2:18" s="108" customFormat="1" ht="15" x14ac:dyDescent="0.25">
      <c r="B13" s="109"/>
      <c r="C13" s="109"/>
      <c r="D13" s="109"/>
      <c r="E13" s="109"/>
      <c r="F13" s="109"/>
      <c r="G13" s="109"/>
      <c r="H13" s="109"/>
      <c r="I13" s="109"/>
      <c r="J13" s="109"/>
      <c r="K13" s="109"/>
      <c r="L13" s="109"/>
      <c r="M13" s="109"/>
      <c r="N13" s="109"/>
      <c r="O13" s="109"/>
      <c r="P13" s="109"/>
      <c r="Q13" s="109"/>
      <c r="R13" s="105"/>
    </row>
    <row r="14" spans="2:18" s="108" customFormat="1" ht="15" x14ac:dyDescent="0.25">
      <c r="B14" s="109"/>
      <c r="C14" s="109"/>
      <c r="D14" s="109"/>
      <c r="E14" s="109"/>
      <c r="F14" s="109"/>
      <c r="G14" s="109"/>
      <c r="H14" s="109"/>
      <c r="I14" s="109"/>
      <c r="J14" s="109"/>
      <c r="K14" s="109"/>
      <c r="L14" s="109"/>
      <c r="M14" s="109"/>
      <c r="N14" s="109"/>
      <c r="O14" s="109"/>
      <c r="P14" s="109"/>
      <c r="Q14" s="109"/>
      <c r="R14" s="105"/>
    </row>
    <row r="15" spans="2:18" s="108" customFormat="1" ht="15" x14ac:dyDescent="0.25">
      <c r="B15" s="109"/>
      <c r="C15" s="109"/>
      <c r="D15" s="109"/>
      <c r="E15" s="109"/>
      <c r="F15" s="109"/>
      <c r="G15" s="109"/>
      <c r="H15" s="109"/>
      <c r="I15" s="109"/>
      <c r="J15" s="109"/>
      <c r="K15" s="109"/>
      <c r="L15" s="109"/>
      <c r="M15" s="109"/>
      <c r="N15" s="109"/>
      <c r="O15" s="109"/>
      <c r="P15" s="109"/>
      <c r="Q15" s="109"/>
      <c r="R15" s="105"/>
    </row>
    <row r="16" spans="2:18" s="108" customFormat="1" ht="15" x14ac:dyDescent="0.25">
      <c r="B16" s="109"/>
      <c r="C16" s="109"/>
      <c r="D16" s="109"/>
      <c r="E16" s="109"/>
      <c r="F16" s="109"/>
      <c r="G16" s="109"/>
      <c r="H16" s="109"/>
      <c r="I16" s="109"/>
      <c r="J16" s="109"/>
      <c r="K16" s="109"/>
      <c r="L16" s="109"/>
      <c r="M16" s="109"/>
      <c r="N16" s="109"/>
      <c r="O16" s="109"/>
      <c r="P16" s="109"/>
      <c r="Q16" s="109"/>
      <c r="R16" s="105"/>
    </row>
    <row r="17" spans="2:18" s="108" customFormat="1" ht="15" x14ac:dyDescent="0.25">
      <c r="B17" s="109"/>
      <c r="C17" s="109"/>
      <c r="D17" s="109"/>
      <c r="E17" s="109"/>
      <c r="F17" s="109"/>
      <c r="G17" s="109"/>
      <c r="H17" s="109"/>
      <c r="I17" s="109"/>
      <c r="J17" s="109"/>
      <c r="K17" s="109"/>
      <c r="L17" s="109"/>
      <c r="M17" s="109"/>
      <c r="N17" s="109"/>
      <c r="O17" s="109"/>
      <c r="P17" s="109"/>
      <c r="Q17" s="109"/>
      <c r="R17" s="105"/>
    </row>
    <row r="18" spans="2:18" s="108" customFormat="1" ht="15" x14ac:dyDescent="0.25">
      <c r="B18" s="109"/>
      <c r="C18" s="109"/>
      <c r="D18" s="109"/>
      <c r="E18" s="109"/>
      <c r="F18" s="109"/>
      <c r="G18" s="109"/>
      <c r="H18" s="109"/>
      <c r="I18" s="109"/>
      <c r="J18" s="109"/>
      <c r="K18" s="109"/>
      <c r="L18" s="109"/>
      <c r="M18" s="109"/>
      <c r="N18" s="109"/>
      <c r="O18" s="109"/>
      <c r="P18" s="109"/>
      <c r="Q18" s="109"/>
      <c r="R18" s="105"/>
    </row>
    <row r="19" spans="2:18" s="108" customFormat="1" ht="15" x14ac:dyDescent="0.25">
      <c r="B19" s="109"/>
      <c r="C19" s="109"/>
      <c r="D19" s="109"/>
      <c r="E19" s="109"/>
      <c r="F19" s="109"/>
      <c r="G19" s="109"/>
      <c r="H19" s="109"/>
      <c r="I19" s="109"/>
      <c r="J19" s="109"/>
      <c r="K19" s="109"/>
      <c r="L19" s="109"/>
      <c r="M19" s="109"/>
      <c r="N19" s="109"/>
      <c r="O19" s="109"/>
      <c r="P19" s="109"/>
      <c r="Q19" s="109"/>
      <c r="R19" s="105"/>
    </row>
    <row r="20" spans="2:18" s="108" customFormat="1" ht="15" x14ac:dyDescent="0.25">
      <c r="B20" s="109"/>
      <c r="C20" s="109"/>
      <c r="D20" s="109"/>
      <c r="E20" s="109"/>
      <c r="F20" s="109"/>
      <c r="G20" s="109"/>
      <c r="H20" s="109"/>
      <c r="I20" s="109"/>
      <c r="J20" s="109"/>
      <c r="K20" s="109"/>
      <c r="L20" s="109"/>
      <c r="M20" s="109"/>
      <c r="N20" s="109"/>
      <c r="O20" s="109"/>
      <c r="P20" s="109"/>
      <c r="Q20" s="109"/>
      <c r="R20" s="105"/>
    </row>
    <row r="21" spans="2:18" s="108" customFormat="1" ht="15" x14ac:dyDescent="0.25">
      <c r="B21" s="109"/>
      <c r="C21" s="109"/>
      <c r="D21" s="109"/>
      <c r="E21" s="109"/>
      <c r="F21" s="109"/>
      <c r="G21" s="109"/>
      <c r="H21" s="109"/>
      <c r="I21" s="109"/>
      <c r="J21" s="109"/>
      <c r="K21" s="109"/>
      <c r="L21" s="109"/>
      <c r="M21" s="109"/>
      <c r="N21" s="109"/>
      <c r="O21" s="109"/>
      <c r="P21" s="109"/>
      <c r="Q21" s="109"/>
      <c r="R21" s="105"/>
    </row>
    <row r="22" spans="2:18" s="108" customFormat="1" ht="15" x14ac:dyDescent="0.25">
      <c r="B22" s="109"/>
      <c r="C22" s="109"/>
      <c r="D22" s="109"/>
      <c r="E22" s="109"/>
      <c r="F22" s="109"/>
      <c r="G22" s="109"/>
      <c r="H22" s="109"/>
      <c r="I22" s="109"/>
      <c r="J22" s="109"/>
      <c r="K22" s="109"/>
      <c r="L22" s="109"/>
      <c r="M22" s="109"/>
      <c r="N22" s="109"/>
      <c r="O22" s="109"/>
      <c r="P22" s="109"/>
      <c r="Q22" s="109"/>
      <c r="R22" s="105"/>
    </row>
    <row r="23" spans="2:18" s="108" customFormat="1" ht="15" x14ac:dyDescent="0.25">
      <c r="B23" s="109"/>
      <c r="C23" s="109"/>
      <c r="D23" s="109"/>
      <c r="E23" s="109"/>
      <c r="F23" s="109"/>
      <c r="G23" s="109"/>
      <c r="H23" s="109"/>
      <c r="I23" s="109"/>
      <c r="J23" s="109"/>
      <c r="K23" s="109"/>
      <c r="L23" s="109"/>
      <c r="M23" s="109"/>
      <c r="N23" s="109"/>
      <c r="O23" s="109"/>
      <c r="P23" s="109"/>
      <c r="Q23" s="109"/>
      <c r="R23" s="105"/>
    </row>
    <row r="24" spans="2:18" s="108" customFormat="1" ht="15" x14ac:dyDescent="0.25">
      <c r="B24" s="109"/>
      <c r="C24" s="109"/>
      <c r="D24" s="109"/>
      <c r="E24" s="109"/>
      <c r="F24" s="109"/>
      <c r="G24" s="109"/>
      <c r="H24" s="109"/>
      <c r="I24" s="109"/>
      <c r="J24" s="109"/>
      <c r="K24" s="109"/>
      <c r="L24" s="109"/>
      <c r="M24" s="109"/>
      <c r="N24" s="109"/>
      <c r="O24" s="109"/>
      <c r="P24" s="109"/>
      <c r="Q24" s="109"/>
      <c r="R24" s="105"/>
    </row>
    <row r="25" spans="2:18" s="108" customFormat="1" ht="15" x14ac:dyDescent="0.25">
      <c r="B25" s="109"/>
      <c r="C25" s="109"/>
      <c r="D25" s="109"/>
      <c r="E25" s="109"/>
      <c r="F25" s="109"/>
      <c r="G25" s="109"/>
      <c r="H25" s="109"/>
      <c r="I25" s="109"/>
      <c r="J25" s="109"/>
      <c r="K25" s="109"/>
      <c r="L25" s="109"/>
      <c r="M25" s="109"/>
      <c r="N25" s="109"/>
      <c r="O25" s="109"/>
      <c r="P25" s="109"/>
      <c r="Q25" s="109"/>
      <c r="R25" s="105"/>
    </row>
    <row r="26" spans="2:18" s="108" customFormat="1" ht="15" x14ac:dyDescent="0.25">
      <c r="B26" s="100" t="s">
        <v>363</v>
      </c>
      <c r="C26" s="100" t="s">
        <v>358</v>
      </c>
      <c r="E26" s="100"/>
      <c r="F26" s="109"/>
      <c r="G26" s="109"/>
      <c r="H26" s="109"/>
      <c r="I26" s="109"/>
      <c r="J26" s="109"/>
      <c r="K26" s="109"/>
      <c r="L26" s="109"/>
      <c r="M26" s="109"/>
      <c r="N26" s="109"/>
      <c r="O26" s="109"/>
      <c r="P26" s="109"/>
      <c r="Q26" s="109"/>
      <c r="R26" s="105"/>
    </row>
    <row r="27" spans="2:18" s="108" customFormat="1" ht="15" x14ac:dyDescent="0.25">
      <c r="B27" s="100" t="s">
        <v>359</v>
      </c>
      <c r="C27" s="100" t="s">
        <v>360</v>
      </c>
      <c r="E27" s="100"/>
      <c r="F27" s="109"/>
      <c r="G27" s="109"/>
      <c r="H27" s="109"/>
      <c r="I27" s="110"/>
      <c r="J27" s="109"/>
      <c r="K27" s="109"/>
      <c r="L27" s="109"/>
      <c r="M27" s="109"/>
      <c r="N27" s="109"/>
      <c r="O27" s="109"/>
      <c r="P27" s="109"/>
      <c r="Q27" s="109"/>
      <c r="R27" s="105"/>
    </row>
    <row r="28" spans="2:18" s="108" customFormat="1" ht="15" x14ac:dyDescent="0.25">
      <c r="B28" s="100" t="s">
        <v>361</v>
      </c>
      <c r="C28" s="100" t="s">
        <v>362</v>
      </c>
      <c r="E28" s="100"/>
      <c r="F28" s="109"/>
      <c r="G28" s="109"/>
      <c r="H28" s="109"/>
      <c r="I28" s="109"/>
      <c r="J28" s="109"/>
      <c r="K28" s="109"/>
      <c r="L28" s="109"/>
      <c r="M28" s="109"/>
      <c r="N28" s="109"/>
      <c r="O28" s="109"/>
      <c r="P28" s="109"/>
      <c r="Q28" s="109"/>
      <c r="R28" s="105"/>
    </row>
    <row r="29" spans="2:18" s="108" customFormat="1" ht="15" x14ac:dyDescent="0.25">
      <c r="B29" s="109"/>
      <c r="C29" s="109"/>
      <c r="D29" s="109"/>
      <c r="E29" s="109"/>
      <c r="F29" s="109"/>
      <c r="G29" s="109"/>
      <c r="H29" s="109"/>
      <c r="I29" s="109"/>
      <c r="J29" s="109"/>
      <c r="K29" s="109"/>
      <c r="L29" s="109"/>
      <c r="M29" s="109"/>
      <c r="N29" s="109"/>
      <c r="O29" s="109"/>
      <c r="P29" s="109"/>
      <c r="Q29" s="109"/>
      <c r="R29" s="105"/>
    </row>
    <row r="30" spans="2:18" s="107" customFormat="1" ht="15" x14ac:dyDescent="0.25">
      <c r="B30" s="107" t="s">
        <v>15</v>
      </c>
    </row>
    <row r="32" spans="2:18" x14ac:dyDescent="0.2">
      <c r="B32" s="111"/>
      <c r="C32" s="105" t="s">
        <v>16</v>
      </c>
    </row>
    <row r="33" spans="2:3" x14ac:dyDescent="0.2">
      <c r="B33" s="112"/>
      <c r="C33" s="105" t="s">
        <v>17</v>
      </c>
    </row>
    <row r="34" spans="2:3" x14ac:dyDescent="0.2">
      <c r="B34" s="113"/>
      <c r="C34" s="105" t="s">
        <v>18</v>
      </c>
    </row>
    <row r="35" spans="2:3" x14ac:dyDescent="0.2">
      <c r="B35" s="114"/>
      <c r="C35" s="105" t="s">
        <v>19</v>
      </c>
    </row>
    <row r="36" spans="2:3" x14ac:dyDescent="0.2">
      <c r="B36" s="115"/>
      <c r="C36" s="105" t="s">
        <v>20</v>
      </c>
    </row>
    <row r="37" spans="2:3" x14ac:dyDescent="0.2">
      <c r="B37" s="116"/>
      <c r="C37" s="105" t="s">
        <v>21</v>
      </c>
    </row>
    <row r="38" spans="2:3" x14ac:dyDescent="0.2">
      <c r="B38" s="117"/>
      <c r="C38" s="105" t="s">
        <v>22</v>
      </c>
    </row>
    <row r="39" spans="2:3" x14ac:dyDescent="0.2">
      <c r="B39" s="118"/>
      <c r="C39" s="105" t="s">
        <v>23</v>
      </c>
    </row>
    <row r="40" spans="2:3" ht="15" x14ac:dyDescent="0.25">
      <c r="B40" s="119"/>
      <c r="C40" s="105" t="s">
        <v>366</v>
      </c>
    </row>
    <row r="41" spans="2:3" x14ac:dyDescent="0.2">
      <c r="B41" s="120" t="s">
        <v>24</v>
      </c>
      <c r="C41" s="105" t="s">
        <v>25</v>
      </c>
    </row>
    <row r="45" spans="2:3" x14ac:dyDescent="0.2">
      <c r="B45" s="121" t="s">
        <v>26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FFFFCC"/>
  </sheetPr>
  <dimension ref="A1:T122"/>
  <sheetViews>
    <sheetView showGridLines="0" zoomScale="85" zoomScaleNormal="85" workbookViewId="0">
      <pane xSplit="6" ySplit="8" topLeftCell="G84"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x14ac:dyDescent="0.2">
      <c r="B1" s="2" t="s">
        <v>389</v>
      </c>
    </row>
    <row r="2" spans="1:18" ht="14.25" x14ac:dyDescent="0.2">
      <c r="B2" s="105"/>
      <c r="C2" s="105"/>
      <c r="D2" s="105"/>
      <c r="E2" s="105"/>
    </row>
    <row r="3" spans="1:18" s="14" customFormat="1" ht="18" customHeight="1" x14ac:dyDescent="0.25">
      <c r="B3" s="13" t="s">
        <v>168</v>
      </c>
      <c r="C3" s="13"/>
      <c r="D3" s="13"/>
      <c r="E3" s="13"/>
    </row>
    <row r="5" spans="1:18" x14ac:dyDescent="0.2">
      <c r="B5" s="20" t="s">
        <v>381</v>
      </c>
    </row>
    <row r="6" spans="1:18" x14ac:dyDescent="0.2">
      <c r="B6" s="20"/>
    </row>
    <row r="7" spans="1:18" x14ac:dyDescent="0.2">
      <c r="B7" s="20"/>
    </row>
    <row r="8" spans="1:18" s="9" customFormat="1" x14ac:dyDescent="0.2">
      <c r="D8" s="9" t="s">
        <v>39</v>
      </c>
      <c r="H8" s="9" t="s">
        <v>1</v>
      </c>
      <c r="J8" s="9" t="s">
        <v>11</v>
      </c>
      <c r="L8" s="9" t="s">
        <v>5</v>
      </c>
      <c r="M8" s="9" t="s">
        <v>250</v>
      </c>
      <c r="N8" s="9" t="s">
        <v>6</v>
      </c>
      <c r="O8" s="9" t="s">
        <v>7</v>
      </c>
      <c r="P8" s="9" t="s">
        <v>8</v>
      </c>
      <c r="Q8" s="9" t="s">
        <v>9</v>
      </c>
      <c r="R8" s="9" t="s">
        <v>10</v>
      </c>
    </row>
    <row r="11" spans="1:18" s="1" customFormat="1" x14ac:dyDescent="0.2">
      <c r="B11" s="9" t="s">
        <v>50</v>
      </c>
      <c r="C11" s="9"/>
      <c r="D11" s="9"/>
      <c r="E11" s="9"/>
    </row>
    <row r="13" spans="1:18" x14ac:dyDescent="0.2">
      <c r="A13" s="10"/>
      <c r="B13" s="4" t="s">
        <v>49</v>
      </c>
    </row>
    <row r="14" spans="1:18" x14ac:dyDescent="0.2">
      <c r="A14" s="10"/>
      <c r="L14" s="11"/>
    </row>
    <row r="15" spans="1:18" x14ac:dyDescent="0.2">
      <c r="A15" s="10"/>
      <c r="B15" s="2" t="s">
        <v>40</v>
      </c>
      <c r="D15" s="2" t="s">
        <v>273</v>
      </c>
      <c r="H15" s="2" t="s">
        <v>31</v>
      </c>
      <c r="J15" s="6">
        <f>SUM(L15:R15)</f>
        <v>285157471.99865031</v>
      </c>
      <c r="L15" s="45">
        <f>'Import kosten 2012-2015'!L26</f>
        <v>7451575.1912717912</v>
      </c>
      <c r="M15" s="45">
        <f>'Import kosten 2012-2015'!M26</f>
        <v>9525244.844766533</v>
      </c>
      <c r="N15" s="45">
        <f>'Import kosten 2012-2015'!N26</f>
        <v>88572335.242045164</v>
      </c>
      <c r="O15" s="45">
        <f>'Import kosten 2012-2015'!O26</f>
        <v>100990561.58957168</v>
      </c>
      <c r="P15" s="45">
        <f>'Import kosten 2012-2015'!P26</f>
        <v>2831660.4499999997</v>
      </c>
      <c r="Q15" s="45">
        <f>'Import kosten 2012-2015'!Q26</f>
        <v>70693470.9075948</v>
      </c>
      <c r="R15" s="45">
        <f>'Import kosten 2012-2015'!R26</f>
        <v>5092623.773400344</v>
      </c>
    </row>
    <row r="16" spans="1:18" x14ac:dyDescent="0.2">
      <c r="A16" s="10"/>
      <c r="B16" s="2" t="s">
        <v>131</v>
      </c>
      <c r="D16" s="20" t="s">
        <v>94</v>
      </c>
      <c r="H16" s="2" t="s">
        <v>31</v>
      </c>
      <c r="J16" s="6">
        <f>SUM(L16:R16)</f>
        <v>34563433.392791204</v>
      </c>
      <c r="L16" s="45">
        <f>'Import kosten 2012-2015'!L27</f>
        <v>210.91139999999763</v>
      </c>
      <c r="M16" s="45">
        <f>'Import kosten 2012-2015'!M27</f>
        <v>451449</v>
      </c>
      <c r="N16" s="45">
        <f>'Import kosten 2012-2015'!N27</f>
        <v>1967702.6566543626</v>
      </c>
      <c r="O16" s="45">
        <f>'Import kosten 2012-2015'!O27</f>
        <v>17769008.27</v>
      </c>
      <c r="P16" s="45">
        <f>'Import kosten 2012-2015'!P27</f>
        <v>2147127.5547368433</v>
      </c>
      <c r="Q16" s="45">
        <f>'Import kosten 2012-2015'!Q27</f>
        <v>12227935</v>
      </c>
      <c r="R16" s="45">
        <f>'Import kosten 2012-2015'!R27</f>
        <v>0</v>
      </c>
    </row>
    <row r="17" spans="1:18" x14ac:dyDescent="0.2">
      <c r="A17" s="10"/>
      <c r="B17" s="2" t="s">
        <v>131</v>
      </c>
      <c r="D17" s="20" t="s">
        <v>104</v>
      </c>
      <c r="H17" s="2" t="s">
        <v>31</v>
      </c>
      <c r="J17" s="6">
        <f>SUM(L17:R17)</f>
        <v>34354190.774288967</v>
      </c>
      <c r="L17" s="45">
        <f>'Import kosten 2012-2015'!L28</f>
        <v>210.91139999999834</v>
      </c>
      <c r="M17" s="45">
        <f>'Import kosten 2012-2015'!M28</f>
        <v>451449</v>
      </c>
      <c r="N17" s="45">
        <f>'Import kosten 2012-2015'!N28</f>
        <v>1868150.9927676748</v>
      </c>
      <c r="O17" s="45">
        <f>'Import kosten 2012-2015'!O28</f>
        <v>17769008.27</v>
      </c>
      <c r="P17" s="45">
        <f>'Import kosten 2012-2015'!P28</f>
        <v>2037436.6001212921</v>
      </c>
      <c r="Q17" s="45">
        <f>'Import kosten 2012-2015'!Q28</f>
        <v>12227935</v>
      </c>
      <c r="R17" s="45">
        <f>'Import kosten 2012-2015'!R28</f>
        <v>0</v>
      </c>
    </row>
    <row r="18" spans="1:18" x14ac:dyDescent="0.2">
      <c r="A18" s="10"/>
      <c r="L18" s="11"/>
    </row>
    <row r="19" spans="1:18" x14ac:dyDescent="0.2">
      <c r="A19" s="10"/>
      <c r="B19" s="2" t="s">
        <v>99</v>
      </c>
      <c r="D19" s="20" t="s">
        <v>94</v>
      </c>
      <c r="H19" s="2" t="s">
        <v>31</v>
      </c>
      <c r="J19" s="46">
        <f>SUM(L19:R19)</f>
        <v>493875762.67241722</v>
      </c>
      <c r="L19" s="5">
        <f>'Import kosten 2012-2015'!L30</f>
        <v>7999423.3878301848</v>
      </c>
      <c r="M19" s="5">
        <f>'Import kosten 2012-2015'!M30</f>
        <v>10035658.642915962</v>
      </c>
      <c r="N19" s="5">
        <f>'Import kosten 2012-2015'!N30</f>
        <v>145953983.48611182</v>
      </c>
      <c r="O19" s="5">
        <f>'Import kosten 2012-2015'!O30</f>
        <v>169354431.38977227</v>
      </c>
      <c r="P19" s="5">
        <f>'Import kosten 2012-2015'!P30</f>
        <v>13578115.185476676</v>
      </c>
      <c r="Q19" s="5">
        <f>'Import kosten 2012-2015'!Q30</f>
        <v>134953468.69069794</v>
      </c>
      <c r="R19" s="5">
        <f>'Import kosten 2012-2015'!R30</f>
        <v>12000681.889612377</v>
      </c>
    </row>
    <row r="20" spans="1:18" x14ac:dyDescent="0.2">
      <c r="A20" s="10"/>
      <c r="B20" s="2" t="s">
        <v>103</v>
      </c>
      <c r="D20" s="20" t="s">
        <v>104</v>
      </c>
      <c r="H20" s="2" t="s">
        <v>31</v>
      </c>
      <c r="J20" s="46">
        <f>SUM(L20:R20)</f>
        <v>417038102.91135931</v>
      </c>
      <c r="L20" s="5">
        <f>'Import kosten 2012-2015'!L31</f>
        <v>6770386.5543276174</v>
      </c>
      <c r="M20" s="5">
        <f>'Import kosten 2012-2015'!M31</f>
        <v>8514848.3295387104</v>
      </c>
      <c r="N20" s="5">
        <f>'Import kosten 2012-2015'!N31</f>
        <v>124147206.830154</v>
      </c>
      <c r="O20" s="5">
        <f>'Import kosten 2012-2015'!O31</f>
        <v>141768916.30623418</v>
      </c>
      <c r="P20" s="5">
        <f>'Import kosten 2012-2015'!P31</f>
        <v>11601082.856485359</v>
      </c>
      <c r="Q20" s="5">
        <f>'Import kosten 2012-2015'!Q31</f>
        <v>113857226.20206083</v>
      </c>
      <c r="R20" s="5">
        <f>'Import kosten 2012-2015'!R31</f>
        <v>10378435.832558611</v>
      </c>
    </row>
    <row r="21" spans="1:18" x14ac:dyDescent="0.2">
      <c r="A21" s="10"/>
    </row>
    <row r="22" spans="1:18" x14ac:dyDescent="0.2">
      <c r="A22" s="10"/>
      <c r="B22" s="2" t="s">
        <v>248</v>
      </c>
      <c r="H22" s="2" t="s">
        <v>31</v>
      </c>
      <c r="J22" s="5">
        <f>'Import kosten 2012-2015'!J33</f>
        <v>14691042.110954463</v>
      </c>
      <c r="L22" s="7"/>
      <c r="M22" s="7"/>
      <c r="N22" s="7"/>
      <c r="O22" s="7"/>
      <c r="P22" s="7"/>
      <c r="Q22" s="7"/>
      <c r="R22" s="7"/>
    </row>
    <row r="23" spans="1:18" x14ac:dyDescent="0.2">
      <c r="A23" s="10"/>
      <c r="L23" s="7"/>
      <c r="M23" s="7"/>
      <c r="N23" s="7"/>
      <c r="O23" s="7"/>
      <c r="P23" s="7"/>
      <c r="Q23" s="7"/>
      <c r="R23" s="7"/>
    </row>
    <row r="24" spans="1:18" x14ac:dyDescent="0.2">
      <c r="A24" s="10"/>
    </row>
    <row r="25" spans="1:18" x14ac:dyDescent="0.2">
      <c r="A25" s="10"/>
      <c r="B25" s="4" t="s">
        <v>51</v>
      </c>
    </row>
    <row r="26" spans="1:18" x14ac:dyDescent="0.2">
      <c r="A26" s="10"/>
    </row>
    <row r="27" spans="1:18" x14ac:dyDescent="0.2">
      <c r="A27" s="10"/>
      <c r="B27" s="2" t="s">
        <v>44</v>
      </c>
      <c r="D27" s="2" t="s">
        <v>273</v>
      </c>
      <c r="H27" s="2" t="s">
        <v>32</v>
      </c>
      <c r="J27" s="6">
        <f>SUM(L27:R27)</f>
        <v>267212784.69115961</v>
      </c>
      <c r="L27" s="45">
        <f>'Import kosten 2012-2015'!L43</f>
        <v>6935909.1934935842</v>
      </c>
      <c r="M27" s="45">
        <f>'Import kosten 2012-2015'!M43</f>
        <v>8998793.8805555701</v>
      </c>
      <c r="N27" s="45">
        <f>'Import kosten 2012-2015'!N43</f>
        <v>83845995.882136196</v>
      </c>
      <c r="O27" s="45">
        <f>'Import kosten 2012-2015'!O43</f>
        <v>96477859.267688885</v>
      </c>
      <c r="P27" s="45">
        <f>'Import kosten 2012-2015'!P43</f>
        <v>3120993.8699999996</v>
      </c>
      <c r="Q27" s="45">
        <f>'Import kosten 2012-2015'!Q43</f>
        <v>62419817.082348645</v>
      </c>
      <c r="R27" s="45">
        <f>'Import kosten 2012-2015'!R43</f>
        <v>5413415.5149367191</v>
      </c>
    </row>
    <row r="28" spans="1:18" x14ac:dyDescent="0.2">
      <c r="A28" s="10"/>
      <c r="B28" s="2" t="s">
        <v>132</v>
      </c>
      <c r="D28" s="20" t="s">
        <v>94</v>
      </c>
      <c r="H28" s="2" t="s">
        <v>32</v>
      </c>
      <c r="J28" s="6">
        <f>SUM(L28:R28)</f>
        <v>42577821.933854073</v>
      </c>
      <c r="L28" s="45">
        <f>'Import kosten 2012-2015'!L44</f>
        <v>219.67049999999759</v>
      </c>
      <c r="M28" s="45">
        <f>'Import kosten 2012-2015'!M44</f>
        <v>426541</v>
      </c>
      <c r="N28" s="45">
        <f>'Import kosten 2012-2015'!N44</f>
        <v>1992402.1398757652</v>
      </c>
      <c r="O28" s="45">
        <f>'Import kosten 2012-2015'!O44</f>
        <v>24827387.039999999</v>
      </c>
      <c r="P28" s="45">
        <f>'Import kosten 2012-2015'!P44</f>
        <v>2130789.4934783084</v>
      </c>
      <c r="Q28" s="45">
        <f>'Import kosten 2012-2015'!Q44</f>
        <v>13198864</v>
      </c>
      <c r="R28" s="45">
        <f>'Import kosten 2012-2015'!R44</f>
        <v>1618.59</v>
      </c>
    </row>
    <row r="29" spans="1:18" x14ac:dyDescent="0.2">
      <c r="A29" s="10"/>
      <c r="B29" s="2" t="s">
        <v>132</v>
      </c>
      <c r="D29" s="20" t="s">
        <v>104</v>
      </c>
      <c r="H29" s="2" t="s">
        <v>32</v>
      </c>
      <c r="J29" s="6">
        <f>SUM(L29:R29)</f>
        <v>42396643.994577795</v>
      </c>
      <c r="L29" s="45">
        <f>'Import kosten 2012-2015'!L45</f>
        <v>219.67049999999833</v>
      </c>
      <c r="M29" s="45">
        <f>'Import kosten 2012-2015'!M45</f>
        <v>426541</v>
      </c>
      <c r="N29" s="45">
        <f>'Import kosten 2012-2015'!N45</f>
        <v>1901434.0416753078</v>
      </c>
      <c r="O29" s="45">
        <f>'Import kosten 2012-2015'!O45</f>
        <v>24827387.039999999</v>
      </c>
      <c r="P29" s="45">
        <f>'Import kosten 2012-2015'!P45</f>
        <v>2040579.652402479</v>
      </c>
      <c r="Q29" s="45">
        <f>'Import kosten 2012-2015'!Q45</f>
        <v>13198864</v>
      </c>
      <c r="R29" s="45">
        <f>'Import kosten 2012-2015'!R45</f>
        <v>1618.59</v>
      </c>
    </row>
    <row r="30" spans="1:18" x14ac:dyDescent="0.2">
      <c r="A30" s="10"/>
    </row>
    <row r="31" spans="1:18" x14ac:dyDescent="0.2">
      <c r="A31" s="10"/>
      <c r="B31" s="2" t="s">
        <v>98</v>
      </c>
      <c r="D31" s="20" t="s">
        <v>94</v>
      </c>
      <c r="H31" s="2" t="s">
        <v>32</v>
      </c>
      <c r="J31" s="46">
        <f>SUM(L31:R31)</f>
        <v>515054270.62912261</v>
      </c>
      <c r="L31" s="5">
        <f>'Import kosten 2012-2015'!L47</f>
        <v>8257095.2500093114</v>
      </c>
      <c r="M31" s="5">
        <f>'Import kosten 2012-2015'!M47</f>
        <v>10437186.239542939</v>
      </c>
      <c r="N31" s="5">
        <f>'Import kosten 2012-2015'!N47</f>
        <v>154102046.79338378</v>
      </c>
      <c r="O31" s="5">
        <f>'Import kosten 2012-2015'!O47</f>
        <v>175219282.1897963</v>
      </c>
      <c r="P31" s="5">
        <f>'Import kosten 2012-2015'!P47</f>
        <v>13600189.277826669</v>
      </c>
      <c r="Q31" s="5">
        <f>'Import kosten 2012-2015'!Q47</f>
        <v>141050864.08941066</v>
      </c>
      <c r="R31" s="5">
        <f>'Import kosten 2012-2015'!R47</f>
        <v>12387606.789152969</v>
      </c>
    </row>
    <row r="32" spans="1:18" x14ac:dyDescent="0.2">
      <c r="A32" s="10"/>
      <c r="B32" s="2" t="s">
        <v>102</v>
      </c>
      <c r="D32" s="20" t="s">
        <v>104</v>
      </c>
      <c r="H32" s="2" t="s">
        <v>32</v>
      </c>
      <c r="J32" s="46">
        <f>SUM(L32:R32)</f>
        <v>435899635.51916558</v>
      </c>
      <c r="L32" s="5">
        <f>'Import kosten 2012-2015'!L48</f>
        <v>7010036.4861216238</v>
      </c>
      <c r="M32" s="5">
        <f>'Import kosten 2012-2015'!M48</f>
        <v>8879682.8633755948</v>
      </c>
      <c r="N32" s="5">
        <f>'Import kosten 2012-2015'!N48</f>
        <v>131316172.34463736</v>
      </c>
      <c r="O32" s="5">
        <f>'Import kosten 2012-2015'!O48</f>
        <v>147038588.98556682</v>
      </c>
      <c r="P32" s="5">
        <f>'Import kosten 2012-2015'!P48</f>
        <v>11632146.724093284</v>
      </c>
      <c r="Q32" s="5">
        <f>'Import kosten 2012-2015'!Q48</f>
        <v>119277473.0459336</v>
      </c>
      <c r="R32" s="5">
        <f>'Import kosten 2012-2015'!R48</f>
        <v>10745535.06943729</v>
      </c>
    </row>
    <row r="33" spans="1:18" x14ac:dyDescent="0.2">
      <c r="A33" s="10"/>
    </row>
    <row r="34" spans="1:18" x14ac:dyDescent="0.2">
      <c r="A34" s="10"/>
      <c r="B34" s="2" t="s">
        <v>249</v>
      </c>
      <c r="H34" s="2" t="s">
        <v>32</v>
      </c>
      <c r="J34" s="5">
        <f>'Import kosten 2012-2015'!J50</f>
        <v>2002544</v>
      </c>
      <c r="L34" s="7"/>
      <c r="M34" s="7"/>
      <c r="N34" s="7"/>
      <c r="O34" s="7"/>
      <c r="P34" s="7"/>
      <c r="Q34" s="7"/>
      <c r="R34" s="7"/>
    </row>
    <row r="35" spans="1:18" x14ac:dyDescent="0.2">
      <c r="A35" s="10"/>
      <c r="L35" s="7"/>
      <c r="M35" s="7"/>
      <c r="N35" s="7"/>
      <c r="O35" s="7"/>
      <c r="P35" s="7"/>
      <c r="Q35" s="7"/>
      <c r="R35" s="7"/>
    </row>
    <row r="36" spans="1:18" x14ac:dyDescent="0.2">
      <c r="A36" s="10"/>
    </row>
    <row r="37" spans="1:18" x14ac:dyDescent="0.2">
      <c r="A37" s="10"/>
      <c r="B37" s="4" t="s">
        <v>52</v>
      </c>
    </row>
    <row r="38" spans="1:18" x14ac:dyDescent="0.2">
      <c r="A38" s="10"/>
    </row>
    <row r="39" spans="1:18" x14ac:dyDescent="0.2">
      <c r="A39" s="10"/>
      <c r="B39" s="2" t="s">
        <v>42</v>
      </c>
      <c r="D39" s="2" t="s">
        <v>273</v>
      </c>
      <c r="H39" s="2" t="s">
        <v>33</v>
      </c>
      <c r="J39" s="6">
        <f>SUM(L39:R39)</f>
        <v>278448677.14132053</v>
      </c>
      <c r="L39" s="45">
        <f>'Import kosten 2012-2015'!L60</f>
        <v>6176784.590973869</v>
      </c>
      <c r="M39" s="45">
        <f>'Import kosten 2012-2015'!M60</f>
        <v>8879920.9694585036</v>
      </c>
      <c r="N39" s="45">
        <f>'Import kosten 2012-2015'!N60</f>
        <v>90155912.919131845</v>
      </c>
      <c r="O39" s="45">
        <f>'Import kosten 2012-2015'!O60</f>
        <v>100693952.63604388</v>
      </c>
      <c r="P39" s="45">
        <f>'Import kosten 2012-2015'!P60</f>
        <v>2600002.6199999996</v>
      </c>
      <c r="Q39" s="45">
        <f>'Import kosten 2012-2015'!Q60</f>
        <v>64267064.506774545</v>
      </c>
      <c r="R39" s="45">
        <f>'Import kosten 2012-2015'!R60</f>
        <v>5675038.8989379015</v>
      </c>
    </row>
    <row r="40" spans="1:18" x14ac:dyDescent="0.2">
      <c r="A40" s="10"/>
      <c r="B40" s="2" t="s">
        <v>133</v>
      </c>
      <c r="D40" s="20" t="s">
        <v>94</v>
      </c>
      <c r="H40" s="2" t="s">
        <v>33</v>
      </c>
      <c r="J40" s="6">
        <f>SUM(L40:R40)</f>
        <v>48925050.886030965</v>
      </c>
      <c r="L40" s="45">
        <f>'Import kosten 2012-2015'!L61</f>
        <v>935.72972972972741</v>
      </c>
      <c r="M40" s="45">
        <f>'Import kosten 2012-2015'!M61</f>
        <v>441340</v>
      </c>
      <c r="N40" s="45">
        <f>'Import kosten 2012-2015'!N61</f>
        <v>2080696.7167516127</v>
      </c>
      <c r="O40" s="45">
        <f>'Import kosten 2012-2015'!O61</f>
        <v>30543455.629999999</v>
      </c>
      <c r="P40" s="45">
        <f>'Import kosten 2012-2015'!P61</f>
        <v>2075576.9384684132</v>
      </c>
      <c r="Q40" s="45">
        <f>'Import kosten 2012-2015'!Q61</f>
        <v>13776110.821081214</v>
      </c>
      <c r="R40" s="45">
        <f>'Import kosten 2012-2015'!R61</f>
        <v>6935.05</v>
      </c>
    </row>
    <row r="41" spans="1:18" x14ac:dyDescent="0.2">
      <c r="A41" s="10"/>
      <c r="B41" s="2" t="s">
        <v>133</v>
      </c>
      <c r="D41" s="20" t="s">
        <v>104</v>
      </c>
      <c r="H41" s="2" t="s">
        <v>33</v>
      </c>
      <c r="J41" s="6">
        <f>SUM(L41:R41)</f>
        <v>48776323.874631368</v>
      </c>
      <c r="L41" s="45">
        <f>'Import kosten 2012-2015'!L62</f>
        <v>935.72972972972809</v>
      </c>
      <c r="M41" s="45">
        <f>'Import kosten 2012-2015'!M62</f>
        <v>441340</v>
      </c>
      <c r="N41" s="45">
        <f>'Import kosten 2012-2015'!N62</f>
        <v>2000303.6599669582</v>
      </c>
      <c r="O41" s="45">
        <f>'Import kosten 2012-2015'!O62</f>
        <v>30543455.629999999</v>
      </c>
      <c r="P41" s="45">
        <f>'Import kosten 2012-2015'!P62</f>
        <v>2007242.9838534724</v>
      </c>
      <c r="Q41" s="45">
        <f>'Import kosten 2012-2015'!Q62</f>
        <v>13776110.821081214</v>
      </c>
      <c r="R41" s="45">
        <f>'Import kosten 2012-2015'!R62</f>
        <v>6935.05</v>
      </c>
    </row>
    <row r="42" spans="1:18" x14ac:dyDescent="0.2">
      <c r="A42" s="10"/>
    </row>
    <row r="43" spans="1:18" x14ac:dyDescent="0.2">
      <c r="A43" s="10"/>
      <c r="B43" s="2" t="s">
        <v>97</v>
      </c>
      <c r="D43" s="20" t="s">
        <v>94</v>
      </c>
      <c r="H43" s="2" t="s">
        <v>33</v>
      </c>
      <c r="J43" s="46">
        <f>SUM(L43:R43)</f>
        <v>525976897.97853929</v>
      </c>
      <c r="L43" s="5">
        <f>'Import kosten 2012-2015'!L64</f>
        <v>8321855.0594518613</v>
      </c>
      <c r="M43" s="5">
        <f>'Import kosten 2012-2015'!M64</f>
        <v>10733912.250768796</v>
      </c>
      <c r="N43" s="5">
        <f>'Import kosten 2012-2015'!N64</f>
        <v>159245540.02858275</v>
      </c>
      <c r="O43" s="5">
        <f>'Import kosten 2012-2015'!O64</f>
        <v>178240957.67889997</v>
      </c>
      <c r="P43" s="5">
        <f>'Import kosten 2012-2015'!P64</f>
        <v>13496032.74554202</v>
      </c>
      <c r="Q43" s="5">
        <f>'Import kosten 2012-2015'!Q64</f>
        <v>143310440.94333637</v>
      </c>
      <c r="R43" s="5">
        <f>'Import kosten 2012-2015'!R64</f>
        <v>12628159.271957438</v>
      </c>
    </row>
    <row r="44" spans="1:18" x14ac:dyDescent="0.2">
      <c r="A44" s="10"/>
      <c r="B44" s="2" t="s">
        <v>101</v>
      </c>
      <c r="D44" s="20" t="s">
        <v>104</v>
      </c>
      <c r="H44" s="2" t="s">
        <v>33</v>
      </c>
      <c r="J44" s="46">
        <f>SUM(L44:R44)</f>
        <v>445890235.09642255</v>
      </c>
      <c r="L44" s="5">
        <f>'Import kosten 2012-2015'!L65</f>
        <v>7085205.6890732273</v>
      </c>
      <c r="M44" s="5">
        <f>'Import kosten 2012-2015'!M65</f>
        <v>9148110.693618428</v>
      </c>
      <c r="N44" s="5">
        <f>'Import kosten 2012-2015'!N65</f>
        <v>135632194.35828835</v>
      </c>
      <c r="O44" s="5">
        <f>'Import kosten 2012-2015'!O65</f>
        <v>149896604.150419</v>
      </c>
      <c r="P44" s="5">
        <f>'Import kosten 2012-2015'!P65</f>
        <v>11576358.767079525</v>
      </c>
      <c r="Q44" s="5">
        <f>'Import kosten 2012-2015'!Q65</f>
        <v>121551325.05733997</v>
      </c>
      <c r="R44" s="5">
        <f>'Import kosten 2012-2015'!R65</f>
        <v>11000436.38060404</v>
      </c>
    </row>
    <row r="45" spans="1:18" x14ac:dyDescent="0.2">
      <c r="A45" s="10"/>
    </row>
    <row r="46" spans="1:18" x14ac:dyDescent="0.2">
      <c r="A46" s="10"/>
      <c r="B46" s="2" t="s">
        <v>248</v>
      </c>
      <c r="H46" s="2" t="s">
        <v>33</v>
      </c>
      <c r="J46" s="5">
        <f>'Import kosten 2012-2015'!J67</f>
        <v>0</v>
      </c>
      <c r="L46" s="7"/>
      <c r="M46" s="7"/>
      <c r="N46" s="7"/>
      <c r="O46" s="7"/>
      <c r="P46" s="7"/>
      <c r="Q46" s="7"/>
      <c r="R46" s="7"/>
    </row>
    <row r="47" spans="1:18" x14ac:dyDescent="0.2">
      <c r="A47" s="10"/>
      <c r="L47" s="7"/>
      <c r="M47" s="7"/>
      <c r="N47" s="7"/>
      <c r="O47" s="7"/>
      <c r="P47" s="7"/>
      <c r="Q47" s="7"/>
      <c r="R47" s="7"/>
    </row>
    <row r="49" spans="1:18" s="1" customFormat="1" x14ac:dyDescent="0.2">
      <c r="B49" s="9" t="s">
        <v>138</v>
      </c>
      <c r="C49" s="9"/>
      <c r="D49" s="9"/>
      <c r="E49" s="9"/>
    </row>
    <row r="51" spans="1:18" x14ac:dyDescent="0.2">
      <c r="A51" s="10"/>
      <c r="B51" s="4" t="s">
        <v>34</v>
      </c>
    </row>
    <row r="52" spans="1:18" x14ac:dyDescent="0.2">
      <c r="A52" s="10"/>
      <c r="B52" s="2" t="s">
        <v>46</v>
      </c>
      <c r="D52" s="11"/>
      <c r="H52" s="2" t="s">
        <v>28</v>
      </c>
      <c r="J52" s="33">
        <f>Productiviteitsverandering!L52</f>
        <v>3.3007719701627636E-4</v>
      </c>
    </row>
    <row r="53" spans="1:18" s="10" customFormat="1" x14ac:dyDescent="0.2">
      <c r="J53" s="32"/>
    </row>
    <row r="54" spans="1:18" x14ac:dyDescent="0.2">
      <c r="A54" s="10"/>
      <c r="B54" s="2" t="s">
        <v>35</v>
      </c>
      <c r="H54" s="2" t="s">
        <v>28</v>
      </c>
      <c r="J54" s="33">
        <f>'WACC en CPI'!N39</f>
        <v>4.6586240000000112E-2</v>
      </c>
    </row>
    <row r="55" spans="1:18" x14ac:dyDescent="0.2">
      <c r="A55" s="10"/>
      <c r="B55" s="2" t="s">
        <v>36</v>
      </c>
      <c r="H55" s="2" t="s">
        <v>28</v>
      </c>
      <c r="J55" s="33">
        <f>'WACC en CPI'!O39</f>
        <v>1.8080000000000096E-2</v>
      </c>
    </row>
    <row r="56" spans="1:18" x14ac:dyDescent="0.2">
      <c r="A56" s="10"/>
      <c r="B56" s="2" t="s">
        <v>37</v>
      </c>
      <c r="H56" s="2" t="s">
        <v>28</v>
      </c>
      <c r="J56" s="33">
        <f>'WACC en CPI'!P39</f>
        <v>8.0000000000000002E-3</v>
      </c>
    </row>
    <row r="57" spans="1:18" x14ac:dyDescent="0.2">
      <c r="A57" s="10"/>
    </row>
    <row r="58" spans="1:18" x14ac:dyDescent="0.2">
      <c r="A58" s="10"/>
    </row>
    <row r="59" spans="1:18" x14ac:dyDescent="0.2">
      <c r="A59" s="10"/>
      <c r="B59" s="4" t="s">
        <v>53</v>
      </c>
    </row>
    <row r="60" spans="1:18" x14ac:dyDescent="0.2">
      <c r="A60" s="10"/>
    </row>
    <row r="61" spans="1:18" x14ac:dyDescent="0.2">
      <c r="A61" s="10"/>
      <c r="B61" s="2" t="s">
        <v>245</v>
      </c>
      <c r="D61" s="2" t="s">
        <v>273</v>
      </c>
      <c r="H61" s="2" t="s">
        <v>2</v>
      </c>
      <c r="J61" s="6">
        <f>(J15-J22)*(1-$J$52)^3*(1+$J$54)</f>
        <v>282786235.07816857</v>
      </c>
    </row>
    <row r="62" spans="1:18" x14ac:dyDescent="0.2">
      <c r="A62" s="10"/>
      <c r="B62" s="2" t="s">
        <v>131</v>
      </c>
      <c r="D62" s="20" t="s">
        <v>94</v>
      </c>
      <c r="H62" s="2" t="s">
        <v>2</v>
      </c>
      <c r="J62" s="6">
        <f>SUM(L62:R62)</f>
        <v>36173613.796051793</v>
      </c>
      <c r="L62" s="6">
        <f>L16*(1+$J$54)</f>
        <v>220.73696909913355</v>
      </c>
      <c r="M62" s="6">
        <f t="shared" ref="M62:R63" si="0">M16*(1+$J$54)</f>
        <v>472480.31146176002</v>
      </c>
      <c r="N62" s="6">
        <f t="shared" si="0"/>
        <v>2059370.5248659006</v>
      </c>
      <c r="O62" s="6">
        <f t="shared" si="0"/>
        <v>18596799.553828206</v>
      </c>
      <c r="P62" s="6">
        <f t="shared" si="0"/>
        <v>2247154.1543124272</v>
      </c>
      <c r="Q62" s="6">
        <f t="shared" si="0"/>
        <v>12797588.514614401</v>
      </c>
      <c r="R62" s="6">
        <f t="shared" si="0"/>
        <v>0</v>
      </c>
    </row>
    <row r="63" spans="1:18" x14ac:dyDescent="0.2">
      <c r="A63" s="10"/>
      <c r="B63" s="2" t="s">
        <v>131</v>
      </c>
      <c r="D63" s="20" t="s">
        <v>104</v>
      </c>
      <c r="H63" s="2" t="s">
        <v>2</v>
      </c>
      <c r="J63" s="6">
        <f>SUM(L63:R63)</f>
        <v>35954623.35070578</v>
      </c>
      <c r="L63" s="6">
        <f>L17*(1+$J$54)</f>
        <v>220.73696909913428</v>
      </c>
      <c r="M63" s="6">
        <f t="shared" si="0"/>
        <v>472480.31146176002</v>
      </c>
      <c r="N63" s="6">
        <f t="shared" si="0"/>
        <v>1955181.1232729882</v>
      </c>
      <c r="O63" s="6">
        <f t="shared" si="0"/>
        <v>18596799.553828206</v>
      </c>
      <c r="P63" s="6">
        <f t="shared" si="0"/>
        <v>2132353.1105593266</v>
      </c>
      <c r="Q63" s="6">
        <f t="shared" si="0"/>
        <v>12797588.514614401</v>
      </c>
      <c r="R63" s="6">
        <f t="shared" si="0"/>
        <v>0</v>
      </c>
    </row>
    <row r="64" spans="1:18" x14ac:dyDescent="0.2">
      <c r="A64" s="10"/>
    </row>
    <row r="65" spans="1:18" x14ac:dyDescent="0.2">
      <c r="A65" s="10"/>
      <c r="B65" s="2" t="s">
        <v>136</v>
      </c>
      <c r="D65" s="20" t="s">
        <v>94</v>
      </c>
      <c r="H65" s="2" t="s">
        <v>2</v>
      </c>
      <c r="J65" s="6">
        <f>J19*(1-$J$52)^3*(1+$J$54)</f>
        <v>516371911.9614315</v>
      </c>
    </row>
    <row r="66" spans="1:18" x14ac:dyDescent="0.2">
      <c r="A66" s="10"/>
      <c r="B66" s="2" t="s">
        <v>136</v>
      </c>
      <c r="D66" s="20" t="s">
        <v>104</v>
      </c>
      <c r="H66" s="2" t="s">
        <v>2</v>
      </c>
      <c r="J66" s="6">
        <f>J20*(1-$J$52)^3*(1+$J$54)</f>
        <v>436034279.94895178</v>
      </c>
    </row>
    <row r="67" spans="1:18" x14ac:dyDescent="0.2">
      <c r="A67" s="10"/>
    </row>
    <row r="68" spans="1:18" x14ac:dyDescent="0.2">
      <c r="A68" s="10"/>
    </row>
    <row r="69" spans="1:18" x14ac:dyDescent="0.2">
      <c r="A69" s="10"/>
    </row>
    <row r="70" spans="1:18" x14ac:dyDescent="0.2">
      <c r="A70" s="10"/>
      <c r="B70" s="4" t="s">
        <v>54</v>
      </c>
    </row>
    <row r="71" spans="1:18" x14ac:dyDescent="0.2">
      <c r="A71" s="10"/>
    </row>
    <row r="72" spans="1:18" x14ac:dyDescent="0.2">
      <c r="A72" s="10"/>
      <c r="B72" s="2" t="s">
        <v>247</v>
      </c>
      <c r="D72" s="2" t="s">
        <v>273</v>
      </c>
      <c r="H72" s="2" t="s">
        <v>2</v>
      </c>
      <c r="J72" s="6">
        <f>(J27-J34)*(1-$J$52)^2*(1+$J$55)</f>
        <v>269827026.11337066</v>
      </c>
    </row>
    <row r="73" spans="1:18" x14ac:dyDescent="0.2">
      <c r="A73" s="10"/>
      <c r="B73" s="2" t="s">
        <v>132</v>
      </c>
      <c r="D73" s="20" t="s">
        <v>94</v>
      </c>
      <c r="H73" s="2" t="s">
        <v>2</v>
      </c>
      <c r="J73" s="6">
        <f>SUM(L73:R73)</f>
        <v>43347628.95441816</v>
      </c>
      <c r="L73" s="6">
        <f>L28*(1+$J$55)</f>
        <v>223.64214263999756</v>
      </c>
      <c r="M73" s="6">
        <f t="shared" ref="L73:R74" si="1">M28*(1+$J$55)</f>
        <v>434252.86128000001</v>
      </c>
      <c r="N73" s="6">
        <f t="shared" si="1"/>
        <v>2028424.7705647191</v>
      </c>
      <c r="O73" s="6">
        <f t="shared" si="1"/>
        <v>25276266.1976832</v>
      </c>
      <c r="P73" s="6">
        <f t="shared" si="1"/>
        <v>2169314.1675203964</v>
      </c>
      <c r="Q73" s="6">
        <f t="shared" si="1"/>
        <v>13437499.461120002</v>
      </c>
      <c r="R73" s="6">
        <f t="shared" si="1"/>
        <v>1647.8541072</v>
      </c>
    </row>
    <row r="74" spans="1:18" x14ac:dyDescent="0.2">
      <c r="A74" s="10"/>
      <c r="B74" s="2" t="s">
        <v>132</v>
      </c>
      <c r="D74" s="20" t="s">
        <v>104</v>
      </c>
      <c r="H74" s="2" t="s">
        <v>2</v>
      </c>
      <c r="J74" s="6">
        <f>SUM(L74:R74)</f>
        <v>43163175.31799975</v>
      </c>
      <c r="L74" s="6">
        <f t="shared" si="1"/>
        <v>223.64214263999833</v>
      </c>
      <c r="M74" s="6">
        <f t="shared" si="1"/>
        <v>434252.86128000001</v>
      </c>
      <c r="N74" s="6">
        <f t="shared" si="1"/>
        <v>1935811.9691487974</v>
      </c>
      <c r="O74" s="6">
        <f t="shared" si="1"/>
        <v>25276266.1976832</v>
      </c>
      <c r="P74" s="6">
        <f t="shared" si="1"/>
        <v>2077473.3325179159</v>
      </c>
      <c r="Q74" s="6">
        <f t="shared" si="1"/>
        <v>13437499.461120002</v>
      </c>
      <c r="R74" s="6">
        <f t="shared" si="1"/>
        <v>1647.8541072</v>
      </c>
    </row>
    <row r="75" spans="1:18" x14ac:dyDescent="0.2">
      <c r="A75" s="10"/>
    </row>
    <row r="76" spans="1:18" x14ac:dyDescent="0.2">
      <c r="A76" s="10"/>
      <c r="B76" s="2" t="s">
        <v>135</v>
      </c>
      <c r="D76" s="20" t="s">
        <v>94</v>
      </c>
      <c r="H76" s="2" t="s">
        <v>2</v>
      </c>
      <c r="J76" s="6">
        <f>J31*(1-$J$52)^2*(1+$J$55)</f>
        <v>524020346.1550566</v>
      </c>
    </row>
    <row r="77" spans="1:18" x14ac:dyDescent="0.2">
      <c r="A77" s="10"/>
      <c r="B77" s="2" t="s">
        <v>135</v>
      </c>
      <c r="D77" s="20" t="s">
        <v>104</v>
      </c>
      <c r="H77" s="2" t="s">
        <v>2</v>
      </c>
      <c r="J77" s="6">
        <f>J32*(1-$J$52)^2*(1+$J$55)</f>
        <v>443487785.49997842</v>
      </c>
    </row>
    <row r="78" spans="1:18" x14ac:dyDescent="0.2">
      <c r="A78" s="10"/>
    </row>
    <row r="79" spans="1:18" x14ac:dyDescent="0.2">
      <c r="A79" s="10"/>
    </row>
    <row r="80" spans="1:18" x14ac:dyDescent="0.2">
      <c r="A80" s="10"/>
      <c r="B80" s="4" t="s">
        <v>55</v>
      </c>
    </row>
    <row r="81" spans="1:18" x14ac:dyDescent="0.2">
      <c r="A81" s="10"/>
    </row>
    <row r="82" spans="1:18" x14ac:dyDescent="0.2">
      <c r="A82" s="10"/>
      <c r="B82" s="2" t="s">
        <v>246</v>
      </c>
      <c r="D82" s="2" t="s">
        <v>273</v>
      </c>
      <c r="H82" s="2" t="s">
        <v>2</v>
      </c>
      <c r="J82" s="6">
        <f>(J39-J46)*(1-$J$52)*(1+$J$56)</f>
        <v>280583621.72311646</v>
      </c>
    </row>
    <row r="83" spans="1:18" x14ac:dyDescent="0.2">
      <c r="A83" s="10"/>
      <c r="B83" s="2" t="s">
        <v>133</v>
      </c>
      <c r="D83" s="20" t="s">
        <v>94</v>
      </c>
      <c r="H83" s="2" t="s">
        <v>2</v>
      </c>
      <c r="J83" s="6">
        <f>SUM(L83:R83)</f>
        <v>49316451.293119222</v>
      </c>
      <c r="L83" s="6">
        <f>L40*(1+$J$56)</f>
        <v>943.21556756756524</v>
      </c>
      <c r="M83" s="6">
        <f t="shared" ref="L83:R84" si="2">M40*(1+$J$56)</f>
        <v>444870.72000000003</v>
      </c>
      <c r="N83" s="6">
        <f t="shared" si="2"/>
        <v>2097342.2904856256</v>
      </c>
      <c r="O83" s="6">
        <f t="shared" si="2"/>
        <v>30787803.275040001</v>
      </c>
      <c r="P83" s="6">
        <f t="shared" si="2"/>
        <v>2092181.5539761605</v>
      </c>
      <c r="Q83" s="6">
        <f t="shared" si="2"/>
        <v>13886319.707649864</v>
      </c>
      <c r="R83" s="6">
        <f t="shared" si="2"/>
        <v>6990.5304000000006</v>
      </c>
    </row>
    <row r="84" spans="1:18" x14ac:dyDescent="0.2">
      <c r="A84" s="10"/>
      <c r="B84" s="2" t="s">
        <v>133</v>
      </c>
      <c r="D84" s="20" t="s">
        <v>104</v>
      </c>
      <c r="H84" s="2" t="s">
        <v>2</v>
      </c>
      <c r="J84" s="6">
        <f>SUM(L84:R84)</f>
        <v>49166534.46562843</v>
      </c>
      <c r="L84" s="6">
        <f t="shared" si="2"/>
        <v>943.21556756756593</v>
      </c>
      <c r="M84" s="6">
        <f t="shared" si="2"/>
        <v>444870.72000000003</v>
      </c>
      <c r="N84" s="6">
        <f t="shared" si="2"/>
        <v>2016306.089246694</v>
      </c>
      <c r="O84" s="6">
        <f t="shared" si="2"/>
        <v>30787803.275040001</v>
      </c>
      <c r="P84" s="6">
        <f t="shared" si="2"/>
        <v>2023300.9277243002</v>
      </c>
      <c r="Q84" s="6">
        <f t="shared" si="2"/>
        <v>13886319.707649864</v>
      </c>
      <c r="R84" s="6">
        <f t="shared" si="2"/>
        <v>6990.5304000000006</v>
      </c>
    </row>
    <row r="85" spans="1:18" x14ac:dyDescent="0.2">
      <c r="A85" s="10"/>
    </row>
    <row r="86" spans="1:18" x14ac:dyDescent="0.2">
      <c r="A86" s="10"/>
      <c r="B86" s="2" t="s">
        <v>137</v>
      </c>
      <c r="D86" s="20" t="s">
        <v>94</v>
      </c>
      <c r="H86" s="2" t="s">
        <v>2</v>
      </c>
      <c r="J86" s="6">
        <f>J43*(1-$J$52)*(1+$J$56)</f>
        <v>530009711.27834606</v>
      </c>
    </row>
    <row r="87" spans="1:18" x14ac:dyDescent="0.2">
      <c r="A87" s="10"/>
      <c r="B87" s="2" t="s">
        <v>137</v>
      </c>
      <c r="D87" s="20" t="s">
        <v>104</v>
      </c>
      <c r="H87" s="2" t="s">
        <v>2</v>
      </c>
      <c r="J87" s="6">
        <f>J44*(1-$J$52)*(1+$J$56)</f>
        <v>449309001.3526246</v>
      </c>
    </row>
    <row r="88" spans="1:18" x14ac:dyDescent="0.2">
      <c r="A88" s="10"/>
    </row>
    <row r="90" spans="1:18" s="1" customFormat="1" x14ac:dyDescent="0.2">
      <c r="B90" s="9" t="s">
        <v>56</v>
      </c>
      <c r="C90" s="9"/>
      <c r="D90" s="9"/>
      <c r="E90" s="9"/>
    </row>
    <row r="92" spans="1:18" x14ac:dyDescent="0.2">
      <c r="B92" s="4" t="s">
        <v>38</v>
      </c>
    </row>
    <row r="94" spans="1:18" x14ac:dyDescent="0.2">
      <c r="B94" s="2" t="s">
        <v>47</v>
      </c>
      <c r="D94" s="2" t="s">
        <v>273</v>
      </c>
      <c r="H94" s="2" t="s">
        <v>2</v>
      </c>
      <c r="J94" s="6">
        <f>AVERAGE(J61,J72,J82)</f>
        <v>277732294.30488521</v>
      </c>
    </row>
    <row r="95" spans="1:18" x14ac:dyDescent="0.2">
      <c r="B95" s="2" t="s">
        <v>134</v>
      </c>
      <c r="D95" s="20" t="s">
        <v>104</v>
      </c>
      <c r="H95" s="2" t="s">
        <v>2</v>
      </c>
      <c r="J95" s="6">
        <f>SUM(L95:R95)</f>
        <v>42761444.378111325</v>
      </c>
      <c r="L95" s="12">
        <f t="shared" ref="L95:Q95" si="3">AVERAGE(L63,L74,L84)</f>
        <v>462.53155976889951</v>
      </c>
      <c r="M95" s="12">
        <f t="shared" si="3"/>
        <v>450534.63091392</v>
      </c>
      <c r="N95" s="12">
        <f t="shared" si="3"/>
        <v>1969099.7272228266</v>
      </c>
      <c r="O95" s="12">
        <f t="shared" si="3"/>
        <v>24886956.342183802</v>
      </c>
      <c r="P95" s="12">
        <f t="shared" si="3"/>
        <v>2077709.1236005139</v>
      </c>
      <c r="Q95" s="12">
        <f t="shared" si="3"/>
        <v>13373802.561128089</v>
      </c>
      <c r="R95" s="12">
        <f t="shared" ref="R95" si="4">AVERAGE(R63,R74,R84)</f>
        <v>2879.4615024</v>
      </c>
    </row>
    <row r="97" spans="1:20" x14ac:dyDescent="0.2">
      <c r="B97" s="2" t="s">
        <v>100</v>
      </c>
      <c r="D97" s="20" t="s">
        <v>104</v>
      </c>
      <c r="H97" s="2" t="s">
        <v>2</v>
      </c>
      <c r="J97" s="6">
        <f>AVERAGE(J66,J77,J87)</f>
        <v>442943688.93385166</v>
      </c>
    </row>
    <row r="99" spans="1:20" x14ac:dyDescent="0.2">
      <c r="B99" s="4" t="s">
        <v>57</v>
      </c>
      <c r="L99" s="7"/>
      <c r="M99" s="7"/>
      <c r="N99" s="7"/>
      <c r="O99" s="7"/>
      <c r="P99" s="7"/>
      <c r="Q99" s="7"/>
      <c r="R99" s="7"/>
    </row>
    <row r="100" spans="1:20" x14ac:dyDescent="0.2">
      <c r="B100" s="2" t="s">
        <v>368</v>
      </c>
      <c r="D100" s="20" t="s">
        <v>104</v>
      </c>
      <c r="H100" s="2" t="s">
        <v>2</v>
      </c>
      <c r="J100" s="12">
        <f>SUM($J$94,J97)</f>
        <v>720675983.23873687</v>
      </c>
      <c r="T100" s="2" t="s">
        <v>289</v>
      </c>
    </row>
    <row r="101" spans="1:20" x14ac:dyDescent="0.2">
      <c r="J101" s="7"/>
    </row>
    <row r="103" spans="1:20" s="1" customFormat="1" x14ac:dyDescent="0.2">
      <c r="B103" s="9" t="s">
        <v>142</v>
      </c>
      <c r="C103" s="9"/>
      <c r="D103" s="9"/>
      <c r="E103" s="9"/>
    </row>
    <row r="105" spans="1:20" x14ac:dyDescent="0.2">
      <c r="B105" s="4" t="s">
        <v>38</v>
      </c>
    </row>
    <row r="106" spans="1:20" x14ac:dyDescent="0.2">
      <c r="A106" s="10"/>
    </row>
    <row r="107" spans="1:20" x14ac:dyDescent="0.2">
      <c r="A107" s="10"/>
      <c r="B107" s="2" t="s">
        <v>47</v>
      </c>
      <c r="D107" s="2" t="s">
        <v>273</v>
      </c>
      <c r="H107" s="2" t="s">
        <v>2</v>
      </c>
      <c r="J107" s="6">
        <f>AVERAGE(J61,J72,J82)</f>
        <v>277732294.30488521</v>
      </c>
    </row>
    <row r="108" spans="1:20" x14ac:dyDescent="0.2">
      <c r="A108" s="10"/>
      <c r="B108" s="2" t="s">
        <v>134</v>
      </c>
      <c r="D108" s="20" t="s">
        <v>94</v>
      </c>
      <c r="H108" s="2" t="s">
        <v>2</v>
      </c>
      <c r="J108" s="6">
        <f>SUM(L108:R108)</f>
        <v>42945898.014529727</v>
      </c>
      <c r="L108" s="12">
        <f>AVERAGE(L62,L73,L83)</f>
        <v>462.53155976889883</v>
      </c>
      <c r="M108" s="12">
        <f t="shared" ref="M108:R108" si="5">AVERAGE(M62,M73,M83)</f>
        <v>450534.63091392</v>
      </c>
      <c r="N108" s="12">
        <f t="shared" si="5"/>
        <v>2061712.5286387485</v>
      </c>
      <c r="O108" s="12">
        <f t="shared" si="5"/>
        <v>24886956.342183802</v>
      </c>
      <c r="P108" s="12">
        <f t="shared" si="5"/>
        <v>2169549.9586029947</v>
      </c>
      <c r="Q108" s="12">
        <f t="shared" si="5"/>
        <v>13373802.561128089</v>
      </c>
      <c r="R108" s="12">
        <f t="shared" si="5"/>
        <v>2879.4615024</v>
      </c>
    </row>
    <row r="109" spans="1:20" x14ac:dyDescent="0.2">
      <c r="A109" s="10"/>
    </row>
    <row r="110" spans="1:20" x14ac:dyDescent="0.2">
      <c r="A110" s="10"/>
      <c r="B110" s="2" t="s">
        <v>164</v>
      </c>
      <c r="D110" s="20" t="s">
        <v>94</v>
      </c>
      <c r="H110" s="2" t="s">
        <v>2</v>
      </c>
      <c r="J110" s="6">
        <f>AVERAGE(J65,J76,J86)</f>
        <v>523467323.13161135</v>
      </c>
    </row>
    <row r="111" spans="1:20" x14ac:dyDescent="0.2">
      <c r="A111" s="10"/>
    </row>
    <row r="112" spans="1:20" x14ac:dyDescent="0.2">
      <c r="A112" s="10"/>
      <c r="B112" s="4" t="s">
        <v>141</v>
      </c>
      <c r="L112" s="7"/>
      <c r="M112" s="7"/>
      <c r="N112" s="7"/>
      <c r="O112" s="7"/>
      <c r="P112" s="7"/>
      <c r="Q112" s="7"/>
      <c r="R112" s="7"/>
    </row>
    <row r="113" spans="1:20" x14ac:dyDescent="0.2">
      <c r="A113" s="10"/>
      <c r="B113" s="2" t="s">
        <v>143</v>
      </c>
      <c r="D113" s="20" t="s">
        <v>94</v>
      </c>
      <c r="H113" s="2" t="s">
        <v>2</v>
      </c>
      <c r="J113" s="12">
        <f>J107+J110</f>
        <v>801199617.4364965</v>
      </c>
    </row>
    <row r="114" spans="1:20" x14ac:dyDescent="0.2">
      <c r="A114" s="10"/>
      <c r="B114" s="2" t="s">
        <v>140</v>
      </c>
      <c r="D114" s="20"/>
      <c r="H114" s="2" t="s">
        <v>12</v>
      </c>
      <c r="J114" s="6">
        <f>SUM(L114:R114)</f>
        <v>728659561.25981367</v>
      </c>
      <c r="L114" s="45">
        <f>'Import SO en BI'!L15</f>
        <v>14301488.910722844</v>
      </c>
      <c r="M114" s="45">
        <f>'Import SO en BI'!M15</f>
        <v>18963890.606682211</v>
      </c>
      <c r="N114" s="45">
        <f>'Import SO en BI'!N15</f>
        <v>232039999.42956877</v>
      </c>
      <c r="O114" s="45">
        <f>'Import SO en BI'!O15</f>
        <v>249717858.06695601</v>
      </c>
      <c r="P114" s="45">
        <f>'Import SO en BI'!P15</f>
        <v>10496370.529744592</v>
      </c>
      <c r="Q114" s="45">
        <f>'Import SO en BI'!Q15</f>
        <v>190371769.82951891</v>
      </c>
      <c r="R114" s="45">
        <f>'Import SO en BI'!R15</f>
        <v>12768183.886620443</v>
      </c>
    </row>
    <row r="115" spans="1:20" x14ac:dyDescent="0.2">
      <c r="A115" s="10"/>
      <c r="B115" s="2" t="s">
        <v>144</v>
      </c>
      <c r="D115" s="20" t="s">
        <v>94</v>
      </c>
      <c r="H115" s="2" t="s">
        <v>139</v>
      </c>
      <c r="J115" s="35">
        <f>J113/J114</f>
        <v>1.0995527404474936</v>
      </c>
    </row>
    <row r="116" spans="1:20" x14ac:dyDescent="0.2">
      <c r="A116" s="10"/>
    </row>
    <row r="117" spans="1:20" x14ac:dyDescent="0.2">
      <c r="A117" s="10"/>
      <c r="B117" s="20" t="s">
        <v>145</v>
      </c>
      <c r="D117" s="20" t="s">
        <v>94</v>
      </c>
      <c r="H117" s="2" t="s">
        <v>2</v>
      </c>
      <c r="J117" s="6">
        <f>SUM(L117:R117)</f>
        <v>801199617.4364965</v>
      </c>
      <c r="L117" s="12">
        <f>L114*$J$115</f>
        <v>15725241.324264744</v>
      </c>
      <c r="M117" s="12">
        <f t="shared" ref="M117:R117" si="6">M114*$J$115</f>
        <v>20851797.886123907</v>
      </c>
      <c r="N117" s="12">
        <f t="shared" si="6"/>
        <v>255140217.2662172</v>
      </c>
      <c r="O117" s="12">
        <f t="shared" si="6"/>
        <v>274577955.17619973</v>
      </c>
      <c r="P117" s="12">
        <f t="shared" si="6"/>
        <v>11541312.980732976</v>
      </c>
      <c r="Q117" s="12">
        <f t="shared" si="6"/>
        <v>209323801.21988702</v>
      </c>
      <c r="R117" s="12">
        <f t="shared" si="6"/>
        <v>14039291.583071038</v>
      </c>
      <c r="T117" s="2" t="s">
        <v>296</v>
      </c>
    </row>
    <row r="118" spans="1:20" x14ac:dyDescent="0.2">
      <c r="A118" s="10"/>
      <c r="B118" s="2" t="s">
        <v>146</v>
      </c>
      <c r="D118" s="20" t="s">
        <v>94</v>
      </c>
      <c r="H118" s="2" t="s">
        <v>2</v>
      </c>
      <c r="J118" s="6">
        <f>SUM(L118:R118)</f>
        <v>42945898.014529727</v>
      </c>
      <c r="L118" s="55">
        <f>L108</f>
        <v>462.53155976889883</v>
      </c>
      <c r="M118" s="55">
        <f t="shared" ref="M118:R118" si="7">M108</f>
        <v>450534.63091392</v>
      </c>
      <c r="N118" s="55">
        <f t="shared" si="7"/>
        <v>2061712.5286387485</v>
      </c>
      <c r="O118" s="55">
        <f t="shared" si="7"/>
        <v>24886956.342183802</v>
      </c>
      <c r="P118" s="55">
        <f t="shared" si="7"/>
        <v>2169549.9586029947</v>
      </c>
      <c r="Q118" s="55">
        <f t="shared" si="7"/>
        <v>13373802.561128089</v>
      </c>
      <c r="R118" s="55">
        <f t="shared" si="7"/>
        <v>2879.4615024</v>
      </c>
    </row>
    <row r="119" spans="1:20" x14ac:dyDescent="0.2">
      <c r="A119" s="10"/>
      <c r="B119" s="20" t="s">
        <v>163</v>
      </c>
      <c r="D119" s="20" t="s">
        <v>94</v>
      </c>
      <c r="H119" s="2" t="s">
        <v>2</v>
      </c>
      <c r="J119" s="6">
        <f>SUM(L119:R119)</f>
        <v>844145515.45102632</v>
      </c>
      <c r="L119" s="22">
        <f>L117+L118</f>
        <v>15725703.855824513</v>
      </c>
      <c r="M119" s="22">
        <f t="shared" ref="M119:R119" si="8">M117+M118</f>
        <v>21302332.517037828</v>
      </c>
      <c r="N119" s="22">
        <f t="shared" si="8"/>
        <v>257201929.79485595</v>
      </c>
      <c r="O119" s="22">
        <f t="shared" si="8"/>
        <v>299464911.51838356</v>
      </c>
      <c r="P119" s="22">
        <f t="shared" si="8"/>
        <v>13710862.93933597</v>
      </c>
      <c r="Q119" s="22">
        <f t="shared" si="8"/>
        <v>222697603.7810151</v>
      </c>
      <c r="R119" s="22">
        <f t="shared" si="8"/>
        <v>14042171.044573437</v>
      </c>
      <c r="T119" s="2" t="s">
        <v>297</v>
      </c>
    </row>
    <row r="120" spans="1:20" x14ac:dyDescent="0.2">
      <c r="A120" s="10"/>
    </row>
    <row r="121" spans="1:20" x14ac:dyDescent="0.2">
      <c r="A121" s="10"/>
    </row>
    <row r="122" spans="1:20" x14ac:dyDescent="0.2">
      <c r="A122" s="10"/>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tabColor rgb="FFFFFFCC"/>
  </sheetPr>
  <dimension ref="A1:T127"/>
  <sheetViews>
    <sheetView showGridLines="0" zoomScale="85" zoomScaleNormal="85" workbookViewId="0">
      <pane xSplit="6" ySplit="8" topLeftCell="G48"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x14ac:dyDescent="0.2">
      <c r="B1" s="2" t="s">
        <v>389</v>
      </c>
    </row>
    <row r="2" spans="1:18" ht="14.25" x14ac:dyDescent="0.2">
      <c r="B2" s="105"/>
      <c r="C2" s="105"/>
      <c r="D2" s="105"/>
      <c r="E2" s="105"/>
    </row>
    <row r="3" spans="1:18" s="14" customFormat="1" ht="18" customHeight="1" x14ac:dyDescent="0.25">
      <c r="B3" s="13" t="s">
        <v>169</v>
      </c>
      <c r="C3" s="13"/>
      <c r="D3" s="13"/>
      <c r="E3" s="13"/>
    </row>
    <row r="5" spans="1:18" x14ac:dyDescent="0.2">
      <c r="B5" s="20" t="s">
        <v>382</v>
      </c>
    </row>
    <row r="6" spans="1:18" x14ac:dyDescent="0.2">
      <c r="B6" s="20"/>
    </row>
    <row r="7" spans="1:18" x14ac:dyDescent="0.2">
      <c r="B7" s="20"/>
    </row>
    <row r="8" spans="1:18" s="9" customFormat="1" x14ac:dyDescent="0.2">
      <c r="D8" s="9" t="s">
        <v>39</v>
      </c>
      <c r="H8" s="9" t="s">
        <v>1</v>
      </c>
      <c r="J8" s="9" t="s">
        <v>11</v>
      </c>
      <c r="L8" s="9" t="s">
        <v>5</v>
      </c>
      <c r="M8" s="9" t="s">
        <v>250</v>
      </c>
      <c r="N8" s="9" t="s">
        <v>6</v>
      </c>
      <c r="O8" s="9" t="s">
        <v>7</v>
      </c>
      <c r="P8" s="9" t="s">
        <v>8</v>
      </c>
      <c r="Q8" s="9" t="s">
        <v>9</v>
      </c>
      <c r="R8" s="9" t="s">
        <v>10</v>
      </c>
    </row>
    <row r="11" spans="1:18" s="1" customFormat="1" x14ac:dyDescent="0.2">
      <c r="B11" s="9" t="s">
        <v>50</v>
      </c>
      <c r="C11" s="9"/>
      <c r="D11" s="9"/>
      <c r="E11" s="9"/>
      <c r="J11" s="1" t="s">
        <v>11</v>
      </c>
    </row>
    <row r="13" spans="1:18" x14ac:dyDescent="0.2">
      <c r="A13" s="10"/>
      <c r="B13" s="4" t="s">
        <v>49</v>
      </c>
    </row>
    <row r="14" spans="1:18" x14ac:dyDescent="0.2">
      <c r="A14" s="10"/>
      <c r="L14" s="11"/>
    </row>
    <row r="15" spans="1:18" x14ac:dyDescent="0.2">
      <c r="A15" s="10"/>
      <c r="B15" s="2" t="s">
        <v>40</v>
      </c>
      <c r="D15" s="2" t="s">
        <v>30</v>
      </c>
      <c r="H15" s="2" t="s">
        <v>31</v>
      </c>
      <c r="J15" s="6">
        <f>SUM(L15:R15)</f>
        <v>100388357.01909737</v>
      </c>
      <c r="L15" s="45">
        <f>'Import kosten 2012-2015'!L77</f>
        <v>1263913.4627608673</v>
      </c>
      <c r="M15" s="45">
        <f>'Import kosten 2012-2015'!M77</f>
        <v>1628309.7022527966</v>
      </c>
      <c r="N15" s="45">
        <f>'Import kosten 2012-2015'!N77</f>
        <v>18812245.69662071</v>
      </c>
      <c r="O15" s="45">
        <f>'Import kosten 2012-2015'!O77</f>
        <v>55323722.20601026</v>
      </c>
      <c r="P15" s="45">
        <f>'Import kosten 2012-2015'!P77</f>
        <v>1312182.46</v>
      </c>
      <c r="Q15" s="45">
        <f>'Import kosten 2012-2015'!Q77</f>
        <v>21821344.386824813</v>
      </c>
      <c r="R15" s="45">
        <f>'Import kosten 2012-2015'!R77</f>
        <v>226639.10462793574</v>
      </c>
    </row>
    <row r="16" spans="1:18" x14ac:dyDescent="0.2">
      <c r="A16" s="10"/>
      <c r="B16" s="2" t="s">
        <v>131</v>
      </c>
      <c r="D16" s="20"/>
      <c r="H16" s="2" t="s">
        <v>31</v>
      </c>
      <c r="J16" s="6">
        <f>SUM(L16:R16)</f>
        <v>329.3193</v>
      </c>
      <c r="L16" s="45">
        <f>'Import kosten 2012-2015'!L78</f>
        <v>329.3193</v>
      </c>
      <c r="M16" s="45">
        <f>'Import kosten 2012-2015'!M78</f>
        <v>0</v>
      </c>
      <c r="N16" s="45">
        <f>'Import kosten 2012-2015'!N78</f>
        <v>0</v>
      </c>
      <c r="O16" s="45">
        <f>'Import kosten 2012-2015'!O78</f>
        <v>0</v>
      </c>
      <c r="P16" s="45">
        <f>'Import kosten 2012-2015'!P78</f>
        <v>0</v>
      </c>
      <c r="Q16" s="45">
        <f>'Import kosten 2012-2015'!Q78</f>
        <v>0</v>
      </c>
      <c r="R16" s="45">
        <f>'Import kosten 2012-2015'!R78</f>
        <v>0</v>
      </c>
    </row>
    <row r="17" spans="1:18" x14ac:dyDescent="0.2">
      <c r="A17" s="10"/>
      <c r="L17" s="11"/>
    </row>
    <row r="18" spans="1:18" x14ac:dyDescent="0.2">
      <c r="A18" s="10"/>
      <c r="B18" s="2" t="s">
        <v>99</v>
      </c>
      <c r="D18" s="20" t="s">
        <v>94</v>
      </c>
      <c r="H18" s="2" t="s">
        <v>31</v>
      </c>
      <c r="J18" s="46">
        <f>SUM(L18:R18)</f>
        <v>81780816.735428199</v>
      </c>
      <c r="L18" s="5">
        <f>'Import kosten 2012-2015'!L80</f>
        <v>1551902.2276886096</v>
      </c>
      <c r="M18" s="5">
        <f>'Import kosten 2012-2015'!M80</f>
        <v>1592189.7405806012</v>
      </c>
      <c r="N18" s="5">
        <f>'Import kosten 2012-2015'!N80</f>
        <v>19802343.39670486</v>
      </c>
      <c r="O18" s="5">
        <f>'Import kosten 2012-2015'!O80</f>
        <v>23682351.74127546</v>
      </c>
      <c r="P18" s="5">
        <f>'Import kosten 2012-2015'!P80</f>
        <v>1098144.0222914263</v>
      </c>
      <c r="Q18" s="5">
        <f>'Import kosten 2012-2015'!Q80</f>
        <v>33875255.765992962</v>
      </c>
      <c r="R18" s="5">
        <f>'Import kosten 2012-2015'!R80</f>
        <v>178629.84089427904</v>
      </c>
    </row>
    <row r="19" spans="1:18" x14ac:dyDescent="0.2">
      <c r="A19" s="10"/>
      <c r="B19" s="2" t="s">
        <v>103</v>
      </c>
      <c r="D19" s="20" t="s">
        <v>104</v>
      </c>
      <c r="H19" s="2" t="s">
        <v>31</v>
      </c>
      <c r="J19" s="46">
        <f>SUM(L19:R19)</f>
        <v>68101343.674678296</v>
      </c>
      <c r="L19" s="5">
        <f>'Import kosten 2012-2015'!L81</f>
        <v>1284981.2737112732</v>
      </c>
      <c r="M19" s="5">
        <f>'Import kosten 2012-2015'!M81</f>
        <v>1356540.7967441264</v>
      </c>
      <c r="N19" s="5">
        <f>'Import kosten 2012-2015'!N81</f>
        <v>16539997.916696709</v>
      </c>
      <c r="O19" s="5">
        <f>'Import kosten 2012-2015'!O81</f>
        <v>19596066.827157862</v>
      </c>
      <c r="P19" s="5">
        <f>'Import kosten 2012-2015'!P81</f>
        <v>931349.82430257951</v>
      </c>
      <c r="Q19" s="5">
        <f>'Import kosten 2012-2015'!Q81</f>
        <v>28239415.047042426</v>
      </c>
      <c r="R19" s="5">
        <f>'Import kosten 2012-2015'!R81</f>
        <v>152991.98902332911</v>
      </c>
    </row>
    <row r="20" spans="1:18" x14ac:dyDescent="0.2">
      <c r="A20" s="10"/>
    </row>
    <row r="21" spans="1:18" x14ac:dyDescent="0.2">
      <c r="A21" s="10"/>
      <c r="B21" s="2" t="s">
        <v>41</v>
      </c>
      <c r="H21" s="2" t="s">
        <v>31</v>
      </c>
      <c r="J21" s="6">
        <f>SUM(L21:R21)</f>
        <v>32089465.615135584</v>
      </c>
      <c r="L21" s="45">
        <f>'Import kosten 2012-2015'!L83</f>
        <v>532701.29699999734</v>
      </c>
      <c r="M21" s="45">
        <f>'Import kosten 2012-2015'!M83</f>
        <v>1029264.81</v>
      </c>
      <c r="N21" s="45">
        <f>'Import kosten 2012-2015'!N83</f>
        <v>10444121.318135591</v>
      </c>
      <c r="O21" s="45">
        <f>'Import kosten 2012-2015'!O83</f>
        <v>10870240.24</v>
      </c>
      <c r="P21" s="45">
        <f>'Import kosten 2012-2015'!P83</f>
        <v>368325.15</v>
      </c>
      <c r="Q21" s="45">
        <f>'Import kosten 2012-2015'!Q83</f>
        <v>8221051.6499999994</v>
      </c>
      <c r="R21" s="45">
        <f>'Import kosten 2012-2015'!R83</f>
        <v>623761.14999999991</v>
      </c>
    </row>
    <row r="22" spans="1:18" x14ac:dyDescent="0.2">
      <c r="A22" s="10"/>
      <c r="L22" s="7"/>
      <c r="M22" s="7"/>
      <c r="N22" s="7"/>
      <c r="O22" s="7"/>
      <c r="P22" s="7"/>
      <c r="Q22" s="7"/>
      <c r="R22" s="7"/>
    </row>
    <row r="23" spans="1:18" x14ac:dyDescent="0.2">
      <c r="A23" s="10"/>
    </row>
    <row r="24" spans="1:18" x14ac:dyDescent="0.2">
      <c r="A24" s="10"/>
      <c r="B24" s="4" t="s">
        <v>51</v>
      </c>
    </row>
    <row r="25" spans="1:18" x14ac:dyDescent="0.2">
      <c r="A25" s="10"/>
    </row>
    <row r="26" spans="1:18" x14ac:dyDescent="0.2">
      <c r="A26" s="10"/>
      <c r="B26" s="2" t="s">
        <v>44</v>
      </c>
      <c r="D26" s="2" t="s">
        <v>30</v>
      </c>
      <c r="H26" s="2" t="s">
        <v>32</v>
      </c>
      <c r="J26" s="6">
        <f>SUM(L26:R26)</f>
        <v>90855804.969854116</v>
      </c>
      <c r="L26" s="45">
        <f>'Import kosten 2012-2015'!L87</f>
        <v>1328277.3618122344</v>
      </c>
      <c r="M26" s="45">
        <f>'Import kosten 2012-2015'!M87</f>
        <v>997980.01926987641</v>
      </c>
      <c r="N26" s="45">
        <f>'Import kosten 2012-2015'!N87</f>
        <v>17552822.132709824</v>
      </c>
      <c r="O26" s="45">
        <f>'Import kosten 2012-2015'!O87</f>
        <v>47167895.848843515</v>
      </c>
      <c r="P26" s="45">
        <f>'Import kosten 2012-2015'!P87</f>
        <v>1160054.3999999999</v>
      </c>
      <c r="Q26" s="45">
        <f>'Import kosten 2012-2015'!Q87</f>
        <v>22167978.090055279</v>
      </c>
      <c r="R26" s="45">
        <f>'Import kosten 2012-2015'!R87</f>
        <v>480797.11716339382</v>
      </c>
    </row>
    <row r="27" spans="1:18" x14ac:dyDescent="0.2">
      <c r="A27" s="10"/>
      <c r="B27" s="2" t="s">
        <v>132</v>
      </c>
      <c r="D27" s="20"/>
      <c r="H27" s="2" t="s">
        <v>32</v>
      </c>
      <c r="J27" s="6">
        <f>SUM(L27:R27)</f>
        <v>199.10309999999998</v>
      </c>
      <c r="L27" s="45">
        <f>'Import kosten 2012-2015'!L88</f>
        <v>199.10309999999998</v>
      </c>
      <c r="M27" s="45">
        <f>'Import kosten 2012-2015'!M88</f>
        <v>0</v>
      </c>
      <c r="N27" s="45">
        <f>'Import kosten 2012-2015'!N88</f>
        <v>0</v>
      </c>
      <c r="O27" s="45">
        <f>'Import kosten 2012-2015'!O88</f>
        <v>0</v>
      </c>
      <c r="P27" s="45">
        <f>'Import kosten 2012-2015'!P88</f>
        <v>0</v>
      </c>
      <c r="Q27" s="45">
        <f>'Import kosten 2012-2015'!Q88</f>
        <v>0</v>
      </c>
      <c r="R27" s="45">
        <f>'Import kosten 2012-2015'!R88</f>
        <v>0</v>
      </c>
    </row>
    <row r="28" spans="1:18" x14ac:dyDescent="0.2">
      <c r="A28" s="10"/>
    </row>
    <row r="29" spans="1:18" x14ac:dyDescent="0.2">
      <c r="A29" s="10"/>
      <c r="B29" s="2" t="s">
        <v>98</v>
      </c>
      <c r="D29" s="20" t="s">
        <v>94</v>
      </c>
      <c r="H29" s="2" t="s">
        <v>32</v>
      </c>
      <c r="J29" s="46">
        <f>SUM(L29:R29)</f>
        <v>91508138.376011178</v>
      </c>
      <c r="L29" s="5">
        <f>'Import kosten 2012-2015'!L90</f>
        <v>1803358.4960865201</v>
      </c>
      <c r="M29" s="5">
        <f>'Import kosten 2012-2015'!M90</f>
        <v>1741047.3856847021</v>
      </c>
      <c r="N29" s="5">
        <f>'Import kosten 2012-2015'!N90</f>
        <v>21914048.563355383</v>
      </c>
      <c r="O29" s="5">
        <f>'Import kosten 2012-2015'!O90</f>
        <v>27333996.21112743</v>
      </c>
      <c r="P29" s="5">
        <f>'Import kosten 2012-2015'!P90</f>
        <v>1132051.3136937539</v>
      </c>
      <c r="Q29" s="5">
        <f>'Import kosten 2012-2015'!Q90</f>
        <v>37401659.125072077</v>
      </c>
      <c r="R29" s="5">
        <f>'Import kosten 2012-2015'!R90</f>
        <v>181977.28099129692</v>
      </c>
    </row>
    <row r="30" spans="1:18" x14ac:dyDescent="0.2">
      <c r="A30" s="10"/>
      <c r="B30" s="2" t="s">
        <v>102</v>
      </c>
      <c r="D30" s="20" t="s">
        <v>104</v>
      </c>
      <c r="H30" s="2" t="s">
        <v>32</v>
      </c>
      <c r="J30" s="46">
        <f>SUM(L30:R30)</f>
        <v>76325046.477686107</v>
      </c>
      <c r="L30" s="5">
        <f>'Import kosten 2012-2015'!L91</f>
        <v>1496024.5253601968</v>
      </c>
      <c r="M30" s="5">
        <f>'Import kosten 2012-2015'!M91</f>
        <v>1480422.5889869663</v>
      </c>
      <c r="N30" s="5">
        <f>'Import kosten 2012-2015'!N91</f>
        <v>18316296.238120586</v>
      </c>
      <c r="O30" s="5">
        <f>'Import kosten 2012-2015'!O91</f>
        <v>22689084.664015234</v>
      </c>
      <c r="P30" s="5">
        <f>'Import kosten 2012-2015'!P91</f>
        <v>962994.41946750996</v>
      </c>
      <c r="Q30" s="5">
        <f>'Import kosten 2012-2015'!Q91</f>
        <v>31222367.57884945</v>
      </c>
      <c r="R30" s="5">
        <f>'Import kosten 2012-2015'!R91</f>
        <v>157856.46288616286</v>
      </c>
    </row>
    <row r="31" spans="1:18" x14ac:dyDescent="0.2">
      <c r="A31" s="10"/>
    </row>
    <row r="32" spans="1:18" x14ac:dyDescent="0.2">
      <c r="A32" s="10"/>
      <c r="B32" s="2" t="s">
        <v>45</v>
      </c>
      <c r="H32" s="2" t="s">
        <v>32</v>
      </c>
      <c r="J32" s="6">
        <f>SUM(L32:R32)</f>
        <v>30578172.175140902</v>
      </c>
      <c r="L32" s="45">
        <f>'Import kosten 2012-2015'!L93</f>
        <v>572467.20999999903</v>
      </c>
      <c r="M32" s="45">
        <f>'Import kosten 2012-2015'!M93</f>
        <v>1063322.1499999999</v>
      </c>
      <c r="N32" s="45">
        <f>'Import kosten 2012-2015'!N93</f>
        <v>9617129.2651409041</v>
      </c>
      <c r="O32" s="45">
        <f>'Import kosten 2012-2015'!O93</f>
        <v>9841317</v>
      </c>
      <c r="P32" s="45">
        <f>'Import kosten 2012-2015'!P93</f>
        <v>395732.5</v>
      </c>
      <c r="Q32" s="45">
        <f>'Import kosten 2012-2015'!Q93</f>
        <v>8657261.8999999985</v>
      </c>
      <c r="R32" s="45">
        <f>'Import kosten 2012-2015'!R93</f>
        <v>430942.15</v>
      </c>
    </row>
    <row r="33" spans="1:18" x14ac:dyDescent="0.2">
      <c r="A33" s="10"/>
      <c r="L33" s="7"/>
      <c r="M33" s="7"/>
      <c r="N33" s="7"/>
      <c r="O33" s="7"/>
      <c r="P33" s="7"/>
      <c r="Q33" s="7"/>
      <c r="R33" s="7"/>
    </row>
    <row r="34" spans="1:18" x14ac:dyDescent="0.2">
      <c r="A34" s="10"/>
    </row>
    <row r="35" spans="1:18" x14ac:dyDescent="0.2">
      <c r="A35" s="10"/>
      <c r="B35" s="4" t="s">
        <v>52</v>
      </c>
    </row>
    <row r="36" spans="1:18" x14ac:dyDescent="0.2">
      <c r="A36" s="10"/>
    </row>
    <row r="37" spans="1:18" x14ac:dyDescent="0.2">
      <c r="A37" s="10"/>
      <c r="B37" s="2" t="s">
        <v>42</v>
      </c>
      <c r="D37" s="2" t="s">
        <v>30</v>
      </c>
      <c r="H37" s="2" t="s">
        <v>33</v>
      </c>
      <c r="J37" s="6">
        <f>SUM(L37:R37)</f>
        <v>84442109.665624827</v>
      </c>
      <c r="L37" s="45">
        <f>'Import kosten 2012-2015'!L97</f>
        <v>1270020.4634415451</v>
      </c>
      <c r="M37" s="45">
        <f>'Import kosten 2012-2015'!M97</f>
        <v>1242156.0612770366</v>
      </c>
      <c r="N37" s="45">
        <f>'Import kosten 2012-2015'!N97</f>
        <v>15279199.606126277</v>
      </c>
      <c r="O37" s="45">
        <f>'Import kosten 2012-2015'!O97</f>
        <v>37028209.653968677</v>
      </c>
      <c r="P37" s="45">
        <f>'Import kosten 2012-2015'!P97</f>
        <v>806476.6</v>
      </c>
      <c r="Q37" s="45">
        <f>'Import kosten 2012-2015'!Q97</f>
        <v>28370281.574415348</v>
      </c>
      <c r="R37" s="45">
        <f>'Import kosten 2012-2015'!R97</f>
        <v>445765.70639594592</v>
      </c>
    </row>
    <row r="38" spans="1:18" x14ac:dyDescent="0.2">
      <c r="A38" s="10"/>
      <c r="B38" s="2" t="s">
        <v>133</v>
      </c>
      <c r="D38" s="20"/>
      <c r="H38" s="2" t="s">
        <v>33</v>
      </c>
      <c r="J38" s="6">
        <f>SUM(L38:R38)</f>
        <v>66419.747460085302</v>
      </c>
      <c r="L38" s="45">
        <f>'Import kosten 2012-2015'!L98</f>
        <v>192.50162162162161</v>
      </c>
      <c r="M38" s="45">
        <f>'Import kosten 2012-2015'!M98</f>
        <v>0</v>
      </c>
      <c r="N38" s="45">
        <f>'Import kosten 2012-2015'!N98</f>
        <v>66227.245838463685</v>
      </c>
      <c r="O38" s="45">
        <f>'Import kosten 2012-2015'!O98</f>
        <v>0</v>
      </c>
      <c r="P38" s="45">
        <f>'Import kosten 2012-2015'!P98</f>
        <v>0</v>
      </c>
      <c r="Q38" s="45">
        <f>'Import kosten 2012-2015'!Q98</f>
        <v>0</v>
      </c>
      <c r="R38" s="45">
        <f>'Import kosten 2012-2015'!R98</f>
        <v>0</v>
      </c>
    </row>
    <row r="39" spans="1:18" x14ac:dyDescent="0.2">
      <c r="A39" s="10"/>
    </row>
    <row r="40" spans="1:18" x14ac:dyDescent="0.2">
      <c r="A40" s="10"/>
      <c r="B40" s="2" t="s">
        <v>97</v>
      </c>
      <c r="D40" s="20" t="s">
        <v>94</v>
      </c>
      <c r="H40" s="2" t="s">
        <v>33</v>
      </c>
      <c r="J40" s="46">
        <f>SUM(L40:R40)</f>
        <v>97439094.53697677</v>
      </c>
      <c r="L40" s="5">
        <f>'Import kosten 2012-2015'!L100</f>
        <v>1935093.2895844483</v>
      </c>
      <c r="M40" s="5">
        <f>'Import kosten 2012-2015'!M100</f>
        <v>1807021.2895288905</v>
      </c>
      <c r="N40" s="5">
        <f>'Import kosten 2012-2015'!N100</f>
        <v>23527557.035509523</v>
      </c>
      <c r="O40" s="5">
        <f>'Import kosten 2012-2015'!O100</f>
        <v>29897704.478189915</v>
      </c>
      <c r="P40" s="5">
        <f>'Import kosten 2012-2015'!P100</f>
        <v>1157978.9644523077</v>
      </c>
      <c r="Q40" s="5">
        <f>'Import kosten 2012-2015'!Q100</f>
        <v>38896328.585835703</v>
      </c>
      <c r="R40" s="5">
        <f>'Import kosten 2012-2015'!R100</f>
        <v>217410.8938759671</v>
      </c>
    </row>
    <row r="41" spans="1:18" x14ac:dyDescent="0.2">
      <c r="A41" s="10"/>
      <c r="B41" s="2" t="s">
        <v>101</v>
      </c>
      <c r="D41" s="20" t="s">
        <v>104</v>
      </c>
      <c r="H41" s="2" t="s">
        <v>33</v>
      </c>
      <c r="J41" s="46">
        <f>SUM(L41:R41)</f>
        <v>81453535.957032338</v>
      </c>
      <c r="L41" s="5">
        <f>'Import kosten 2012-2015'!L101</f>
        <v>1610794.7423154041</v>
      </c>
      <c r="M41" s="5">
        <f>'Import kosten 2012-2015'!M101</f>
        <v>1542173.798644684</v>
      </c>
      <c r="N41" s="5">
        <f>'Import kosten 2012-2015'!N101</f>
        <v>19688237.202633835</v>
      </c>
      <c r="O41" s="5">
        <f>'Import kosten 2012-2015'!O101</f>
        <v>24851513.802203484</v>
      </c>
      <c r="P41" s="5">
        <f>'Import kosten 2012-2015'!P101</f>
        <v>986765.25776408776</v>
      </c>
      <c r="Q41" s="5">
        <f>'Import kosten 2012-2015'!Q101</f>
        <v>32588708.411450773</v>
      </c>
      <c r="R41" s="5">
        <f>'Import kosten 2012-2015'!R101</f>
        <v>185342.74202007701</v>
      </c>
    </row>
    <row r="42" spans="1:18" x14ac:dyDescent="0.2">
      <c r="A42" s="10"/>
    </row>
    <row r="43" spans="1:18" x14ac:dyDescent="0.2">
      <c r="A43" s="10"/>
      <c r="B43" s="2" t="s">
        <v>43</v>
      </c>
      <c r="H43" s="2" t="s">
        <v>33</v>
      </c>
      <c r="J43" s="6">
        <f>SUM(L43:R43)</f>
        <v>35785026.57999979</v>
      </c>
      <c r="L43" s="45">
        <f>'Import kosten 2012-2015'!L103</f>
        <v>646173.90999999992</v>
      </c>
      <c r="M43" s="45">
        <f>'Import kosten 2012-2015'!M103</f>
        <v>973967.9</v>
      </c>
      <c r="N43" s="45">
        <f>'Import kosten 2012-2015'!N103</f>
        <v>9949851.6899997871</v>
      </c>
      <c r="O43" s="45">
        <f>'Import kosten 2012-2015'!O103</f>
        <v>12015294.780000001</v>
      </c>
      <c r="P43" s="45">
        <f>'Import kosten 2012-2015'!P103</f>
        <v>384793.25</v>
      </c>
      <c r="Q43" s="45">
        <f>'Import kosten 2012-2015'!Q103</f>
        <v>11334314.370000001</v>
      </c>
      <c r="R43" s="45">
        <f>'Import kosten 2012-2015'!R103</f>
        <v>480630.68</v>
      </c>
    </row>
    <row r="44" spans="1:18" x14ac:dyDescent="0.2">
      <c r="A44" s="10"/>
      <c r="J44" s="16"/>
      <c r="L44" s="7"/>
      <c r="M44" s="7"/>
      <c r="N44" s="7"/>
      <c r="O44" s="7"/>
      <c r="P44" s="7"/>
      <c r="Q44" s="7"/>
      <c r="R44" s="7"/>
    </row>
    <row r="46" spans="1:18" s="1" customFormat="1" x14ac:dyDescent="0.2">
      <c r="B46" s="9" t="s">
        <v>138</v>
      </c>
      <c r="C46" s="9"/>
      <c r="D46" s="9"/>
      <c r="E46" s="9"/>
      <c r="J46" s="1" t="s">
        <v>11</v>
      </c>
    </row>
    <row r="48" spans="1:18" x14ac:dyDescent="0.2">
      <c r="A48" s="10"/>
      <c r="B48" s="4" t="s">
        <v>34</v>
      </c>
    </row>
    <row r="49" spans="1:18" x14ac:dyDescent="0.2">
      <c r="A49" s="10"/>
      <c r="B49" s="2" t="s">
        <v>46</v>
      </c>
      <c r="D49" s="11"/>
      <c r="H49" s="2" t="s">
        <v>28</v>
      </c>
      <c r="J49" s="33">
        <f>Productiviteitsverandering!L52</f>
        <v>3.3007719701627636E-4</v>
      </c>
    </row>
    <row r="50" spans="1:18" s="10" customFormat="1" x14ac:dyDescent="0.2">
      <c r="J50" s="32"/>
    </row>
    <row r="51" spans="1:18" x14ac:dyDescent="0.2">
      <c r="A51" s="10"/>
      <c r="B51" s="2" t="s">
        <v>35</v>
      </c>
      <c r="H51" s="2" t="s">
        <v>28</v>
      </c>
      <c r="J51" s="33">
        <f>'WACC en CPI'!N39</f>
        <v>4.6586240000000112E-2</v>
      </c>
    </row>
    <row r="52" spans="1:18" x14ac:dyDescent="0.2">
      <c r="A52" s="10"/>
      <c r="B52" s="2" t="s">
        <v>36</v>
      </c>
      <c r="H52" s="2" t="s">
        <v>28</v>
      </c>
      <c r="J52" s="33">
        <f>'WACC en CPI'!O39</f>
        <v>1.8080000000000096E-2</v>
      </c>
    </row>
    <row r="53" spans="1:18" x14ac:dyDescent="0.2">
      <c r="A53" s="10"/>
      <c r="B53" s="2" t="s">
        <v>37</v>
      </c>
      <c r="H53" s="2" t="s">
        <v>28</v>
      </c>
      <c r="J53" s="33">
        <f>'WACC en CPI'!P39</f>
        <v>8.0000000000000002E-3</v>
      </c>
    </row>
    <row r="54" spans="1:18" x14ac:dyDescent="0.2">
      <c r="A54" s="10"/>
    </row>
    <row r="55" spans="1:18" x14ac:dyDescent="0.2">
      <c r="A55" s="10"/>
    </row>
    <row r="56" spans="1:18" x14ac:dyDescent="0.2">
      <c r="A56" s="10"/>
      <c r="B56" s="4" t="s">
        <v>53</v>
      </c>
    </row>
    <row r="57" spans="1:18" x14ac:dyDescent="0.2">
      <c r="A57" s="10"/>
    </row>
    <row r="58" spans="1:18" x14ac:dyDescent="0.2">
      <c r="A58" s="10"/>
      <c r="B58" s="2" t="s">
        <v>40</v>
      </c>
      <c r="D58" s="2" t="s">
        <v>30</v>
      </c>
      <c r="H58" s="2" t="s">
        <v>2</v>
      </c>
      <c r="J58" s="6">
        <f>J15*(1-$J$49)^3*(1+$J$51)</f>
        <v>104961068.69492508</v>
      </c>
    </row>
    <row r="59" spans="1:18" x14ac:dyDescent="0.2">
      <c r="A59" s="10"/>
      <c r="B59" s="2" t="s">
        <v>310</v>
      </c>
      <c r="D59" s="20"/>
      <c r="H59" s="2" t="s">
        <v>2</v>
      </c>
      <c r="J59" s="6">
        <f>SUM(L59:R59)</f>
        <v>344.66104794643206</v>
      </c>
      <c r="L59" s="6">
        <f t="shared" ref="L59:R59" si="0">L16*(1+$J$51)</f>
        <v>344.66104794643206</v>
      </c>
      <c r="M59" s="6">
        <f t="shared" si="0"/>
        <v>0</v>
      </c>
      <c r="N59" s="6">
        <f t="shared" si="0"/>
        <v>0</v>
      </c>
      <c r="O59" s="6">
        <f t="shared" si="0"/>
        <v>0</v>
      </c>
      <c r="P59" s="6">
        <f t="shared" si="0"/>
        <v>0</v>
      </c>
      <c r="Q59" s="6">
        <f t="shared" si="0"/>
        <v>0</v>
      </c>
      <c r="R59" s="6">
        <f t="shared" si="0"/>
        <v>0</v>
      </c>
    </row>
    <row r="60" spans="1:18" x14ac:dyDescent="0.2">
      <c r="A60" s="10"/>
    </row>
    <row r="61" spans="1:18" x14ac:dyDescent="0.2">
      <c r="A61" s="10"/>
      <c r="B61" s="2" t="s">
        <v>136</v>
      </c>
      <c r="D61" s="20" t="s">
        <v>94</v>
      </c>
      <c r="H61" s="2" t="s">
        <v>2</v>
      </c>
      <c r="J61" s="6">
        <f>J18*(1-$J$49)^3*(1+$J$51)</f>
        <v>85505950.870990157</v>
      </c>
    </row>
    <row r="62" spans="1:18" x14ac:dyDescent="0.2">
      <c r="A62" s="10"/>
      <c r="B62" s="2" t="s">
        <v>136</v>
      </c>
      <c r="D62" s="20" t="s">
        <v>104</v>
      </c>
      <c r="H62" s="2" t="s">
        <v>2</v>
      </c>
      <c r="J62" s="6">
        <f>J19*(1-$J$49)^3*(1+$J$51)</f>
        <v>71203374.812627062</v>
      </c>
    </row>
    <row r="63" spans="1:18" x14ac:dyDescent="0.2">
      <c r="A63" s="10"/>
    </row>
    <row r="64" spans="1:18" x14ac:dyDescent="0.2">
      <c r="A64" s="10"/>
      <c r="B64" s="2" t="s">
        <v>41</v>
      </c>
      <c r="H64" s="2" t="s">
        <v>2</v>
      </c>
      <c r="J64" s="6">
        <f>J21*(1-$J$49)^3*(1+$J$51)</f>
        <v>33551147.810626525</v>
      </c>
    </row>
    <row r="65" spans="1:18" x14ac:dyDescent="0.2">
      <c r="A65" s="10"/>
    </row>
    <row r="66" spans="1:18" x14ac:dyDescent="0.2">
      <c r="A66" s="10"/>
    </row>
    <row r="67" spans="1:18" x14ac:dyDescent="0.2">
      <c r="A67" s="10"/>
      <c r="B67" s="4" t="s">
        <v>54</v>
      </c>
    </row>
    <row r="68" spans="1:18" x14ac:dyDescent="0.2">
      <c r="A68" s="10"/>
    </row>
    <row r="69" spans="1:18" x14ac:dyDescent="0.2">
      <c r="A69" s="10"/>
      <c r="B69" s="2" t="s">
        <v>44</v>
      </c>
      <c r="D69" s="2" t="s">
        <v>30</v>
      </c>
      <c r="H69" s="2" t="s">
        <v>2</v>
      </c>
      <c r="J69" s="6">
        <f>J26*(1-$J$49)^2*(1+$J$52)</f>
        <v>92437424.724864036</v>
      </c>
    </row>
    <row r="70" spans="1:18" x14ac:dyDescent="0.2">
      <c r="A70" s="10"/>
      <c r="B70" s="2" t="s">
        <v>311</v>
      </c>
      <c r="D70" s="20"/>
      <c r="H70" s="2" t="s">
        <v>2</v>
      </c>
      <c r="J70" s="6">
        <f>SUM(L70:R70)</f>
        <v>202.70288404800002</v>
      </c>
      <c r="L70" s="6">
        <f>L27*(1+$J$52)</f>
        <v>202.70288404800002</v>
      </c>
      <c r="M70" s="6">
        <f t="shared" ref="M70:R70" si="1">M27*(1+$J$52)</f>
        <v>0</v>
      </c>
      <c r="N70" s="6">
        <f t="shared" si="1"/>
        <v>0</v>
      </c>
      <c r="O70" s="6">
        <f t="shared" si="1"/>
        <v>0</v>
      </c>
      <c r="P70" s="6">
        <f t="shared" si="1"/>
        <v>0</v>
      </c>
      <c r="Q70" s="6">
        <f t="shared" si="1"/>
        <v>0</v>
      </c>
      <c r="R70" s="6">
        <f t="shared" si="1"/>
        <v>0</v>
      </c>
    </row>
    <row r="71" spans="1:18" x14ac:dyDescent="0.2">
      <c r="A71" s="10"/>
    </row>
    <row r="72" spans="1:18" x14ac:dyDescent="0.2">
      <c r="A72" s="10"/>
      <c r="B72" s="2" t="s">
        <v>135</v>
      </c>
      <c r="D72" s="20" t="s">
        <v>94</v>
      </c>
      <c r="H72" s="2" t="s">
        <v>2</v>
      </c>
      <c r="J72" s="6">
        <f>J29*(1-$J$49)^2*(1+$J$52)</f>
        <v>93101113.964612275</v>
      </c>
    </row>
    <row r="73" spans="1:18" x14ac:dyDescent="0.2">
      <c r="A73" s="10"/>
      <c r="B73" s="2" t="s">
        <v>135</v>
      </c>
      <c r="D73" s="20" t="s">
        <v>104</v>
      </c>
      <c r="H73" s="2" t="s">
        <v>2</v>
      </c>
      <c r="J73" s="6">
        <f>J30*(1-$J$49)^2*(1+$J$52)</f>
        <v>77653714.484658375</v>
      </c>
    </row>
    <row r="74" spans="1:18" x14ac:dyDescent="0.2">
      <c r="A74" s="10"/>
    </row>
    <row r="75" spans="1:18" x14ac:dyDescent="0.2">
      <c r="A75" s="10"/>
      <c r="B75" s="2" t="s">
        <v>45</v>
      </c>
      <c r="H75" s="2" t="s">
        <v>2</v>
      </c>
      <c r="J75" s="6">
        <f>J32*(1-$J$49)^2*(1+$J$52)</f>
        <v>31110477.636529356</v>
      </c>
    </row>
    <row r="76" spans="1:18" x14ac:dyDescent="0.2">
      <c r="A76" s="10"/>
    </row>
    <row r="77" spans="1:18" x14ac:dyDescent="0.2">
      <c r="A77" s="10"/>
    </row>
    <row r="78" spans="1:18" x14ac:dyDescent="0.2">
      <c r="A78" s="10"/>
      <c r="B78" s="4" t="s">
        <v>55</v>
      </c>
    </row>
    <row r="79" spans="1:18" x14ac:dyDescent="0.2">
      <c r="A79" s="10"/>
    </row>
    <row r="80" spans="1:18" x14ac:dyDescent="0.2">
      <c r="A80" s="10"/>
      <c r="B80" s="2" t="s">
        <v>42</v>
      </c>
      <c r="D80" s="2" t="s">
        <v>30</v>
      </c>
      <c r="H80" s="2" t="s">
        <v>2</v>
      </c>
      <c r="J80" s="6">
        <f>J37*(1-$J$49)*(1+$J$53)</f>
        <v>85089551.148762316</v>
      </c>
    </row>
    <row r="81" spans="1:18" x14ac:dyDescent="0.2">
      <c r="A81" s="10"/>
      <c r="B81" s="2" t="s">
        <v>309</v>
      </c>
      <c r="D81" s="20"/>
      <c r="H81" s="2" t="s">
        <v>2</v>
      </c>
      <c r="J81" s="6">
        <f>SUM(L81:R81)</f>
        <v>66951.10543976599</v>
      </c>
      <c r="L81" s="6">
        <f>L38*(1+$J$53)</f>
        <v>194.0416345945946</v>
      </c>
      <c r="M81" s="6">
        <f t="shared" ref="M81:R81" si="2">M38*(1+$J$53)</f>
        <v>0</v>
      </c>
      <c r="N81" s="6">
        <f>N38*(1+$J$53)</f>
        <v>66757.06380517139</v>
      </c>
      <c r="O81" s="6">
        <f t="shared" si="2"/>
        <v>0</v>
      </c>
      <c r="P81" s="6">
        <f t="shared" si="2"/>
        <v>0</v>
      </c>
      <c r="Q81" s="6">
        <f t="shared" si="2"/>
        <v>0</v>
      </c>
      <c r="R81" s="6">
        <f t="shared" si="2"/>
        <v>0</v>
      </c>
    </row>
    <row r="82" spans="1:18" x14ac:dyDescent="0.2">
      <c r="A82" s="10"/>
    </row>
    <row r="83" spans="1:18" x14ac:dyDescent="0.2">
      <c r="A83" s="10"/>
      <c r="B83" s="2" t="s">
        <v>137</v>
      </c>
      <c r="D83" s="20" t="s">
        <v>94</v>
      </c>
      <c r="H83" s="2" t="s">
        <v>2</v>
      </c>
      <c r="J83" s="6">
        <f>J40*(1-$J$49)*(1+$J$53)</f>
        <v>98186187.570682377</v>
      </c>
    </row>
    <row r="84" spans="1:18" x14ac:dyDescent="0.2">
      <c r="A84" s="10"/>
      <c r="B84" s="2" t="s">
        <v>137</v>
      </c>
      <c r="D84" s="20" t="s">
        <v>104</v>
      </c>
      <c r="H84" s="2" t="s">
        <v>2</v>
      </c>
      <c r="J84" s="6">
        <f>J41*(1-$J$49)*(1+$J$53)</f>
        <v>82078063.202214152</v>
      </c>
    </row>
    <row r="85" spans="1:18" x14ac:dyDescent="0.2">
      <c r="A85" s="10"/>
    </row>
    <row r="86" spans="1:18" x14ac:dyDescent="0.2">
      <c r="A86" s="10"/>
      <c r="B86" s="2" t="s">
        <v>43</v>
      </c>
      <c r="H86" s="2" t="s">
        <v>2</v>
      </c>
      <c r="J86" s="6">
        <f>J43*(1-$J$49)*(1+$J$53)</f>
        <v>36059400.476800963</v>
      </c>
    </row>
    <row r="87" spans="1:18" x14ac:dyDescent="0.2">
      <c r="A87" s="10"/>
    </row>
    <row r="89" spans="1:18" s="1" customFormat="1" x14ac:dyDescent="0.2">
      <c r="B89" s="9" t="s">
        <v>56</v>
      </c>
      <c r="C89" s="9"/>
      <c r="D89" s="9"/>
      <c r="E89" s="9"/>
      <c r="J89" s="1" t="s">
        <v>11</v>
      </c>
    </row>
    <row r="91" spans="1:18" x14ac:dyDescent="0.2">
      <c r="B91" s="4" t="s">
        <v>38</v>
      </c>
    </row>
    <row r="93" spans="1:18" x14ac:dyDescent="0.2">
      <c r="B93" s="2" t="s">
        <v>47</v>
      </c>
      <c r="D93" s="2" t="s">
        <v>30</v>
      </c>
      <c r="H93" s="2" t="s">
        <v>2</v>
      </c>
      <c r="J93" s="6">
        <f>AVERAGE(J58,J69,J80)</f>
        <v>94162681.522850469</v>
      </c>
    </row>
    <row r="94" spans="1:18" x14ac:dyDescent="0.2">
      <c r="B94" s="2" t="s">
        <v>312</v>
      </c>
      <c r="D94" s="20"/>
      <c r="H94" s="2" t="s">
        <v>2</v>
      </c>
      <c r="J94" s="6">
        <f>SUM(L94:R94)</f>
        <v>22499.489790586806</v>
      </c>
      <c r="L94" s="12">
        <f>AVERAGE(L59,L70,L81)</f>
        <v>247.13518886300889</v>
      </c>
      <c r="M94" s="12">
        <f t="shared" ref="M94:R94" si="3">AVERAGE(M59,M70,M81)</f>
        <v>0</v>
      </c>
      <c r="N94" s="12">
        <f>AVERAGE(N59,N70,N81)</f>
        <v>22252.354601723797</v>
      </c>
      <c r="O94" s="12">
        <f t="shared" si="3"/>
        <v>0</v>
      </c>
      <c r="P94" s="12">
        <f t="shared" si="3"/>
        <v>0</v>
      </c>
      <c r="Q94" s="12">
        <f t="shared" si="3"/>
        <v>0</v>
      </c>
      <c r="R94" s="12">
        <f t="shared" si="3"/>
        <v>0</v>
      </c>
    </row>
    <row r="96" spans="1:18" x14ac:dyDescent="0.2">
      <c r="B96" s="2" t="s">
        <v>164</v>
      </c>
      <c r="D96" s="20" t="s">
        <v>104</v>
      </c>
      <c r="H96" s="2" t="s">
        <v>2</v>
      </c>
      <c r="J96" s="6">
        <f>AVERAGE(J62,J73,J84)</f>
        <v>76978384.166499868</v>
      </c>
    </row>
    <row r="97" spans="1:20" x14ac:dyDescent="0.2">
      <c r="B97" s="2" t="s">
        <v>243</v>
      </c>
      <c r="D97" s="20" t="s">
        <v>331</v>
      </c>
      <c r="H97" s="2" t="s">
        <v>2</v>
      </c>
      <c r="J97" s="5">
        <f>'Berekening extra KK AD'!R83</f>
        <v>30707369.477878805</v>
      </c>
    </row>
    <row r="99" spans="1:20" x14ac:dyDescent="0.2">
      <c r="B99" s="2" t="s">
        <v>48</v>
      </c>
      <c r="H99" s="2" t="s">
        <v>2</v>
      </c>
      <c r="J99" s="6">
        <f>AVERAGE(J64,J75,J86)</f>
        <v>33573675.307985611</v>
      </c>
    </row>
    <row r="101" spans="1:20" x14ac:dyDescent="0.2">
      <c r="B101" s="4" t="s">
        <v>57</v>
      </c>
      <c r="L101" s="7"/>
      <c r="M101" s="7"/>
      <c r="N101" s="7"/>
      <c r="O101" s="7"/>
      <c r="P101" s="7"/>
      <c r="Q101" s="7"/>
      <c r="R101" s="7"/>
      <c r="T101" s="2" t="s">
        <v>289</v>
      </c>
    </row>
    <row r="102" spans="1:20" x14ac:dyDescent="0.2">
      <c r="B102" s="2" t="s">
        <v>368</v>
      </c>
      <c r="D102" s="20" t="s">
        <v>104</v>
      </c>
      <c r="H102" s="2" t="s">
        <v>2</v>
      </c>
      <c r="J102" s="12">
        <f>SUM($J$93,J96:J97,$J$99)</f>
        <v>235422110.47521475</v>
      </c>
    </row>
    <row r="103" spans="1:20" x14ac:dyDescent="0.2">
      <c r="J103" s="7"/>
    </row>
    <row r="105" spans="1:20" s="1" customFormat="1" x14ac:dyDescent="0.2">
      <c r="B105" s="9" t="s">
        <v>142</v>
      </c>
      <c r="C105" s="9"/>
      <c r="D105" s="9"/>
      <c r="E105" s="9"/>
      <c r="J105" s="1" t="s">
        <v>11</v>
      </c>
    </row>
    <row r="107" spans="1:20" x14ac:dyDescent="0.2">
      <c r="B107" s="4" t="s">
        <v>38</v>
      </c>
    </row>
    <row r="108" spans="1:20" x14ac:dyDescent="0.2">
      <c r="A108" s="10"/>
    </row>
    <row r="109" spans="1:20" x14ac:dyDescent="0.2">
      <c r="A109" s="10"/>
      <c r="B109" s="2" t="s">
        <v>47</v>
      </c>
      <c r="D109" s="2" t="s">
        <v>30</v>
      </c>
      <c r="H109" s="2" t="s">
        <v>2</v>
      </c>
      <c r="J109" s="6">
        <f>AVERAGE(J58,J69,J80)</f>
        <v>94162681.522850469</v>
      </c>
    </row>
    <row r="110" spans="1:20" x14ac:dyDescent="0.2">
      <c r="A110" s="10"/>
      <c r="B110" s="2" t="s">
        <v>312</v>
      </c>
      <c r="D110" s="20"/>
      <c r="H110" s="2" t="s">
        <v>2</v>
      </c>
      <c r="J110" s="6">
        <f>SUM(L110:R110)</f>
        <v>22499.489790586806</v>
      </c>
      <c r="L110" s="12">
        <f t="shared" ref="L110:R110" si="4">AVERAGE(L59,L70,L81)</f>
        <v>247.13518886300889</v>
      </c>
      <c r="M110" s="12">
        <f t="shared" si="4"/>
        <v>0</v>
      </c>
      <c r="N110" s="12">
        <f t="shared" si="4"/>
        <v>22252.354601723797</v>
      </c>
      <c r="O110" s="12">
        <f t="shared" si="4"/>
        <v>0</v>
      </c>
      <c r="P110" s="12">
        <f t="shared" si="4"/>
        <v>0</v>
      </c>
      <c r="Q110" s="12">
        <f t="shared" si="4"/>
        <v>0</v>
      </c>
      <c r="R110" s="12">
        <f t="shared" si="4"/>
        <v>0</v>
      </c>
    </row>
    <row r="111" spans="1:20" x14ac:dyDescent="0.2">
      <c r="A111" s="10"/>
    </row>
    <row r="112" spans="1:20" x14ac:dyDescent="0.2">
      <c r="A112" s="10"/>
      <c r="B112" s="2" t="s">
        <v>164</v>
      </c>
      <c r="D112" s="20" t="s">
        <v>94</v>
      </c>
      <c r="H112" s="2" t="s">
        <v>2</v>
      </c>
      <c r="J112" s="6">
        <f>AVERAGE(J61,J72,J83)</f>
        <v>92264417.468761608</v>
      </c>
    </row>
    <row r="113" spans="1:20" x14ac:dyDescent="0.2">
      <c r="A113" s="10"/>
      <c r="B113" s="2" t="s">
        <v>243</v>
      </c>
      <c r="D113" s="20" t="s">
        <v>330</v>
      </c>
      <c r="H113" s="2" t="s">
        <v>2</v>
      </c>
      <c r="J113" s="5">
        <f>'Berekening extra KK AD'!M83</f>
        <v>9321133.4366388079</v>
      </c>
    </row>
    <row r="114" spans="1:20" x14ac:dyDescent="0.2">
      <c r="A114" s="10"/>
    </row>
    <row r="115" spans="1:20" x14ac:dyDescent="0.2">
      <c r="A115" s="10"/>
      <c r="B115" s="2" t="s">
        <v>48</v>
      </c>
      <c r="H115" s="2" t="s">
        <v>2</v>
      </c>
      <c r="J115" s="6">
        <f>AVERAGE(J64,J75,J86)</f>
        <v>33573675.307985611</v>
      </c>
    </row>
    <row r="116" spans="1:20" x14ac:dyDescent="0.2">
      <c r="A116" s="10"/>
    </row>
    <row r="117" spans="1:20" x14ac:dyDescent="0.2">
      <c r="A117" s="10"/>
      <c r="B117" s="4" t="s">
        <v>141</v>
      </c>
      <c r="L117" s="7"/>
      <c r="M117" s="7"/>
      <c r="N117" s="7"/>
      <c r="O117" s="7"/>
      <c r="P117" s="7"/>
      <c r="Q117" s="7"/>
      <c r="R117" s="7"/>
    </row>
    <row r="118" spans="1:20" x14ac:dyDescent="0.2">
      <c r="A118" s="10"/>
      <c r="B118" s="2" t="s">
        <v>143</v>
      </c>
      <c r="D118" s="20" t="s">
        <v>94</v>
      </c>
      <c r="H118" s="2" t="s">
        <v>2</v>
      </c>
      <c r="J118" s="12">
        <f>J109+J112+J113+J115</f>
        <v>229321907.73623648</v>
      </c>
    </row>
    <row r="119" spans="1:20" x14ac:dyDescent="0.2">
      <c r="A119" s="10"/>
      <c r="B119" s="2" t="s">
        <v>140</v>
      </c>
      <c r="D119" s="20"/>
      <c r="H119" s="2" t="s">
        <v>12</v>
      </c>
      <c r="J119" s="6">
        <f>SUM(L119:R119)</f>
        <v>175553793.76820758</v>
      </c>
      <c r="L119" s="45">
        <f>'Import SO en BI'!L29</f>
        <v>3421593.8791151224</v>
      </c>
      <c r="M119" s="45">
        <f>'Import SO en BI'!M29</f>
        <v>4757583.899266514</v>
      </c>
      <c r="N119" s="45">
        <f>'Import SO en BI'!N29</f>
        <v>55227066.498678818</v>
      </c>
      <c r="O119" s="45">
        <f>'Import SO en BI'!O29</f>
        <v>62159405.012492806</v>
      </c>
      <c r="P119" s="45">
        <f>'Import SO en BI'!P29</f>
        <v>2574662.2806291692</v>
      </c>
      <c r="Q119" s="45">
        <f>'Import SO en BI'!Q29</f>
        <v>45815126.235646285</v>
      </c>
      <c r="R119" s="45">
        <f>'Import SO en BI'!R29</f>
        <v>1598355.9623788551</v>
      </c>
    </row>
    <row r="120" spans="1:20" x14ac:dyDescent="0.2">
      <c r="A120" s="10"/>
      <c r="B120" s="2" t="s">
        <v>144</v>
      </c>
      <c r="D120" s="20" t="s">
        <v>94</v>
      </c>
      <c r="H120" s="2" t="s">
        <v>139</v>
      </c>
      <c r="J120" s="35">
        <f>J118/J119</f>
        <v>1.306277140549988</v>
      </c>
    </row>
    <row r="121" spans="1:20" x14ac:dyDescent="0.2">
      <c r="A121" s="10"/>
    </row>
    <row r="122" spans="1:20" x14ac:dyDescent="0.2">
      <c r="A122" s="10"/>
      <c r="B122" s="20" t="s">
        <v>145</v>
      </c>
      <c r="D122" s="20" t="s">
        <v>94</v>
      </c>
      <c r="H122" s="2" t="s">
        <v>2</v>
      </c>
      <c r="J122" s="6">
        <f>SUM(L122:R122)</f>
        <v>229321907.73623648</v>
      </c>
      <c r="L122" s="12">
        <f>L119*$J$120</f>
        <v>4469549.8685338432</v>
      </c>
      <c r="M122" s="12">
        <f t="shared" ref="M122:R122" si="5">M119*$J$120</f>
        <v>6214723.0918605244</v>
      </c>
      <c r="N122" s="12">
        <f t="shared" si="5"/>
        <v>72141854.5068582</v>
      </c>
      <c r="O122" s="12">
        <f t="shared" si="5"/>
        <v>81197409.838007689</v>
      </c>
      <c r="P122" s="12">
        <f t="shared" si="5"/>
        <v>3363222.481822182</v>
      </c>
      <c r="Q122" s="12">
        <f t="shared" si="5"/>
        <v>59847252.093036763</v>
      </c>
      <c r="R122" s="12">
        <f t="shared" si="5"/>
        <v>2087895.8561172751</v>
      </c>
      <c r="T122" s="2" t="s">
        <v>296</v>
      </c>
    </row>
    <row r="123" spans="1:20" x14ac:dyDescent="0.2">
      <c r="A123" s="10"/>
      <c r="B123" s="2" t="s">
        <v>146</v>
      </c>
      <c r="D123" s="20"/>
      <c r="H123" s="2" t="s">
        <v>2</v>
      </c>
      <c r="J123" s="6">
        <f>SUM(L123:R123)</f>
        <v>22499.489790586806</v>
      </c>
      <c r="L123" s="12">
        <f t="shared" ref="L123:R123" si="6">L110</f>
        <v>247.13518886300889</v>
      </c>
      <c r="M123" s="12">
        <f t="shared" si="6"/>
        <v>0</v>
      </c>
      <c r="N123" s="12">
        <f t="shared" si="6"/>
        <v>22252.354601723797</v>
      </c>
      <c r="O123" s="12">
        <f t="shared" si="6"/>
        <v>0</v>
      </c>
      <c r="P123" s="12">
        <f t="shared" si="6"/>
        <v>0</v>
      </c>
      <c r="Q123" s="12">
        <f t="shared" si="6"/>
        <v>0</v>
      </c>
      <c r="R123" s="12">
        <f t="shared" si="6"/>
        <v>0</v>
      </c>
    </row>
    <row r="124" spans="1:20" x14ac:dyDescent="0.2">
      <c r="A124" s="10"/>
      <c r="B124" s="20" t="s">
        <v>163</v>
      </c>
      <c r="D124" s="20" t="s">
        <v>94</v>
      </c>
      <c r="H124" s="2" t="s">
        <v>2</v>
      </c>
      <c r="J124" s="6">
        <f>SUM(L124:R124)</f>
        <v>229344407.2260271</v>
      </c>
      <c r="L124" s="22">
        <f>L122+L123</f>
        <v>4469797.0037227059</v>
      </c>
      <c r="M124" s="22">
        <f t="shared" ref="M124:R124" si="7">M122+M123</f>
        <v>6214723.0918605244</v>
      </c>
      <c r="N124" s="22">
        <f t="shared" si="7"/>
        <v>72164106.861459926</v>
      </c>
      <c r="O124" s="22">
        <f t="shared" si="7"/>
        <v>81197409.838007689</v>
      </c>
      <c r="P124" s="22">
        <f t="shared" si="7"/>
        <v>3363222.481822182</v>
      </c>
      <c r="Q124" s="22">
        <f t="shared" si="7"/>
        <v>59847252.093036763</v>
      </c>
      <c r="R124" s="22">
        <f t="shared" si="7"/>
        <v>2087895.8561172751</v>
      </c>
      <c r="T124" s="2" t="s">
        <v>297</v>
      </c>
    </row>
    <row r="125" spans="1:20" x14ac:dyDescent="0.2">
      <c r="A125" s="10"/>
    </row>
    <row r="126" spans="1:20" x14ac:dyDescent="0.2">
      <c r="A126" s="10"/>
      <c r="J126" s="7"/>
    </row>
    <row r="127" spans="1:20" x14ac:dyDescent="0.2">
      <c r="A127" s="10"/>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tabColor rgb="FFFFFFCC"/>
  </sheetPr>
  <dimension ref="A1:U123"/>
  <sheetViews>
    <sheetView showGridLines="0" zoomScale="85" zoomScaleNormal="85" workbookViewId="0">
      <pane xSplit="6" ySplit="8" topLeftCell="G72"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1:19" x14ac:dyDescent="0.2">
      <c r="B1" s="2" t="s">
        <v>389</v>
      </c>
    </row>
    <row r="2" spans="1:19" ht="15" x14ac:dyDescent="0.25">
      <c r="B2"/>
      <c r="C2"/>
      <c r="D2"/>
      <c r="E2"/>
    </row>
    <row r="3" spans="1:19" s="14" customFormat="1" ht="18" customHeight="1" x14ac:dyDescent="0.25">
      <c r="B3" s="13" t="s">
        <v>170</v>
      </c>
      <c r="C3" s="13"/>
      <c r="D3" s="13"/>
      <c r="E3" s="13"/>
    </row>
    <row r="5" spans="1:19" x14ac:dyDescent="0.2">
      <c r="B5" s="20" t="s">
        <v>383</v>
      </c>
    </row>
    <row r="6" spans="1:19" x14ac:dyDescent="0.2">
      <c r="B6" s="20"/>
    </row>
    <row r="7" spans="1:19" x14ac:dyDescent="0.2">
      <c r="B7" s="20"/>
    </row>
    <row r="8" spans="1:19" s="9" customFormat="1" x14ac:dyDescent="0.2">
      <c r="D8" s="9" t="s">
        <v>39</v>
      </c>
      <c r="H8" s="9" t="s">
        <v>1</v>
      </c>
      <c r="J8" s="9" t="s">
        <v>11</v>
      </c>
      <c r="L8" s="9" t="s">
        <v>5</v>
      </c>
      <c r="M8" s="9" t="s">
        <v>250</v>
      </c>
      <c r="N8" s="9" t="s">
        <v>6</v>
      </c>
      <c r="O8" s="9" t="s">
        <v>7</v>
      </c>
      <c r="P8" s="9" t="s">
        <v>8</v>
      </c>
      <c r="Q8" s="9" t="s">
        <v>9</v>
      </c>
      <c r="R8" s="9" t="s">
        <v>10</v>
      </c>
      <c r="S8" s="9" t="s">
        <v>279</v>
      </c>
    </row>
    <row r="11" spans="1:19" s="1" customFormat="1" x14ac:dyDescent="0.2">
      <c r="B11" s="9" t="s">
        <v>50</v>
      </c>
      <c r="C11" s="9"/>
      <c r="D11" s="9"/>
      <c r="E11" s="9"/>
    </row>
    <row r="13" spans="1:19" x14ac:dyDescent="0.2">
      <c r="A13" s="10"/>
      <c r="B13" s="4" t="s">
        <v>49</v>
      </c>
    </row>
    <row r="14" spans="1:19" x14ac:dyDescent="0.2">
      <c r="A14" s="10"/>
      <c r="L14" s="11"/>
    </row>
    <row r="15" spans="1:19" x14ac:dyDescent="0.2">
      <c r="A15" s="10"/>
      <c r="B15" s="2" t="s">
        <v>40</v>
      </c>
      <c r="D15" s="2" t="s">
        <v>30</v>
      </c>
      <c r="H15" s="2" t="s">
        <v>31</v>
      </c>
      <c r="J15" s="6">
        <f>SUM(L15:S15)</f>
        <v>3030124.7554279338</v>
      </c>
      <c r="L15" s="68"/>
      <c r="M15" s="45">
        <f>'Import kosten 2012-2015'!M109</f>
        <v>1219640.8594232115</v>
      </c>
      <c r="N15" s="45">
        <f>'Import kosten 2012-2015'!N109</f>
        <v>478441.89600472216</v>
      </c>
      <c r="O15" s="45">
        <f>'Import kosten 2012-2015'!O109</f>
        <v>0</v>
      </c>
      <c r="P15" s="68"/>
      <c r="Q15" s="68"/>
      <c r="R15" s="68"/>
      <c r="S15" s="45">
        <f>'Import kosten 2012-2015'!S109</f>
        <v>1332042</v>
      </c>
    </row>
    <row r="16" spans="1:19" x14ac:dyDescent="0.2">
      <c r="A16" s="10"/>
      <c r="B16" s="2" t="s">
        <v>131</v>
      </c>
      <c r="D16" s="20" t="s">
        <v>94</v>
      </c>
      <c r="H16" s="2" t="s">
        <v>31</v>
      </c>
      <c r="J16" s="6">
        <f>SUM(L16:S16)</f>
        <v>0</v>
      </c>
      <c r="L16" s="68"/>
      <c r="M16" s="45">
        <f>'Import kosten 2012-2015'!M110</f>
        <v>0</v>
      </c>
      <c r="N16" s="45">
        <f>'Import kosten 2012-2015'!N110</f>
        <v>0</v>
      </c>
      <c r="O16" s="45">
        <f>'Import kosten 2012-2015'!O110</f>
        <v>0</v>
      </c>
      <c r="P16" s="68"/>
      <c r="Q16" s="68"/>
      <c r="R16" s="68"/>
      <c r="S16" s="45">
        <f>'Import kosten 2012-2015'!S110</f>
        <v>0</v>
      </c>
    </row>
    <row r="17" spans="1:19" x14ac:dyDescent="0.2">
      <c r="A17" s="10"/>
      <c r="B17" s="2" t="s">
        <v>131</v>
      </c>
      <c r="D17" s="20" t="s">
        <v>104</v>
      </c>
      <c r="H17" s="2" t="s">
        <v>31</v>
      </c>
      <c r="J17" s="6">
        <f>SUM(L17:S17)</f>
        <v>0</v>
      </c>
      <c r="L17" s="68"/>
      <c r="M17" s="45">
        <f>'Import kosten 2012-2015'!M111</f>
        <v>0</v>
      </c>
      <c r="N17" s="45">
        <f>'Import kosten 2012-2015'!N111</f>
        <v>0</v>
      </c>
      <c r="O17" s="45">
        <f>'Import kosten 2012-2015'!O111</f>
        <v>0</v>
      </c>
      <c r="P17" s="68"/>
      <c r="Q17" s="68"/>
      <c r="R17" s="68"/>
      <c r="S17" s="45">
        <f>'Import kosten 2012-2015'!S111</f>
        <v>0</v>
      </c>
    </row>
    <row r="18" spans="1:19" x14ac:dyDescent="0.2">
      <c r="A18" s="10"/>
      <c r="L18" s="11"/>
      <c r="P18" s="11"/>
      <c r="Q18" s="11"/>
      <c r="R18" s="11"/>
    </row>
    <row r="19" spans="1:19" x14ac:dyDescent="0.2">
      <c r="A19" s="10"/>
      <c r="B19" s="2" t="s">
        <v>99</v>
      </c>
      <c r="D19" s="20" t="s">
        <v>94</v>
      </c>
      <c r="H19" s="2" t="s">
        <v>31</v>
      </c>
      <c r="J19" s="6">
        <f>SUM(L19:S19)</f>
        <v>3767326.724199228</v>
      </c>
      <c r="L19" s="70"/>
      <c r="M19" s="5">
        <f>'Import kosten 2012-2015'!M113</f>
        <v>734106.54182072217</v>
      </c>
      <c r="N19" s="5">
        <f>'Import kosten 2012-2015'!N113</f>
        <v>191854.29969731229</v>
      </c>
      <c r="O19" s="5">
        <f>'Import kosten 2012-2015'!O113</f>
        <v>0</v>
      </c>
      <c r="P19" s="70"/>
      <c r="Q19" s="70"/>
      <c r="R19" s="70"/>
      <c r="S19" s="5">
        <f>'Import kosten 2012-2015'!S113</f>
        <v>2841365.8826811933</v>
      </c>
    </row>
    <row r="20" spans="1:19" x14ac:dyDescent="0.2">
      <c r="A20" s="10"/>
      <c r="B20" s="2" t="s">
        <v>103</v>
      </c>
      <c r="D20" s="20" t="s">
        <v>104</v>
      </c>
      <c r="H20" s="2" t="s">
        <v>31</v>
      </c>
      <c r="J20" s="6">
        <f>SUM(L20:S20)</f>
        <v>3068571.4247425562</v>
      </c>
      <c r="L20" s="70"/>
      <c r="M20" s="5">
        <f>'Import kosten 2012-2015'!M114</f>
        <v>594675.69598399708</v>
      </c>
      <c r="N20" s="5">
        <f>'Import kosten 2012-2015'!N114</f>
        <v>155449.41768742609</v>
      </c>
      <c r="O20" s="5">
        <f>'Import kosten 2012-2015'!O114</f>
        <v>0</v>
      </c>
      <c r="P20" s="70"/>
      <c r="Q20" s="70"/>
      <c r="R20" s="70"/>
      <c r="S20" s="5">
        <f>'Import kosten 2012-2015'!S114</f>
        <v>2318446.3110711332</v>
      </c>
    </row>
    <row r="21" spans="1:19" x14ac:dyDescent="0.2">
      <c r="A21" s="10"/>
    </row>
    <row r="22" spans="1:19" x14ac:dyDescent="0.2">
      <c r="A22" s="10"/>
    </row>
    <row r="23" spans="1:19" x14ac:dyDescent="0.2">
      <c r="A23" s="10"/>
    </row>
    <row r="24" spans="1:19" x14ac:dyDescent="0.2">
      <c r="A24" s="10"/>
      <c r="B24" s="4" t="s">
        <v>51</v>
      </c>
    </row>
    <row r="25" spans="1:19" x14ac:dyDescent="0.2">
      <c r="A25" s="10"/>
    </row>
    <row r="26" spans="1:19" x14ac:dyDescent="0.2">
      <c r="A26" s="10"/>
      <c r="B26" s="2" t="s">
        <v>44</v>
      </c>
      <c r="D26" s="2" t="s">
        <v>30</v>
      </c>
      <c r="H26" s="2" t="s">
        <v>32</v>
      </c>
      <c r="J26" s="6">
        <f>SUM(L26:S26)</f>
        <v>2868877.2795474543</v>
      </c>
      <c r="L26" s="68"/>
      <c r="M26" s="45">
        <f>'Import kosten 2012-2015'!M118</f>
        <v>1047293.9777251674</v>
      </c>
      <c r="N26" s="45">
        <f>'Import kosten 2012-2015'!N118</f>
        <v>454885.89713777974</v>
      </c>
      <c r="O26" s="45">
        <f>'Import kosten 2012-2015'!O118</f>
        <v>1242.4046845073726</v>
      </c>
      <c r="P26" s="68"/>
      <c r="Q26" s="68"/>
      <c r="R26" s="68"/>
      <c r="S26" s="45">
        <f>'Import kosten 2012-2015'!S118</f>
        <v>1365455</v>
      </c>
    </row>
    <row r="27" spans="1:19" x14ac:dyDescent="0.2">
      <c r="A27" s="10"/>
      <c r="B27" s="2" t="s">
        <v>132</v>
      </c>
      <c r="D27" s="20" t="s">
        <v>94</v>
      </c>
      <c r="H27" s="2" t="s">
        <v>32</v>
      </c>
      <c r="J27" s="6">
        <f>SUM(L27:S27)</f>
        <v>0</v>
      </c>
      <c r="L27" s="68"/>
      <c r="M27" s="45">
        <f>'Import kosten 2012-2015'!M119</f>
        <v>0</v>
      </c>
      <c r="N27" s="45">
        <f>'Import kosten 2012-2015'!N119</f>
        <v>0</v>
      </c>
      <c r="O27" s="45">
        <f>'Import kosten 2012-2015'!O119</f>
        <v>0</v>
      </c>
      <c r="P27" s="68"/>
      <c r="Q27" s="68"/>
      <c r="R27" s="68"/>
      <c r="S27" s="45">
        <f>'Import kosten 2012-2015'!S119</f>
        <v>0</v>
      </c>
    </row>
    <row r="28" spans="1:19" x14ac:dyDescent="0.2">
      <c r="A28" s="10"/>
      <c r="B28" s="2" t="s">
        <v>132</v>
      </c>
      <c r="D28" s="20" t="s">
        <v>104</v>
      </c>
      <c r="H28" s="2" t="s">
        <v>32</v>
      </c>
      <c r="J28" s="6">
        <f>SUM(L28:S28)</f>
        <v>0</v>
      </c>
      <c r="L28" s="68"/>
      <c r="M28" s="45">
        <f>'Import kosten 2012-2015'!M120</f>
        <v>0</v>
      </c>
      <c r="N28" s="45">
        <f>'Import kosten 2012-2015'!N120</f>
        <v>0</v>
      </c>
      <c r="O28" s="45">
        <f>'Import kosten 2012-2015'!O120</f>
        <v>0</v>
      </c>
      <c r="P28" s="68"/>
      <c r="Q28" s="68"/>
      <c r="R28" s="68"/>
      <c r="S28" s="45">
        <f>'Import kosten 2012-2015'!S120</f>
        <v>0</v>
      </c>
    </row>
    <row r="29" spans="1:19" x14ac:dyDescent="0.2">
      <c r="A29" s="10"/>
      <c r="L29" s="11"/>
      <c r="P29" s="11"/>
      <c r="Q29" s="11"/>
      <c r="R29" s="11"/>
    </row>
    <row r="30" spans="1:19" x14ac:dyDescent="0.2">
      <c r="A30" s="10"/>
      <c r="B30" s="2" t="s">
        <v>98</v>
      </c>
      <c r="D30" s="20" t="s">
        <v>94</v>
      </c>
      <c r="H30" s="2" t="s">
        <v>32</v>
      </c>
      <c r="J30" s="6">
        <f>SUM(L30:S30)</f>
        <v>3796199.1915623024</v>
      </c>
      <c r="L30" s="70"/>
      <c r="M30" s="5">
        <f>'Import kosten 2012-2015'!M122</f>
        <v>742597.71385573316</v>
      </c>
      <c r="N30" s="5">
        <f>'Import kosten 2012-2015'!N122</f>
        <v>194068.36803945518</v>
      </c>
      <c r="O30" s="5">
        <f>'Import kosten 2012-2015'!O122</f>
        <v>0</v>
      </c>
      <c r="P30" s="70"/>
      <c r="Q30" s="70"/>
      <c r="R30" s="70"/>
      <c r="S30" s="5">
        <f>'Import kosten 2012-2015'!S122</f>
        <v>2859533.109667114</v>
      </c>
    </row>
    <row r="31" spans="1:19" x14ac:dyDescent="0.2">
      <c r="A31" s="10"/>
      <c r="B31" s="2" t="s">
        <v>102</v>
      </c>
      <c r="D31" s="20" t="s">
        <v>104</v>
      </c>
      <c r="H31" s="2" t="s">
        <v>32</v>
      </c>
      <c r="J31" s="6">
        <f>SUM(L31:S31)</f>
        <v>3095393.8212894201</v>
      </c>
      <c r="L31" s="70"/>
      <c r="M31" s="5">
        <f>'Import kosten 2012-2015'!M123</f>
        <v>602910.00305110542</v>
      </c>
      <c r="N31" s="5">
        <f>'Import kosten 2012-2015'!N123</f>
        <v>157598.84879008203</v>
      </c>
      <c r="O31" s="5">
        <f>'Import kosten 2012-2015'!O123</f>
        <v>0</v>
      </c>
      <c r="P31" s="70"/>
      <c r="Q31" s="70"/>
      <c r="R31" s="70"/>
      <c r="S31" s="5">
        <f>'Import kosten 2012-2015'!S123</f>
        <v>2334884.9694482326</v>
      </c>
    </row>
    <row r="32" spans="1:19" x14ac:dyDescent="0.2">
      <c r="A32" s="10"/>
    </row>
    <row r="33" spans="1:19" x14ac:dyDescent="0.2">
      <c r="A33" s="10"/>
    </row>
    <row r="34" spans="1:19" x14ac:dyDescent="0.2">
      <c r="A34" s="10"/>
    </row>
    <row r="35" spans="1:19" x14ac:dyDescent="0.2">
      <c r="A35" s="10"/>
      <c r="B35" s="4" t="s">
        <v>52</v>
      </c>
    </row>
    <row r="36" spans="1:19" x14ac:dyDescent="0.2">
      <c r="A36" s="10"/>
    </row>
    <row r="37" spans="1:19" x14ac:dyDescent="0.2">
      <c r="A37" s="10"/>
      <c r="B37" s="2" t="s">
        <v>42</v>
      </c>
      <c r="D37" s="2" t="s">
        <v>30</v>
      </c>
      <c r="H37" s="2" t="s">
        <v>33</v>
      </c>
      <c r="J37" s="6">
        <f>SUM(L37:S37)</f>
        <v>2665038.6333288802</v>
      </c>
      <c r="L37" s="68"/>
      <c r="M37" s="45">
        <f>'Import kosten 2012-2015'!M127</f>
        <v>845895.08350838174</v>
      </c>
      <c r="N37" s="45">
        <f>'Import kosten 2012-2015'!N127</f>
        <v>338072.78025660414</v>
      </c>
      <c r="O37" s="45">
        <f>'Import kosten 2012-2015'!O127</f>
        <v>2511.7695638944838</v>
      </c>
      <c r="P37" s="68"/>
      <c r="Q37" s="68"/>
      <c r="R37" s="68"/>
      <c r="S37" s="45">
        <f>'Import kosten 2012-2015'!S127</f>
        <v>1478559</v>
      </c>
    </row>
    <row r="38" spans="1:19" x14ac:dyDescent="0.2">
      <c r="A38" s="10"/>
      <c r="B38" s="2" t="s">
        <v>133</v>
      </c>
      <c r="D38" s="20" t="s">
        <v>94</v>
      </c>
      <c r="H38" s="2" t="s">
        <v>33</v>
      </c>
      <c r="J38" s="6">
        <f>SUM(L38:S38)</f>
        <v>0</v>
      </c>
      <c r="L38" s="68"/>
      <c r="M38" s="45">
        <f>'Import kosten 2012-2015'!M128</f>
        <v>0</v>
      </c>
      <c r="N38" s="45">
        <f>'Import kosten 2012-2015'!N128</f>
        <v>0</v>
      </c>
      <c r="O38" s="45">
        <f>'Import kosten 2012-2015'!O128</f>
        <v>0</v>
      </c>
      <c r="P38" s="68"/>
      <c r="Q38" s="68"/>
      <c r="R38" s="68"/>
      <c r="S38" s="45">
        <f>'Import kosten 2012-2015'!S128</f>
        <v>0</v>
      </c>
    </row>
    <row r="39" spans="1:19" x14ac:dyDescent="0.2">
      <c r="A39" s="10"/>
      <c r="B39" s="2" t="s">
        <v>133</v>
      </c>
      <c r="D39" s="20" t="s">
        <v>104</v>
      </c>
      <c r="H39" s="2" t="s">
        <v>33</v>
      </c>
      <c r="J39" s="6">
        <f>SUM(L39:S39)</f>
        <v>0</v>
      </c>
      <c r="L39" s="68"/>
      <c r="M39" s="45">
        <f>'Import kosten 2012-2015'!M129</f>
        <v>0</v>
      </c>
      <c r="N39" s="45">
        <f>'Import kosten 2012-2015'!N129</f>
        <v>0</v>
      </c>
      <c r="O39" s="45">
        <f>'Import kosten 2012-2015'!O129</f>
        <v>0</v>
      </c>
      <c r="P39" s="68"/>
      <c r="Q39" s="68"/>
      <c r="R39" s="68"/>
      <c r="S39" s="45">
        <f>'Import kosten 2012-2015'!S129</f>
        <v>0</v>
      </c>
    </row>
    <row r="40" spans="1:19" x14ac:dyDescent="0.2">
      <c r="A40" s="10"/>
      <c r="L40" s="11"/>
      <c r="P40" s="11"/>
      <c r="Q40" s="11"/>
      <c r="R40" s="11"/>
    </row>
    <row r="41" spans="1:19" x14ac:dyDescent="0.2">
      <c r="A41" s="10"/>
      <c r="B41" s="2" t="s">
        <v>97</v>
      </c>
      <c r="D41" s="20" t="s">
        <v>94</v>
      </c>
      <c r="H41" s="2" t="s">
        <v>33</v>
      </c>
      <c r="J41" s="6">
        <f>SUM(L41:S41)</f>
        <v>3768954.2829768164</v>
      </c>
      <c r="L41" s="70"/>
      <c r="M41" s="5">
        <f>'Import kosten 2012-2015'!M131</f>
        <v>737839.24174696172</v>
      </c>
      <c r="N41" s="5">
        <f>'Import kosten 2012-2015'!N131</f>
        <v>192819.621149974</v>
      </c>
      <c r="O41" s="5">
        <f>'Import kosten 2012-2015'!O131</f>
        <v>0</v>
      </c>
      <c r="P41" s="70"/>
      <c r="Q41" s="70"/>
      <c r="R41" s="70"/>
      <c r="S41" s="5">
        <f>'Import kosten 2012-2015'!S131</f>
        <v>2838295.4200798804</v>
      </c>
    </row>
    <row r="42" spans="1:19" x14ac:dyDescent="0.2">
      <c r="A42" s="10"/>
      <c r="B42" s="2" t="s">
        <v>101</v>
      </c>
      <c r="D42" s="20" t="s">
        <v>104</v>
      </c>
      <c r="H42" s="2" t="s">
        <v>33</v>
      </c>
      <c r="J42" s="6">
        <f>SUM(L42:S42)</f>
        <v>3079168.3714857902</v>
      </c>
      <c r="L42" s="70"/>
      <c r="M42" s="5">
        <f>'Import kosten 2012-2015'!M132</f>
        <v>600438.32453696849</v>
      </c>
      <c r="N42" s="5">
        <f>'Import kosten 2012-2015'!N132</f>
        <v>156949.65315946488</v>
      </c>
      <c r="O42" s="5">
        <f>'Import kosten 2012-2015'!O132</f>
        <v>0</v>
      </c>
      <c r="P42" s="70"/>
      <c r="Q42" s="70"/>
      <c r="R42" s="70"/>
      <c r="S42" s="5">
        <f>'Import kosten 2012-2015'!S132</f>
        <v>2321780.3937893566</v>
      </c>
    </row>
    <row r="43" spans="1:19" x14ac:dyDescent="0.2">
      <c r="A43" s="10"/>
    </row>
    <row r="44" spans="1:19" x14ac:dyDescent="0.2">
      <c r="A44" s="10"/>
      <c r="J44" s="7"/>
    </row>
    <row r="46" spans="1:19" s="1" customFormat="1" x14ac:dyDescent="0.2">
      <c r="B46" s="9" t="s">
        <v>138</v>
      </c>
      <c r="C46" s="9"/>
      <c r="D46" s="9"/>
      <c r="E46" s="9"/>
    </row>
    <row r="47" spans="1:19" x14ac:dyDescent="0.2">
      <c r="A47" s="10"/>
    </row>
    <row r="48" spans="1:19" x14ac:dyDescent="0.2">
      <c r="A48" s="10"/>
      <c r="B48" s="4" t="s">
        <v>34</v>
      </c>
    </row>
    <row r="49" spans="1:19" x14ac:dyDescent="0.2">
      <c r="A49" s="10"/>
      <c r="B49" s="2" t="s">
        <v>46</v>
      </c>
      <c r="D49" s="11"/>
      <c r="H49" s="2" t="s">
        <v>28</v>
      </c>
      <c r="J49" s="33">
        <f>Productiviteitsverandering!L52</f>
        <v>3.3007719701627636E-4</v>
      </c>
    </row>
    <row r="50" spans="1:19" s="10" customFormat="1" x14ac:dyDescent="0.2">
      <c r="J50" s="32"/>
    </row>
    <row r="51" spans="1:19" x14ac:dyDescent="0.2">
      <c r="A51" s="10"/>
      <c r="B51" s="2" t="s">
        <v>35</v>
      </c>
      <c r="H51" s="2" t="s">
        <v>28</v>
      </c>
      <c r="J51" s="33">
        <f>'WACC en CPI'!N39</f>
        <v>4.6586240000000112E-2</v>
      </c>
    </row>
    <row r="52" spans="1:19" x14ac:dyDescent="0.2">
      <c r="A52" s="10"/>
      <c r="B52" s="2" t="s">
        <v>36</v>
      </c>
      <c r="H52" s="2" t="s">
        <v>28</v>
      </c>
      <c r="J52" s="33">
        <f>'WACC en CPI'!O39</f>
        <v>1.8080000000000096E-2</v>
      </c>
    </row>
    <row r="53" spans="1:19" x14ac:dyDescent="0.2">
      <c r="A53" s="10"/>
      <c r="B53" s="2" t="s">
        <v>37</v>
      </c>
      <c r="H53" s="2" t="s">
        <v>28</v>
      </c>
      <c r="J53" s="33">
        <f>'WACC en CPI'!P39</f>
        <v>8.0000000000000002E-3</v>
      </c>
    </row>
    <row r="54" spans="1:19" x14ac:dyDescent="0.2">
      <c r="A54" s="10"/>
    </row>
    <row r="55" spans="1:19" x14ac:dyDescent="0.2">
      <c r="A55" s="10"/>
    </row>
    <row r="56" spans="1:19" x14ac:dyDescent="0.2">
      <c r="A56" s="10"/>
      <c r="B56" s="4" t="s">
        <v>53</v>
      </c>
    </row>
    <row r="57" spans="1:19" x14ac:dyDescent="0.2">
      <c r="A57" s="10"/>
    </row>
    <row r="58" spans="1:19" x14ac:dyDescent="0.2">
      <c r="A58" s="10"/>
      <c r="B58" s="2" t="s">
        <v>40</v>
      </c>
      <c r="D58" s="2" t="s">
        <v>30</v>
      </c>
      <c r="H58" s="2" t="s">
        <v>2</v>
      </c>
      <c r="J58" s="6">
        <f>J15*(1-$J$49)^3*(1+$J$51)</f>
        <v>3168147.6024969821</v>
      </c>
    </row>
    <row r="59" spans="1:19" x14ac:dyDescent="0.2">
      <c r="A59" s="10"/>
      <c r="B59" s="2" t="s">
        <v>131</v>
      </c>
      <c r="D59" s="20" t="s">
        <v>94</v>
      </c>
      <c r="H59" s="2" t="s">
        <v>2</v>
      </c>
      <c r="J59" s="6">
        <f>SUM(L59:S59)</f>
        <v>0</v>
      </c>
      <c r="L59" s="70"/>
      <c r="M59" s="6">
        <f t="shared" ref="M59:O60" si="0">M16*(1+$J$51)</f>
        <v>0</v>
      </c>
      <c r="N59" s="6">
        <f t="shared" si="0"/>
        <v>0</v>
      </c>
      <c r="O59" s="6">
        <f t="shared" si="0"/>
        <v>0</v>
      </c>
      <c r="P59" s="70"/>
      <c r="Q59" s="70"/>
      <c r="R59" s="70"/>
      <c r="S59" s="6">
        <f>S16*(1+$J$51)</f>
        <v>0</v>
      </c>
    </row>
    <row r="60" spans="1:19" x14ac:dyDescent="0.2">
      <c r="A60" s="10"/>
      <c r="B60" s="2" t="s">
        <v>131</v>
      </c>
      <c r="D60" s="20" t="s">
        <v>104</v>
      </c>
      <c r="H60" s="2" t="s">
        <v>2</v>
      </c>
      <c r="J60" s="6">
        <f>SUM(L60:S60)</f>
        <v>0</v>
      </c>
      <c r="L60" s="70"/>
      <c r="M60" s="6">
        <f t="shared" si="0"/>
        <v>0</v>
      </c>
      <c r="N60" s="6">
        <f t="shared" si="0"/>
        <v>0</v>
      </c>
      <c r="O60" s="6">
        <f t="shared" si="0"/>
        <v>0</v>
      </c>
      <c r="P60" s="70"/>
      <c r="Q60" s="70"/>
      <c r="R60" s="70"/>
      <c r="S60" s="6">
        <f>S17*(1+$J$51)</f>
        <v>0</v>
      </c>
    </row>
    <row r="61" spans="1:19" x14ac:dyDescent="0.2">
      <c r="A61" s="10"/>
    </row>
    <row r="62" spans="1:19" x14ac:dyDescent="0.2">
      <c r="A62" s="10"/>
      <c r="B62" s="2" t="s">
        <v>136</v>
      </c>
      <c r="D62" s="20" t="s">
        <v>94</v>
      </c>
      <c r="H62" s="2" t="s">
        <v>2</v>
      </c>
      <c r="J62" s="6">
        <f>J19*(1-$J$49)^3*(1+$J$51)</f>
        <v>3938929.282602753</v>
      </c>
    </row>
    <row r="63" spans="1:19" x14ac:dyDescent="0.2">
      <c r="A63" s="10"/>
      <c r="B63" s="2" t="s">
        <v>136</v>
      </c>
      <c r="D63" s="20" t="s">
        <v>104</v>
      </c>
      <c r="H63" s="2" t="s">
        <v>2</v>
      </c>
      <c r="J63" s="6">
        <f>J20*(1-$J$49)^3*(1+$J$51)</f>
        <v>3208345.5260296431</v>
      </c>
    </row>
    <row r="64" spans="1:19" x14ac:dyDescent="0.2">
      <c r="A64" s="10"/>
    </row>
    <row r="65" spans="1:19" x14ac:dyDescent="0.2">
      <c r="A65" s="10"/>
    </row>
    <row r="66" spans="1:19" x14ac:dyDescent="0.2">
      <c r="A66" s="10"/>
    </row>
    <row r="67" spans="1:19" x14ac:dyDescent="0.2">
      <c r="A67" s="10"/>
      <c r="B67" s="4" t="s">
        <v>54</v>
      </c>
    </row>
    <row r="68" spans="1:19" x14ac:dyDescent="0.2">
      <c r="A68" s="10"/>
    </row>
    <row r="69" spans="1:19" x14ac:dyDescent="0.2">
      <c r="A69" s="10"/>
      <c r="B69" s="2" t="s">
        <v>44</v>
      </c>
      <c r="D69" s="2" t="s">
        <v>30</v>
      </c>
      <c r="H69" s="2" t="s">
        <v>2</v>
      </c>
      <c r="J69" s="6">
        <f>J26*(1-$J$49)^2*(1+$J$52)</f>
        <v>2918818.7552906591</v>
      </c>
    </row>
    <row r="70" spans="1:19" x14ac:dyDescent="0.2">
      <c r="A70" s="10"/>
      <c r="B70" s="2" t="s">
        <v>132</v>
      </c>
      <c r="D70" s="20" t="s">
        <v>94</v>
      </c>
      <c r="H70" s="2" t="s">
        <v>2</v>
      </c>
      <c r="J70" s="6">
        <f>SUM(L70:S70)</f>
        <v>0</v>
      </c>
      <c r="L70" s="70"/>
      <c r="M70" s="6">
        <f t="shared" ref="M70:O71" si="1">M27*(1+$J$52)</f>
        <v>0</v>
      </c>
      <c r="N70" s="6">
        <f t="shared" si="1"/>
        <v>0</v>
      </c>
      <c r="O70" s="6">
        <f t="shared" si="1"/>
        <v>0</v>
      </c>
      <c r="P70" s="70"/>
      <c r="Q70" s="70"/>
      <c r="R70" s="70"/>
      <c r="S70" s="6">
        <f>S27*(1+$J$52)</f>
        <v>0</v>
      </c>
    </row>
    <row r="71" spans="1:19" x14ac:dyDescent="0.2">
      <c r="A71" s="10"/>
      <c r="B71" s="2" t="s">
        <v>132</v>
      </c>
      <c r="D71" s="20" t="s">
        <v>104</v>
      </c>
      <c r="H71" s="2" t="s">
        <v>2</v>
      </c>
      <c r="J71" s="6">
        <f>SUM(L71:S71)</f>
        <v>0</v>
      </c>
      <c r="L71" s="70"/>
      <c r="M71" s="6">
        <f t="shared" si="1"/>
        <v>0</v>
      </c>
      <c r="N71" s="6">
        <f t="shared" si="1"/>
        <v>0</v>
      </c>
      <c r="O71" s="6">
        <f t="shared" si="1"/>
        <v>0</v>
      </c>
      <c r="P71" s="70"/>
      <c r="Q71" s="70"/>
      <c r="R71" s="70"/>
      <c r="S71" s="6">
        <f>S28*(1+$J$52)</f>
        <v>0</v>
      </c>
    </row>
    <row r="72" spans="1:19" x14ac:dyDescent="0.2">
      <c r="A72" s="10"/>
    </row>
    <row r="73" spans="1:19" x14ac:dyDescent="0.2">
      <c r="A73" s="10"/>
      <c r="B73" s="2" t="s">
        <v>135</v>
      </c>
      <c r="D73" s="20" t="s">
        <v>94</v>
      </c>
      <c r="H73" s="2" t="s">
        <v>2</v>
      </c>
      <c r="J73" s="6">
        <f>J30*(1-$J$49)^2*(1+$J$52)</f>
        <v>3862283.5065636365</v>
      </c>
    </row>
    <row r="74" spans="1:19" x14ac:dyDescent="0.2">
      <c r="A74" s="10"/>
      <c r="B74" s="2" t="s">
        <v>135</v>
      </c>
      <c r="D74" s="20" t="s">
        <v>104</v>
      </c>
      <c r="H74" s="2" t="s">
        <v>2</v>
      </c>
      <c r="J74" s="6">
        <f>J31*(1-$J$49)^2*(1+$J$52)</f>
        <v>3149278.5017334637</v>
      </c>
    </row>
    <row r="75" spans="1:19" x14ac:dyDescent="0.2">
      <c r="A75" s="10"/>
    </row>
    <row r="76" spans="1:19" x14ac:dyDescent="0.2">
      <c r="A76" s="10"/>
    </row>
    <row r="77" spans="1:19" x14ac:dyDescent="0.2">
      <c r="A77" s="10"/>
    </row>
    <row r="78" spans="1:19" x14ac:dyDescent="0.2">
      <c r="A78" s="10"/>
      <c r="B78" s="4" t="s">
        <v>55</v>
      </c>
    </row>
    <row r="79" spans="1:19" x14ac:dyDescent="0.2">
      <c r="A79" s="10"/>
    </row>
    <row r="80" spans="1:19" x14ac:dyDescent="0.2">
      <c r="A80" s="10"/>
      <c r="B80" s="2" t="s">
        <v>42</v>
      </c>
      <c r="D80" s="2" t="s">
        <v>30</v>
      </c>
      <c r="H80" s="2" t="s">
        <v>2</v>
      </c>
      <c r="J80" s="6">
        <f>J37*(1-$J$49)*(1+$J$53)</f>
        <v>2685472.2365656258</v>
      </c>
    </row>
    <row r="81" spans="1:19" x14ac:dyDescent="0.2">
      <c r="A81" s="10"/>
      <c r="B81" s="2" t="s">
        <v>133</v>
      </c>
      <c r="D81" s="20" t="s">
        <v>94</v>
      </c>
      <c r="H81" s="2" t="s">
        <v>2</v>
      </c>
      <c r="J81" s="6">
        <f>SUM(L81:S81)</f>
        <v>0</v>
      </c>
      <c r="L81" s="70"/>
      <c r="M81" s="6">
        <f t="shared" ref="M81:O82" si="2">M38*(1+$J$53)</f>
        <v>0</v>
      </c>
      <c r="N81" s="6">
        <f t="shared" si="2"/>
        <v>0</v>
      </c>
      <c r="O81" s="6">
        <f t="shared" si="2"/>
        <v>0</v>
      </c>
      <c r="P81" s="70"/>
      <c r="Q81" s="70"/>
      <c r="R81" s="70"/>
      <c r="S81" s="6">
        <f>S38*(1+$J$53)</f>
        <v>0</v>
      </c>
    </row>
    <row r="82" spans="1:19" x14ac:dyDescent="0.2">
      <c r="A82" s="10"/>
      <c r="B82" s="2" t="s">
        <v>133</v>
      </c>
      <c r="D82" s="20" t="s">
        <v>104</v>
      </c>
      <c r="H82" s="2" t="s">
        <v>2</v>
      </c>
      <c r="J82" s="6">
        <f>SUM(L82:S82)</f>
        <v>0</v>
      </c>
      <c r="L82" s="70"/>
      <c r="M82" s="6">
        <f t="shared" si="2"/>
        <v>0</v>
      </c>
      <c r="N82" s="6">
        <f t="shared" si="2"/>
        <v>0</v>
      </c>
      <c r="O82" s="6">
        <f t="shared" si="2"/>
        <v>0</v>
      </c>
      <c r="P82" s="70"/>
      <c r="Q82" s="70"/>
      <c r="R82" s="70"/>
      <c r="S82" s="6">
        <f>S39*(1+$J$53)</f>
        <v>0</v>
      </c>
    </row>
    <row r="83" spans="1:19" x14ac:dyDescent="0.2">
      <c r="A83" s="10"/>
    </row>
    <row r="84" spans="1:19" x14ac:dyDescent="0.2">
      <c r="A84" s="10"/>
      <c r="B84" s="2" t="s">
        <v>137</v>
      </c>
      <c r="D84" s="20" t="s">
        <v>94</v>
      </c>
      <c r="H84" s="2" t="s">
        <v>2</v>
      </c>
      <c r="J84" s="6">
        <f>J41*(1-$J$49)*(1+$J$53)</f>
        <v>3797851.9190083002</v>
      </c>
    </row>
    <row r="85" spans="1:19" x14ac:dyDescent="0.2">
      <c r="A85" s="10"/>
      <c r="B85" s="2" t="s">
        <v>137</v>
      </c>
      <c r="D85" s="20" t="s">
        <v>104</v>
      </c>
      <c r="H85" s="2" t="s">
        <v>2</v>
      </c>
      <c r="J85" s="6">
        <f>J42*(1-$J$49)*(1+$J$53)</f>
        <v>3102777.2242863541</v>
      </c>
    </row>
    <row r="86" spans="1:19" x14ac:dyDescent="0.2">
      <c r="A86" s="10"/>
    </row>
    <row r="87" spans="1:19" x14ac:dyDescent="0.2">
      <c r="A87" s="10"/>
    </row>
    <row r="89" spans="1:19" s="1" customFormat="1" x14ac:dyDescent="0.2">
      <c r="B89" s="9" t="s">
        <v>56</v>
      </c>
      <c r="C89" s="9"/>
      <c r="D89" s="9"/>
      <c r="E89" s="9"/>
    </row>
    <row r="91" spans="1:19" x14ac:dyDescent="0.2">
      <c r="B91" s="4" t="s">
        <v>38</v>
      </c>
    </row>
    <row r="93" spans="1:19" x14ac:dyDescent="0.2">
      <c r="B93" s="2" t="s">
        <v>47</v>
      </c>
      <c r="D93" s="2" t="s">
        <v>30</v>
      </c>
      <c r="H93" s="2" t="s">
        <v>2</v>
      </c>
      <c r="J93" s="6">
        <f>AVERAGE(J58,J69,J80)</f>
        <v>2924146.1981177554</v>
      </c>
    </row>
    <row r="94" spans="1:19" x14ac:dyDescent="0.2">
      <c r="B94" s="2" t="s">
        <v>134</v>
      </c>
      <c r="D94" s="20" t="s">
        <v>104</v>
      </c>
      <c r="H94" s="2" t="s">
        <v>2</v>
      </c>
      <c r="J94" s="6">
        <f>SUM(L94:S94)</f>
        <v>0</v>
      </c>
      <c r="L94" s="69"/>
      <c r="M94" s="12">
        <f>AVERAGE(M60,M71,M82)</f>
        <v>0</v>
      </c>
      <c r="N94" s="12">
        <f>AVERAGE(N60,N71,N82)</f>
        <v>0</v>
      </c>
      <c r="O94" s="12">
        <f>AVERAGE(O60,O71,O82)</f>
        <v>0</v>
      </c>
      <c r="P94" s="69"/>
      <c r="Q94" s="69"/>
      <c r="R94" s="69"/>
      <c r="S94" s="12">
        <f>AVERAGE(S60,S71,S82)</f>
        <v>0</v>
      </c>
    </row>
    <row r="96" spans="1:19" x14ac:dyDescent="0.2">
      <c r="B96" s="2" t="s">
        <v>100</v>
      </c>
      <c r="D96" s="20" t="s">
        <v>104</v>
      </c>
      <c r="H96" s="2" t="s">
        <v>2</v>
      </c>
      <c r="J96" s="6">
        <f>AVERAGE(J63,J74,J85)</f>
        <v>3153467.084016487</v>
      </c>
    </row>
    <row r="99" spans="1:21" x14ac:dyDescent="0.2">
      <c r="B99" s="4" t="s">
        <v>57</v>
      </c>
      <c r="L99" s="7"/>
      <c r="M99" s="7"/>
      <c r="N99" s="7"/>
      <c r="O99" s="7"/>
      <c r="P99" s="7"/>
      <c r="Q99" s="7"/>
      <c r="R99" s="7"/>
      <c r="S99" s="7"/>
    </row>
    <row r="100" spans="1:21" x14ac:dyDescent="0.2">
      <c r="B100" s="2" t="s">
        <v>368</v>
      </c>
      <c r="D100" s="20" t="s">
        <v>104</v>
      </c>
      <c r="H100" s="2" t="s">
        <v>2</v>
      </c>
      <c r="J100" s="12">
        <f>SUM($J$93,J96)</f>
        <v>6077613.2821342424</v>
      </c>
      <c r="U100" s="2" t="s">
        <v>289</v>
      </c>
    </row>
    <row r="103" spans="1:21" s="1" customFormat="1" x14ac:dyDescent="0.2">
      <c r="B103" s="9" t="s">
        <v>142</v>
      </c>
      <c r="C103" s="9"/>
      <c r="D103" s="9"/>
      <c r="E103" s="9"/>
    </row>
    <row r="105" spans="1:21" x14ac:dyDescent="0.2">
      <c r="A105" s="10"/>
      <c r="B105" s="4" t="s">
        <v>38</v>
      </c>
    </row>
    <row r="106" spans="1:21" x14ac:dyDescent="0.2">
      <c r="A106" s="10"/>
    </row>
    <row r="107" spans="1:21" x14ac:dyDescent="0.2">
      <c r="A107" s="10"/>
      <c r="B107" s="2" t="s">
        <v>47</v>
      </c>
      <c r="D107" s="2" t="s">
        <v>30</v>
      </c>
      <c r="H107" s="2" t="s">
        <v>2</v>
      </c>
      <c r="J107" s="6">
        <f>AVERAGE(J58,J69,J80)</f>
        <v>2924146.1981177554</v>
      </c>
    </row>
    <row r="108" spans="1:21" x14ac:dyDescent="0.2">
      <c r="A108" s="10"/>
      <c r="B108" s="2" t="s">
        <v>134</v>
      </c>
      <c r="D108" s="20" t="s">
        <v>94</v>
      </c>
      <c r="H108" s="2" t="s">
        <v>2</v>
      </c>
      <c r="J108" s="6">
        <f>SUM(L108:S108)</f>
        <v>0</v>
      </c>
      <c r="L108" s="69"/>
      <c r="M108" s="12">
        <f>AVERAGE(M59,M70,M81)</f>
        <v>0</v>
      </c>
      <c r="N108" s="12">
        <f>AVERAGE(N59,N70,N81)</f>
        <v>0</v>
      </c>
      <c r="O108" s="12">
        <f>AVERAGE(O59,O70,O81)</f>
        <v>0</v>
      </c>
      <c r="P108" s="69"/>
      <c r="Q108" s="69"/>
      <c r="R108" s="69"/>
      <c r="S108" s="12">
        <f>AVERAGE(S59,S70,S81)</f>
        <v>0</v>
      </c>
    </row>
    <row r="109" spans="1:21" x14ac:dyDescent="0.2">
      <c r="A109" s="10"/>
    </row>
    <row r="110" spans="1:21" x14ac:dyDescent="0.2">
      <c r="A110" s="10"/>
      <c r="B110" s="2" t="s">
        <v>164</v>
      </c>
      <c r="D110" s="20" t="s">
        <v>94</v>
      </c>
      <c r="H110" s="2" t="s">
        <v>2</v>
      </c>
      <c r="J110" s="6">
        <f>AVERAGE(J62,J73,J84)</f>
        <v>3866354.9027248961</v>
      </c>
    </row>
    <row r="111" spans="1:21" x14ac:dyDescent="0.2">
      <c r="A111" s="10"/>
    </row>
    <row r="112" spans="1:21" x14ac:dyDescent="0.2">
      <c r="A112" s="10"/>
    </row>
    <row r="113" spans="1:21" x14ac:dyDescent="0.2">
      <c r="A113" s="10"/>
      <c r="B113" s="4" t="s">
        <v>141</v>
      </c>
      <c r="L113" s="7"/>
      <c r="M113" s="7"/>
      <c r="N113" s="7"/>
      <c r="O113" s="7"/>
      <c r="P113" s="7"/>
      <c r="Q113" s="7"/>
      <c r="R113" s="7"/>
      <c r="S113" s="7"/>
    </row>
    <row r="114" spans="1:21" x14ac:dyDescent="0.2">
      <c r="A114" s="10"/>
      <c r="B114" s="2" t="s">
        <v>143</v>
      </c>
      <c r="D114" s="20" t="s">
        <v>94</v>
      </c>
      <c r="H114" s="2" t="s">
        <v>2</v>
      </c>
      <c r="J114" s="12">
        <f>J107+J110</f>
        <v>6790501.100842651</v>
      </c>
    </row>
    <row r="115" spans="1:21" x14ac:dyDescent="0.2">
      <c r="A115" s="10"/>
      <c r="B115" s="2" t="s">
        <v>140</v>
      </c>
      <c r="D115" s="20"/>
      <c r="H115" s="2" t="s">
        <v>12</v>
      </c>
      <c r="J115" s="6">
        <f>SUM(L115:S115)</f>
        <v>6790501.1009186106</v>
      </c>
      <c r="L115" s="68"/>
      <c r="M115" s="45">
        <f>'Import SO en BI'!M38</f>
        <v>1055707.1971713058</v>
      </c>
      <c r="N115" s="45">
        <f>'Import SO en BI'!N38</f>
        <v>647568.456951436</v>
      </c>
      <c r="O115" s="45">
        <f>'Import SO en BI'!O38</f>
        <v>551.74230144204114</v>
      </c>
      <c r="P115" s="68"/>
      <c r="Q115" s="68"/>
      <c r="R115" s="68"/>
      <c r="S115" s="45">
        <f>'Import SO en BI'!S38</f>
        <v>5086673.704494427</v>
      </c>
    </row>
    <row r="116" spans="1:21" x14ac:dyDescent="0.2">
      <c r="A116" s="10"/>
      <c r="B116" s="2" t="s">
        <v>144</v>
      </c>
      <c r="D116" s="20" t="s">
        <v>94</v>
      </c>
      <c r="H116" s="2" t="s">
        <v>139</v>
      </c>
      <c r="J116" s="35">
        <f>J114/J115</f>
        <v>0.99999999998881384</v>
      </c>
    </row>
    <row r="117" spans="1:21" x14ac:dyDescent="0.2">
      <c r="A117" s="10"/>
      <c r="L117" s="7"/>
    </row>
    <row r="118" spans="1:21" x14ac:dyDescent="0.2">
      <c r="A118" s="10"/>
      <c r="B118" s="20" t="s">
        <v>145</v>
      </c>
      <c r="D118" s="20" t="s">
        <v>94</v>
      </c>
      <c r="H118" s="2" t="s">
        <v>2</v>
      </c>
      <c r="J118" s="6">
        <f>SUM(L118:S118)</f>
        <v>6790501.100842651</v>
      </c>
      <c r="L118" s="72"/>
      <c r="M118" s="6">
        <f>M115*$J$116</f>
        <v>1055707.1971594964</v>
      </c>
      <c r="N118" s="6">
        <f t="shared" ref="N118:S118" si="3">N115*$J$116</f>
        <v>647568.45694419218</v>
      </c>
      <c r="O118" s="6">
        <f t="shared" ref="O118" si="4">O115*$J$116</f>
        <v>551.74230143586931</v>
      </c>
      <c r="P118" s="72"/>
      <c r="Q118" s="72"/>
      <c r="R118" s="72"/>
      <c r="S118" s="6">
        <f t="shared" si="3"/>
        <v>5086673.7044375269</v>
      </c>
      <c r="U118" s="2" t="s">
        <v>296</v>
      </c>
    </row>
    <row r="119" spans="1:21" x14ac:dyDescent="0.2">
      <c r="A119" s="10"/>
      <c r="B119" s="2" t="s">
        <v>146</v>
      </c>
      <c r="D119" s="20" t="s">
        <v>94</v>
      </c>
      <c r="H119" s="2" t="s">
        <v>2</v>
      </c>
      <c r="J119" s="6">
        <f>SUM(L119:S119)</f>
        <v>0</v>
      </c>
      <c r="L119" s="69"/>
      <c r="M119" s="12">
        <f>M108</f>
        <v>0</v>
      </c>
      <c r="N119" s="12">
        <f>N108</f>
        <v>0</v>
      </c>
      <c r="O119" s="12">
        <f>O108</f>
        <v>0</v>
      </c>
      <c r="P119" s="69"/>
      <c r="Q119" s="69"/>
      <c r="R119" s="69"/>
      <c r="S119" s="12">
        <f>S108</f>
        <v>0</v>
      </c>
    </row>
    <row r="120" spans="1:21" x14ac:dyDescent="0.2">
      <c r="A120" s="10"/>
      <c r="B120" s="20" t="s">
        <v>163</v>
      </c>
      <c r="D120" s="20" t="s">
        <v>94</v>
      </c>
      <c r="H120" s="2" t="s">
        <v>2</v>
      </c>
      <c r="J120" s="6">
        <f>SUM(L120:S120)</f>
        <v>6790501.100842651</v>
      </c>
      <c r="L120" s="69"/>
      <c r="M120" s="22">
        <f t="shared" ref="M120:S120" si="5">M118+M119</f>
        <v>1055707.1971594964</v>
      </c>
      <c r="N120" s="22">
        <f t="shared" si="5"/>
        <v>647568.45694419218</v>
      </c>
      <c r="O120" s="22">
        <f t="shared" si="5"/>
        <v>551.74230143586931</v>
      </c>
      <c r="P120" s="69"/>
      <c r="Q120" s="69"/>
      <c r="R120" s="69"/>
      <c r="S120" s="22">
        <f t="shared" si="5"/>
        <v>5086673.7044375269</v>
      </c>
      <c r="U120" s="2" t="s">
        <v>297</v>
      </c>
    </row>
    <row r="121" spans="1:21" x14ac:dyDescent="0.2">
      <c r="A121" s="10"/>
    </row>
    <row r="122" spans="1:21" x14ac:dyDescent="0.2">
      <c r="A122" s="10"/>
      <c r="J122" s="7"/>
    </row>
    <row r="123" spans="1:21" x14ac:dyDescent="0.2">
      <c r="A123" s="10"/>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tabColor rgb="FFFFFFCC"/>
    <pageSetUpPr fitToPage="1"/>
  </sheetPr>
  <dimension ref="A1:U35"/>
  <sheetViews>
    <sheetView showGridLines="0" zoomScale="85" zoomScaleNormal="85" workbookViewId="0">
      <pane xSplit="6" ySplit="7" topLeftCell="G8" activePane="bottomRight" state="frozen"/>
      <selection pane="topRight" activeCell="G1" sqref="G1"/>
      <selection pane="bottomLeft" activeCell="A8" sqref="A8"/>
      <selection pane="bottomRight"/>
    </sheetView>
  </sheetViews>
  <sheetFormatPr defaultRowHeight="12.75" customHeight="1" x14ac:dyDescent="0.2"/>
  <cols>
    <col min="1" max="1" width="2.7109375" style="2" customWidth="1"/>
    <col min="2" max="2" width="86" style="2" customWidth="1"/>
    <col min="3" max="3" width="2.7109375" style="2" customWidth="1"/>
    <col min="4" max="4" width="17" style="2" customWidth="1"/>
    <col min="5" max="7" width="2.7109375" style="2" customWidth="1"/>
    <col min="8" max="8" width="14" style="2" customWidth="1"/>
    <col min="9" max="9" width="2.7109375" style="2" customWidth="1"/>
    <col min="10" max="10" width="15.7109375" style="26" customWidth="1"/>
    <col min="11" max="11" width="2.42578125" style="26" customWidth="1"/>
    <col min="12" max="19" width="14.7109375" style="26" customWidth="1"/>
    <col min="20" max="16384" width="9.140625" style="2"/>
  </cols>
  <sheetData>
    <row r="1" spans="1:19" ht="12.75" customHeight="1" x14ac:dyDescent="0.2">
      <c r="B1" s="2" t="s">
        <v>389</v>
      </c>
    </row>
    <row r="3" spans="1:19" s="14" customFormat="1" ht="18" customHeight="1" x14ac:dyDescent="0.2">
      <c r="B3" s="127" t="s">
        <v>93</v>
      </c>
      <c r="J3" s="25"/>
      <c r="K3" s="25"/>
      <c r="L3" s="25"/>
      <c r="M3" s="25"/>
      <c r="N3" s="25"/>
      <c r="O3" s="25"/>
      <c r="P3" s="25"/>
      <c r="Q3" s="25"/>
      <c r="R3" s="25"/>
      <c r="S3" s="25"/>
    </row>
    <row r="5" spans="1:19" ht="12.75" customHeight="1" x14ac:dyDescent="0.2">
      <c r="B5" s="20" t="s">
        <v>384</v>
      </c>
    </row>
    <row r="7" spans="1:19" s="9" customFormat="1" ht="12.75" customHeight="1" x14ac:dyDescent="0.2">
      <c r="D7" s="9" t="s">
        <v>39</v>
      </c>
      <c r="H7" s="9" t="s">
        <v>1</v>
      </c>
      <c r="J7" s="27" t="s">
        <v>11</v>
      </c>
      <c r="K7" s="27"/>
      <c r="L7" s="27" t="s">
        <v>5</v>
      </c>
      <c r="M7" s="9" t="s">
        <v>250</v>
      </c>
      <c r="N7" s="9" t="s">
        <v>6</v>
      </c>
      <c r="O7" s="27" t="s">
        <v>7</v>
      </c>
      <c r="P7" s="27" t="s">
        <v>8</v>
      </c>
      <c r="Q7" s="27" t="s">
        <v>9</v>
      </c>
      <c r="R7" s="27" t="s">
        <v>10</v>
      </c>
      <c r="S7" s="27" t="s">
        <v>279</v>
      </c>
    </row>
    <row r="9" spans="1:19" s="9" customFormat="1" ht="12.75" customHeight="1" x14ac:dyDescent="0.2">
      <c r="B9" s="9" t="s">
        <v>0</v>
      </c>
      <c r="J9" s="27"/>
      <c r="K9" s="27"/>
      <c r="L9" s="27"/>
      <c r="M9" s="27"/>
      <c r="N9" s="27"/>
      <c r="O9" s="27"/>
      <c r="P9" s="27"/>
      <c r="Q9" s="27"/>
      <c r="R9" s="27"/>
      <c r="S9" s="27"/>
    </row>
    <row r="11" spans="1:19" s="10" customFormat="1" ht="12.75" customHeight="1" x14ac:dyDescent="0.2">
      <c r="B11" s="2" t="s">
        <v>316</v>
      </c>
      <c r="D11" s="20" t="s">
        <v>266</v>
      </c>
      <c r="H11" s="2" t="s">
        <v>2</v>
      </c>
      <c r="J11" s="128">
        <f>SUM(L11:R11)</f>
        <v>728659561.25981379</v>
      </c>
      <c r="K11" s="129"/>
      <c r="L11" s="130">
        <f>'Import SO en BI'!L23</f>
        <v>14524777.165970203</v>
      </c>
      <c r="M11" s="130">
        <f>'Import SO en BI'!M23</f>
        <v>19246207.402489178</v>
      </c>
      <c r="N11" s="130">
        <f>'Import SO en BI'!N23</f>
        <v>235072431.5436573</v>
      </c>
      <c r="O11" s="130">
        <f>'Import SO en BI'!O23</f>
        <v>245810753.15506035</v>
      </c>
      <c r="P11" s="130">
        <f>'Import SO en BI'!P23</f>
        <v>13032240.245257348</v>
      </c>
      <c r="Q11" s="130">
        <f>'Import SO en BI'!Q23</f>
        <v>187977008.21088883</v>
      </c>
      <c r="R11" s="130">
        <f>'Import SO en BI'!R23</f>
        <v>12996143.536490556</v>
      </c>
      <c r="S11" s="131"/>
    </row>
    <row r="12" spans="1:19" s="10" customFormat="1" ht="12.75" customHeight="1" x14ac:dyDescent="0.2">
      <c r="B12" s="2" t="s">
        <v>317</v>
      </c>
      <c r="D12" s="20" t="s">
        <v>266</v>
      </c>
      <c r="H12" s="2" t="s">
        <v>2</v>
      </c>
      <c r="J12" s="128">
        <f>SUM(L12:R12)</f>
        <v>175557874.69215623</v>
      </c>
      <c r="K12" s="129"/>
      <c r="L12" s="130">
        <f>'Import SO en BI'!L32</f>
        <v>2977448.7740228269</v>
      </c>
      <c r="M12" s="130">
        <f>'Import SO en BI'!M32</f>
        <v>4128899.5207161289</v>
      </c>
      <c r="N12" s="130">
        <f>'Import SO en BI'!N32</f>
        <v>45421131.443254292</v>
      </c>
      <c r="O12" s="130">
        <f>'Import SO en BI'!O32</f>
        <v>67452061.402867317</v>
      </c>
      <c r="P12" s="130">
        <f>'Import SO en BI'!P32</f>
        <v>1905606.4484552653</v>
      </c>
      <c r="Q12" s="130">
        <f>'Import SO en BI'!Q32</f>
        <v>52578990.568898693</v>
      </c>
      <c r="R12" s="130">
        <f>'Import SO en BI'!R32</f>
        <v>1093736.5339417206</v>
      </c>
      <c r="S12" s="131"/>
    </row>
    <row r="13" spans="1:19" s="10" customFormat="1" ht="12.75" customHeight="1" x14ac:dyDescent="0.2">
      <c r="B13" s="2" t="s">
        <v>318</v>
      </c>
      <c r="D13" s="20" t="s">
        <v>266</v>
      </c>
      <c r="H13" s="2" t="s">
        <v>2</v>
      </c>
      <c r="J13" s="128">
        <f>SUM(L13:S13)</f>
        <v>4483603.5162027301</v>
      </c>
      <c r="K13" s="129"/>
      <c r="L13" s="131"/>
      <c r="M13" s="130">
        <f>'Import SO en BI'!M41</f>
        <v>1399993.5270824407</v>
      </c>
      <c r="N13" s="130">
        <f>'Import SO en BI'!N41</f>
        <v>938613.85333572188</v>
      </c>
      <c r="O13" s="130">
        <f>'Import SO en BI'!O41</f>
        <v>113796</v>
      </c>
      <c r="P13" s="131"/>
      <c r="Q13" s="131"/>
      <c r="R13" s="131"/>
      <c r="S13" s="130">
        <f>'Import SO en BI'!S41</f>
        <v>2031200.1357845676</v>
      </c>
    </row>
    <row r="14" spans="1:19" ht="12.75" customHeight="1" x14ac:dyDescent="0.2">
      <c r="A14" s="10"/>
      <c r="B14" s="2" t="s">
        <v>319</v>
      </c>
      <c r="D14" s="20" t="s">
        <v>266</v>
      </c>
      <c r="H14" s="2" t="s">
        <v>2</v>
      </c>
      <c r="J14" s="128">
        <f>SUM(L14:S14)</f>
        <v>908701039.46817279</v>
      </c>
      <c r="K14" s="129"/>
      <c r="L14" s="132">
        <f>SUM(L11:L13)</f>
        <v>17502225.939993031</v>
      </c>
      <c r="M14" s="132">
        <f t="shared" ref="M14:S14" si="0">SUM(M11:M13)</f>
        <v>24775100.450287748</v>
      </c>
      <c r="N14" s="132">
        <f t="shared" si="0"/>
        <v>281432176.84024733</v>
      </c>
      <c r="O14" s="132">
        <f t="shared" si="0"/>
        <v>313376610.55792767</v>
      </c>
      <c r="P14" s="132">
        <f t="shared" si="0"/>
        <v>14937846.693712613</v>
      </c>
      <c r="Q14" s="132">
        <f t="shared" si="0"/>
        <v>240555998.77978754</v>
      </c>
      <c r="R14" s="132">
        <f t="shared" si="0"/>
        <v>14089880.070432276</v>
      </c>
      <c r="S14" s="132">
        <f t="shared" si="0"/>
        <v>2031200.1357845676</v>
      </c>
    </row>
    <row r="15" spans="1:19" s="10" customFormat="1" ht="12.75" customHeight="1" x14ac:dyDescent="0.2">
      <c r="D15" s="133"/>
      <c r="J15" s="134"/>
      <c r="K15" s="134"/>
      <c r="L15" s="135"/>
      <c r="M15" s="135"/>
      <c r="N15" s="135"/>
      <c r="O15" s="135"/>
      <c r="P15" s="135"/>
      <c r="Q15" s="135"/>
      <c r="R15" s="135"/>
      <c r="S15" s="135"/>
    </row>
    <row r="16" spans="1:19" s="10" customFormat="1" ht="12.75" customHeight="1" x14ac:dyDescent="0.2">
      <c r="B16" s="2" t="s">
        <v>174</v>
      </c>
      <c r="D16" s="20" t="s">
        <v>89</v>
      </c>
      <c r="H16" s="2" t="s">
        <v>2</v>
      </c>
      <c r="J16" s="128">
        <f>SUM(L16:R16)</f>
        <v>844145515.45102632</v>
      </c>
      <c r="K16" s="129"/>
      <c r="L16" s="130">
        <f>'Totale kosten TD maatstaf'!L119</f>
        <v>15725703.855824513</v>
      </c>
      <c r="M16" s="130">
        <f>'Totale kosten TD maatstaf'!M119</f>
        <v>21302332.517037828</v>
      </c>
      <c r="N16" s="130">
        <f>'Totale kosten TD maatstaf'!N119</f>
        <v>257201929.79485595</v>
      </c>
      <c r="O16" s="130">
        <f>'Totale kosten TD maatstaf'!O119</f>
        <v>299464911.51838356</v>
      </c>
      <c r="P16" s="130">
        <f>'Totale kosten TD maatstaf'!P119</f>
        <v>13710862.93933597</v>
      </c>
      <c r="Q16" s="130">
        <f>'Totale kosten TD maatstaf'!Q119</f>
        <v>222697603.7810151</v>
      </c>
      <c r="R16" s="130">
        <f>'Totale kosten TD maatstaf'!R119</f>
        <v>14042171.044573437</v>
      </c>
      <c r="S16" s="131"/>
    </row>
    <row r="17" spans="1:21" s="10" customFormat="1" ht="12.75" customHeight="1" x14ac:dyDescent="0.2">
      <c r="B17" s="2" t="s">
        <v>175</v>
      </c>
      <c r="D17" s="20" t="s">
        <v>89</v>
      </c>
      <c r="H17" s="2" t="s">
        <v>2</v>
      </c>
      <c r="J17" s="128">
        <f>SUM(L17:R17)</f>
        <v>229344407.2260271</v>
      </c>
      <c r="K17" s="129"/>
      <c r="L17" s="130">
        <f>'Totale kosten AD maatstaf'!L124</f>
        <v>4469797.0037227059</v>
      </c>
      <c r="M17" s="130">
        <f>'Totale kosten AD maatstaf'!M124</f>
        <v>6214723.0918605244</v>
      </c>
      <c r="N17" s="130">
        <f>'Totale kosten AD maatstaf'!N124</f>
        <v>72164106.861459926</v>
      </c>
      <c r="O17" s="130">
        <f>'Totale kosten AD maatstaf'!O124</f>
        <v>81197409.838007689</v>
      </c>
      <c r="P17" s="130">
        <f>'Totale kosten AD maatstaf'!P124</f>
        <v>3363222.481822182</v>
      </c>
      <c r="Q17" s="130">
        <f>'Totale kosten AD maatstaf'!Q124</f>
        <v>59847252.093036763</v>
      </c>
      <c r="R17" s="130">
        <f>'Totale kosten AD maatstaf'!R124</f>
        <v>2087895.8561172751</v>
      </c>
      <c r="S17" s="131"/>
    </row>
    <row r="18" spans="1:21" s="10" customFormat="1" ht="12.75" customHeight="1" x14ac:dyDescent="0.2">
      <c r="B18" s="2" t="s">
        <v>176</v>
      </c>
      <c r="D18" s="20" t="s">
        <v>89</v>
      </c>
      <c r="H18" s="2" t="s">
        <v>2</v>
      </c>
      <c r="J18" s="128">
        <f>SUM(L18:S18)</f>
        <v>6790501.100842651</v>
      </c>
      <c r="K18" s="129"/>
      <c r="L18" s="131"/>
      <c r="M18" s="130">
        <f>'Totale kosten EHD maatstaf'!M120</f>
        <v>1055707.1971594964</v>
      </c>
      <c r="N18" s="130">
        <f>'Totale kosten EHD maatstaf'!N120</f>
        <v>647568.45694419218</v>
      </c>
      <c r="O18" s="130">
        <f>'Totale kosten EHD maatstaf'!O120</f>
        <v>551.74230143586931</v>
      </c>
      <c r="P18" s="131"/>
      <c r="Q18" s="131"/>
      <c r="R18" s="131"/>
      <c r="S18" s="130">
        <f>'Totale kosten EHD maatstaf'!S120</f>
        <v>5086673.7044375269</v>
      </c>
    </row>
    <row r="19" spans="1:21" ht="12.75" customHeight="1" x14ac:dyDescent="0.2">
      <c r="A19" s="10"/>
      <c r="B19" s="2" t="s">
        <v>91</v>
      </c>
      <c r="D19" s="20" t="s">
        <v>89</v>
      </c>
      <c r="H19" s="2" t="s">
        <v>2</v>
      </c>
      <c r="J19" s="128">
        <f>SUM(L19:S19)</f>
        <v>1080280423.7778962</v>
      </c>
      <c r="K19" s="129"/>
      <c r="L19" s="132">
        <f>SUM(L16:L18)</f>
        <v>20195500.85954722</v>
      </c>
      <c r="M19" s="132">
        <f t="shared" ref="M19:S19" si="1">SUM(M16:M18)</f>
        <v>28572762.806057848</v>
      </c>
      <c r="N19" s="132">
        <f t="shared" si="1"/>
        <v>330013605.11326003</v>
      </c>
      <c r="O19" s="132">
        <f t="shared" si="1"/>
        <v>380662873.09869272</v>
      </c>
      <c r="P19" s="132">
        <f t="shared" si="1"/>
        <v>17074085.421158154</v>
      </c>
      <c r="Q19" s="132">
        <f t="shared" si="1"/>
        <v>282544855.87405187</v>
      </c>
      <c r="R19" s="132">
        <f t="shared" si="1"/>
        <v>16130066.900690712</v>
      </c>
      <c r="S19" s="132">
        <f t="shared" si="1"/>
        <v>5086673.7044375269</v>
      </c>
    </row>
    <row r="20" spans="1:21" ht="12.75" customHeight="1" x14ac:dyDescent="0.2">
      <c r="A20" s="10"/>
    </row>
    <row r="22" spans="1:21" s="9" customFormat="1" ht="12.75" customHeight="1" x14ac:dyDescent="0.2">
      <c r="B22" s="9" t="s">
        <v>162</v>
      </c>
      <c r="J22" s="27"/>
      <c r="K22" s="27"/>
      <c r="L22" s="27"/>
      <c r="M22" s="27"/>
      <c r="N22" s="27"/>
      <c r="O22" s="27"/>
      <c r="P22" s="27"/>
      <c r="Q22" s="27"/>
      <c r="R22" s="27"/>
      <c r="S22" s="27"/>
    </row>
    <row r="23" spans="1:21" ht="12.75" customHeight="1" x14ac:dyDescent="0.2">
      <c r="A23" s="10"/>
    </row>
    <row r="24" spans="1:21" ht="12.75" customHeight="1" x14ac:dyDescent="0.2">
      <c r="A24" s="10"/>
      <c r="B24" s="2" t="s">
        <v>320</v>
      </c>
      <c r="H24" s="2" t="s">
        <v>2</v>
      </c>
      <c r="J24" s="128">
        <f>SUM(L24:S24)</f>
        <v>-171579384.30972329</v>
      </c>
      <c r="K24" s="129"/>
      <c r="L24" s="128">
        <f>L14-L19</f>
        <v>-2693274.9195541888</v>
      </c>
      <c r="M24" s="128">
        <f>M14-M19</f>
        <v>-3797662.3557700999</v>
      </c>
      <c r="N24" s="128">
        <f t="shared" ref="N24:S24" si="2">N14-N19</f>
        <v>-48581428.273012698</v>
      </c>
      <c r="O24" s="128">
        <f t="shared" si="2"/>
        <v>-67286262.540765047</v>
      </c>
      <c r="P24" s="128">
        <f t="shared" si="2"/>
        <v>-2136238.7274455409</v>
      </c>
      <c r="Q24" s="128">
        <f t="shared" si="2"/>
        <v>-41988857.094264328</v>
      </c>
      <c r="R24" s="128">
        <f t="shared" si="2"/>
        <v>-2040186.8302584365</v>
      </c>
      <c r="S24" s="128">
        <f t="shared" si="2"/>
        <v>-3055473.5686529595</v>
      </c>
      <c r="U24" s="2" t="s">
        <v>294</v>
      </c>
    </row>
    <row r="25" spans="1:21" s="10" customFormat="1" ht="12.75" customHeight="1" x14ac:dyDescent="0.2">
      <c r="J25" s="134"/>
      <c r="K25" s="134"/>
      <c r="L25" s="134"/>
      <c r="M25" s="134"/>
      <c r="N25" s="134"/>
      <c r="O25" s="134"/>
      <c r="P25" s="134"/>
      <c r="Q25" s="134"/>
      <c r="R25" s="134"/>
      <c r="S25" s="134"/>
    </row>
    <row r="26" spans="1:21" ht="12.75" customHeight="1" x14ac:dyDescent="0.2">
      <c r="A26" s="10"/>
      <c r="B26" s="20" t="s">
        <v>321</v>
      </c>
      <c r="H26" s="2" t="s">
        <v>2</v>
      </c>
      <c r="J26" s="128">
        <f>J24</f>
        <v>-171579384.30972329</v>
      </c>
      <c r="K26" s="129"/>
      <c r="L26" s="134"/>
      <c r="M26" s="134"/>
      <c r="N26" s="134"/>
      <c r="O26" s="134"/>
      <c r="P26" s="134"/>
      <c r="Q26" s="134"/>
      <c r="R26" s="134"/>
      <c r="S26" s="134"/>
    </row>
    <row r="27" spans="1:21" ht="12.75" customHeight="1" x14ac:dyDescent="0.2">
      <c r="A27" s="10"/>
      <c r="B27" s="11"/>
    </row>
    <row r="29" spans="1:21" s="9" customFormat="1" ht="12.75" customHeight="1" x14ac:dyDescent="0.2">
      <c r="B29" s="9" t="s">
        <v>92</v>
      </c>
      <c r="J29" s="27"/>
      <c r="K29" s="27"/>
      <c r="L29" s="27"/>
      <c r="M29" s="27"/>
      <c r="N29" s="27"/>
      <c r="O29" s="27"/>
      <c r="P29" s="27"/>
      <c r="Q29" s="27"/>
      <c r="R29" s="27"/>
      <c r="S29" s="27"/>
    </row>
    <row r="31" spans="1:21" ht="12.75" customHeight="1" x14ac:dyDescent="0.2">
      <c r="B31" s="67" t="s">
        <v>275</v>
      </c>
    </row>
    <row r="32" spans="1:21" ht="12.75" customHeight="1" x14ac:dyDescent="0.2">
      <c r="A32" s="10"/>
    </row>
    <row r="33" spans="2:21" ht="12.75" customHeight="1" x14ac:dyDescent="0.2">
      <c r="B33" s="67" t="s">
        <v>322</v>
      </c>
      <c r="D33" s="20" t="s">
        <v>89</v>
      </c>
      <c r="H33" s="2" t="s">
        <v>2</v>
      </c>
      <c r="J33" s="128">
        <f>SUM(L33:R33)</f>
        <v>844145515.45102632</v>
      </c>
      <c r="K33" s="129"/>
      <c r="L33" s="136">
        <f>L16</f>
        <v>15725703.855824513</v>
      </c>
      <c r="M33" s="136">
        <f t="shared" ref="M33:R33" si="3">M16</f>
        <v>21302332.517037828</v>
      </c>
      <c r="N33" s="136">
        <f t="shared" si="3"/>
        <v>257201929.79485595</v>
      </c>
      <c r="O33" s="136">
        <f t="shared" si="3"/>
        <v>299464911.51838356</v>
      </c>
      <c r="P33" s="136">
        <f t="shared" si="3"/>
        <v>13710862.93933597</v>
      </c>
      <c r="Q33" s="136">
        <f t="shared" si="3"/>
        <v>222697603.7810151</v>
      </c>
      <c r="R33" s="136">
        <f t="shared" si="3"/>
        <v>14042171.044573437</v>
      </c>
      <c r="S33" s="137"/>
    </row>
    <row r="34" spans="2:21" ht="12.75" customHeight="1" x14ac:dyDescent="0.2">
      <c r="B34" s="67" t="s">
        <v>323</v>
      </c>
      <c r="D34" s="20" t="s">
        <v>89</v>
      </c>
      <c r="H34" s="2" t="s">
        <v>2</v>
      </c>
      <c r="J34" s="128">
        <f>SUM(L34:R34)</f>
        <v>229344407.2260271</v>
      </c>
      <c r="K34" s="129"/>
      <c r="L34" s="136">
        <f>L17</f>
        <v>4469797.0037227059</v>
      </c>
      <c r="M34" s="136">
        <f t="shared" ref="M34:S35" si="4">M17</f>
        <v>6214723.0918605244</v>
      </c>
      <c r="N34" s="136">
        <f t="shared" si="4"/>
        <v>72164106.861459926</v>
      </c>
      <c r="O34" s="136">
        <f t="shared" si="4"/>
        <v>81197409.838007689</v>
      </c>
      <c r="P34" s="136">
        <f t="shared" si="4"/>
        <v>3363222.481822182</v>
      </c>
      <c r="Q34" s="136">
        <f t="shared" si="4"/>
        <v>59847252.093036763</v>
      </c>
      <c r="R34" s="136">
        <f t="shared" si="4"/>
        <v>2087895.8561172751</v>
      </c>
      <c r="S34" s="137"/>
    </row>
    <row r="35" spans="2:21" ht="12.75" customHeight="1" x14ac:dyDescent="0.2">
      <c r="B35" s="67" t="s">
        <v>324</v>
      </c>
      <c r="D35" s="20" t="s">
        <v>89</v>
      </c>
      <c r="H35" s="2" t="s">
        <v>2</v>
      </c>
      <c r="J35" s="128">
        <f>SUM(L35:S35)</f>
        <v>6790501.100842651</v>
      </c>
      <c r="K35" s="129"/>
      <c r="L35" s="137"/>
      <c r="M35" s="136">
        <f>M18</f>
        <v>1055707.1971594964</v>
      </c>
      <c r="N35" s="136">
        <f t="shared" si="4"/>
        <v>647568.45694419218</v>
      </c>
      <c r="O35" s="136">
        <f t="shared" si="4"/>
        <v>551.74230143586931</v>
      </c>
      <c r="P35" s="137"/>
      <c r="Q35" s="137"/>
      <c r="R35" s="137"/>
      <c r="S35" s="136">
        <f t="shared" si="4"/>
        <v>5086673.7044375269</v>
      </c>
      <c r="U35" s="2" t="s">
        <v>295</v>
      </c>
    </row>
  </sheetData>
  <pageMargins left="0.7" right="0.7" top="0.75" bottom="0.75" header="0.3" footer="0.3"/>
  <pageSetup paperSize="8" scale="7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tabColor rgb="FFFFFFCC"/>
  </sheetPr>
  <dimension ref="A1:U110"/>
  <sheetViews>
    <sheetView showGridLines="0" zoomScale="85" zoomScaleNormal="85" workbookViewId="0">
      <pane xSplit="6" ySplit="7" topLeftCell="G8" activePane="bottomRight" state="frozen"/>
      <selection pane="topRight" activeCell="G1" sqref="G1"/>
      <selection pane="bottomLeft" activeCell="A8" sqref="A8"/>
      <selection pane="bottomRight" activeCell="P102" sqref="P102"/>
    </sheetView>
  </sheetViews>
  <sheetFormatPr defaultRowHeight="12.75" x14ac:dyDescent="0.2"/>
  <cols>
    <col min="1" max="1" width="2.7109375" style="2" customWidth="1"/>
    <col min="2" max="2" width="62.28515625" style="2" customWidth="1"/>
    <col min="3" max="3" width="2.7109375" style="2" customWidth="1"/>
    <col min="4" max="4" width="17" style="2" customWidth="1"/>
    <col min="5" max="7" width="2.7109375" style="2" customWidth="1"/>
    <col min="8" max="8" width="14" style="2" customWidth="1"/>
    <col min="9" max="9" width="2.7109375" style="2" customWidth="1"/>
    <col min="10" max="10" width="15.7109375" style="2" customWidth="1"/>
    <col min="11" max="11" width="2.42578125" style="2" customWidth="1"/>
    <col min="12" max="19" width="14.7109375" style="2" customWidth="1"/>
    <col min="20" max="16384" width="9.140625" style="2"/>
  </cols>
  <sheetData>
    <row r="1" spans="1:19" x14ac:dyDescent="0.2">
      <c r="B1" s="2" t="s">
        <v>389</v>
      </c>
    </row>
    <row r="3" spans="1:19" s="14" customFormat="1" ht="18" customHeight="1" x14ac:dyDescent="0.25">
      <c r="B3" s="13" t="s">
        <v>90</v>
      </c>
    </row>
    <row r="5" spans="1:19" x14ac:dyDescent="0.2">
      <c r="B5" s="2" t="s">
        <v>385</v>
      </c>
    </row>
    <row r="7" spans="1:19" s="9" customFormat="1" x14ac:dyDescent="0.2">
      <c r="D7" s="9" t="s">
        <v>39</v>
      </c>
      <c r="H7" s="9" t="s">
        <v>1</v>
      </c>
      <c r="J7" s="9" t="s">
        <v>11</v>
      </c>
      <c r="L7" s="9" t="s">
        <v>5</v>
      </c>
      <c r="M7" s="9" t="s">
        <v>250</v>
      </c>
      <c r="N7" s="9" t="s">
        <v>6</v>
      </c>
      <c r="O7" s="9" t="s">
        <v>7</v>
      </c>
      <c r="P7" s="9" t="s">
        <v>8</v>
      </c>
      <c r="Q7" s="9" t="s">
        <v>9</v>
      </c>
      <c r="R7" s="9" t="s">
        <v>10</v>
      </c>
      <c r="S7" s="9" t="s">
        <v>279</v>
      </c>
    </row>
    <row r="9" spans="1:19" s="9" customFormat="1" x14ac:dyDescent="0.2">
      <c r="B9" s="9" t="s">
        <v>0</v>
      </c>
    </row>
    <row r="11" spans="1:19" x14ac:dyDescent="0.2">
      <c r="A11" s="10"/>
      <c r="B11" s="4" t="s">
        <v>4</v>
      </c>
      <c r="C11" s="4"/>
      <c r="D11" s="4"/>
    </row>
    <row r="12" spans="1:19" x14ac:dyDescent="0.2">
      <c r="A12" s="10"/>
      <c r="B12" s="2" t="s">
        <v>177</v>
      </c>
      <c r="H12" s="2" t="s">
        <v>12</v>
      </c>
      <c r="J12" s="6">
        <f>SUM(L12:R12)</f>
        <v>728659561.25981367</v>
      </c>
      <c r="L12" s="45">
        <f>'Import SO en BI'!L15</f>
        <v>14301488.910722844</v>
      </c>
      <c r="M12" s="45">
        <f>'Import SO en BI'!M15</f>
        <v>18963890.606682211</v>
      </c>
      <c r="N12" s="45">
        <f>'Import SO en BI'!N15</f>
        <v>232039999.42956877</v>
      </c>
      <c r="O12" s="45">
        <f>'Import SO en BI'!O15</f>
        <v>249717858.06695601</v>
      </c>
      <c r="P12" s="45">
        <f>'Import SO en BI'!P15</f>
        <v>10496370.529744592</v>
      </c>
      <c r="Q12" s="45">
        <f>'Import SO en BI'!Q15</f>
        <v>190371769.82951891</v>
      </c>
      <c r="R12" s="45">
        <f>'Import SO en BI'!R15</f>
        <v>12768183.886620443</v>
      </c>
      <c r="S12" s="68"/>
    </row>
    <row r="13" spans="1:19" x14ac:dyDescent="0.2">
      <c r="A13" s="10"/>
      <c r="B13" s="2" t="s">
        <v>178</v>
      </c>
      <c r="H13" s="2" t="s">
        <v>12</v>
      </c>
      <c r="J13" s="6">
        <f>SUM(L13:R13)</f>
        <v>175553793.76820758</v>
      </c>
      <c r="L13" s="45">
        <f>'Import SO en BI'!L29</f>
        <v>3421593.8791151224</v>
      </c>
      <c r="M13" s="45">
        <f>'Import SO en BI'!M29</f>
        <v>4757583.899266514</v>
      </c>
      <c r="N13" s="45">
        <f>'Import SO en BI'!N29</f>
        <v>55227066.498678818</v>
      </c>
      <c r="O13" s="45">
        <f>'Import SO en BI'!O29</f>
        <v>62159405.012492806</v>
      </c>
      <c r="P13" s="45">
        <f>'Import SO en BI'!P29</f>
        <v>2574662.2806291692</v>
      </c>
      <c r="Q13" s="45">
        <f>'Import SO en BI'!Q29</f>
        <v>45815126.235646285</v>
      </c>
      <c r="R13" s="45">
        <f>'Import SO en BI'!R29</f>
        <v>1598355.9623788551</v>
      </c>
      <c r="S13" s="68"/>
    </row>
    <row r="14" spans="1:19" x14ac:dyDescent="0.2">
      <c r="A14" s="10"/>
      <c r="B14" s="2" t="s">
        <v>179</v>
      </c>
      <c r="H14" s="2" t="s">
        <v>12</v>
      </c>
      <c r="J14" s="6">
        <f>SUM(L14:S14)</f>
        <v>6790501.1009186106</v>
      </c>
      <c r="L14" s="68"/>
      <c r="M14" s="45">
        <f>'Import SO en BI'!M38</f>
        <v>1055707.1971713058</v>
      </c>
      <c r="N14" s="45">
        <f>'Import SO en BI'!N38</f>
        <v>647568.456951436</v>
      </c>
      <c r="O14" s="45">
        <f>'Import SO en BI'!O38</f>
        <v>551.74230144204114</v>
      </c>
      <c r="P14" s="68"/>
      <c r="Q14" s="68"/>
      <c r="R14" s="68"/>
      <c r="S14" s="45">
        <f>'Import SO en BI'!S38</f>
        <v>5086673.704494427</v>
      </c>
    </row>
    <row r="15" spans="1:19" x14ac:dyDescent="0.2">
      <c r="A15" s="10"/>
      <c r="B15" s="2" t="s">
        <v>3</v>
      </c>
      <c r="H15" s="2" t="s">
        <v>12</v>
      </c>
      <c r="J15" s="6">
        <f>SUM(L15:S15)</f>
        <v>911003856.12893999</v>
      </c>
      <c r="L15" s="46">
        <f>SUM(L12:L14)</f>
        <v>17723082.789837968</v>
      </c>
      <c r="M15" s="46">
        <f t="shared" ref="M15:S15" si="0">SUM(M12:M14)</f>
        <v>24777181.70312003</v>
      </c>
      <c r="N15" s="46">
        <f t="shared" si="0"/>
        <v>287914634.38519901</v>
      </c>
      <c r="O15" s="46">
        <f t="shared" si="0"/>
        <v>311877814.82175028</v>
      </c>
      <c r="P15" s="46">
        <f t="shared" si="0"/>
        <v>13071032.810373761</v>
      </c>
      <c r="Q15" s="46">
        <f t="shared" si="0"/>
        <v>236186896.06516519</v>
      </c>
      <c r="R15" s="46">
        <f t="shared" si="0"/>
        <v>14366539.848999299</v>
      </c>
      <c r="S15" s="46">
        <f t="shared" si="0"/>
        <v>5086673.704494427</v>
      </c>
    </row>
    <row r="16" spans="1:19" x14ac:dyDescent="0.2">
      <c r="A16" s="10"/>
    </row>
    <row r="17" spans="1:19" x14ac:dyDescent="0.2">
      <c r="A17" s="10"/>
      <c r="B17" s="4" t="s">
        <v>187</v>
      </c>
    </row>
    <row r="18" spans="1:19" x14ac:dyDescent="0.2">
      <c r="A18" s="10"/>
      <c r="B18" s="2" t="s">
        <v>46</v>
      </c>
      <c r="H18" s="2" t="s">
        <v>28</v>
      </c>
      <c r="J18" s="33">
        <f>Productiviteitsverandering!L52</f>
        <v>3.3007719701627636E-4</v>
      </c>
    </row>
    <row r="19" spans="1:19" x14ac:dyDescent="0.2">
      <c r="A19" s="10"/>
      <c r="B19" s="2" t="s">
        <v>78</v>
      </c>
      <c r="H19" s="2" t="s">
        <v>28</v>
      </c>
      <c r="J19" s="48">
        <f>'WACC en CPI'!J30</f>
        <v>1.2E-2</v>
      </c>
    </row>
    <row r="20" spans="1:19" x14ac:dyDescent="0.2">
      <c r="A20" s="10"/>
      <c r="J20" s="19"/>
    </row>
    <row r="21" spans="1:19" x14ac:dyDescent="0.2">
      <c r="A21" s="10"/>
      <c r="B21" s="4" t="s">
        <v>180</v>
      </c>
      <c r="J21" s="19"/>
    </row>
    <row r="22" spans="1:19" x14ac:dyDescent="0.2">
      <c r="A22" s="10"/>
      <c r="B22" s="2" t="s">
        <v>76</v>
      </c>
      <c r="D22" s="20" t="s">
        <v>95</v>
      </c>
      <c r="H22" s="2" t="s">
        <v>2</v>
      </c>
      <c r="J22" s="34">
        <f>'Totale kosten TD maatstaf'!J100</f>
        <v>720675983.23873687</v>
      </c>
    </row>
    <row r="23" spans="1:19" x14ac:dyDescent="0.2">
      <c r="A23" s="10"/>
      <c r="B23" s="2" t="s">
        <v>77</v>
      </c>
      <c r="D23" s="20" t="s">
        <v>95</v>
      </c>
      <c r="H23" s="2" t="s">
        <v>2</v>
      </c>
      <c r="J23" s="12">
        <f>SUM(L23:R23)</f>
        <v>42761444.378111325</v>
      </c>
      <c r="L23" s="34">
        <f>'Totale kosten TD maatstaf'!L95</f>
        <v>462.53155976889951</v>
      </c>
      <c r="M23" s="34">
        <f>'Totale kosten TD maatstaf'!M95</f>
        <v>450534.63091392</v>
      </c>
      <c r="N23" s="34">
        <f>'Totale kosten TD maatstaf'!N95</f>
        <v>1969099.7272228266</v>
      </c>
      <c r="O23" s="34">
        <f>'Totale kosten TD maatstaf'!O95</f>
        <v>24886956.342183802</v>
      </c>
      <c r="P23" s="34">
        <f>'Totale kosten TD maatstaf'!P95</f>
        <v>2077709.1236005139</v>
      </c>
      <c r="Q23" s="34">
        <f>'Totale kosten TD maatstaf'!Q95</f>
        <v>13373802.561128089</v>
      </c>
      <c r="R23" s="34">
        <f>'Totale kosten TD maatstaf'!R95</f>
        <v>2879.4615024</v>
      </c>
      <c r="S23" s="56"/>
    </row>
    <row r="24" spans="1:19" x14ac:dyDescent="0.2">
      <c r="A24" s="10"/>
      <c r="J24" s="19"/>
    </row>
    <row r="25" spans="1:19" x14ac:dyDescent="0.2">
      <c r="A25" s="10"/>
      <c r="B25" s="4" t="s">
        <v>181</v>
      </c>
      <c r="J25" s="36"/>
    </row>
    <row r="26" spans="1:19" x14ac:dyDescent="0.2">
      <c r="A26" s="10"/>
      <c r="B26" s="2" t="s">
        <v>76</v>
      </c>
      <c r="D26" s="20" t="s">
        <v>95</v>
      </c>
      <c r="H26" s="2" t="s">
        <v>2</v>
      </c>
      <c r="J26" s="34">
        <f>'Totale kosten AD maatstaf'!J102</f>
        <v>235422110.47521475</v>
      </c>
    </row>
    <row r="27" spans="1:19" x14ac:dyDescent="0.2">
      <c r="A27" s="10"/>
      <c r="B27" s="2" t="s">
        <v>77</v>
      </c>
      <c r="D27" s="20" t="s">
        <v>95</v>
      </c>
      <c r="H27" s="2" t="s">
        <v>2</v>
      </c>
      <c r="J27" s="12">
        <f>SUM(L27:R27)</f>
        <v>22499.489790586806</v>
      </c>
      <c r="L27" s="34">
        <f>'Totale kosten AD maatstaf'!L94</f>
        <v>247.13518886300889</v>
      </c>
      <c r="M27" s="34">
        <f>'Totale kosten AD maatstaf'!M94</f>
        <v>0</v>
      </c>
      <c r="N27" s="34">
        <f>'Totale kosten AD maatstaf'!N94</f>
        <v>22252.354601723797</v>
      </c>
      <c r="O27" s="34">
        <f>'Totale kosten AD maatstaf'!O94</f>
        <v>0</v>
      </c>
      <c r="P27" s="34">
        <f>'Totale kosten AD maatstaf'!P94</f>
        <v>0</v>
      </c>
      <c r="Q27" s="34">
        <f>'Totale kosten AD maatstaf'!Q94</f>
        <v>0</v>
      </c>
      <c r="R27" s="34">
        <f>'Totale kosten AD maatstaf'!R94</f>
        <v>0</v>
      </c>
      <c r="S27" s="56"/>
    </row>
    <row r="28" spans="1:19" x14ac:dyDescent="0.2">
      <c r="A28" s="10"/>
      <c r="J28" s="19"/>
    </row>
    <row r="29" spans="1:19" x14ac:dyDescent="0.2">
      <c r="A29" s="10"/>
      <c r="B29" s="4" t="s">
        <v>182</v>
      </c>
      <c r="J29" s="36"/>
    </row>
    <row r="30" spans="1:19" x14ac:dyDescent="0.2">
      <c r="A30" s="10"/>
      <c r="B30" s="2" t="s">
        <v>76</v>
      </c>
      <c r="D30" s="20" t="s">
        <v>95</v>
      </c>
      <c r="H30" s="2" t="s">
        <v>2</v>
      </c>
      <c r="J30" s="34">
        <f>'Totale kosten EHD maatstaf'!J100</f>
        <v>6077613.2821342424</v>
      </c>
    </row>
    <row r="31" spans="1:19" x14ac:dyDescent="0.2">
      <c r="A31" s="10"/>
      <c r="B31" s="2" t="s">
        <v>77</v>
      </c>
      <c r="D31" s="20" t="s">
        <v>95</v>
      </c>
      <c r="H31" s="2" t="s">
        <v>2</v>
      </c>
      <c r="J31" s="12">
        <f>SUM(L31:S31)</f>
        <v>0</v>
      </c>
      <c r="L31" s="73"/>
      <c r="M31" s="34">
        <f>'Totale kosten EHD maatstaf'!M94</f>
        <v>0</v>
      </c>
      <c r="N31" s="34">
        <f>'Totale kosten EHD maatstaf'!N94</f>
        <v>0</v>
      </c>
      <c r="O31" s="34">
        <f>'Totale kosten EHD maatstaf'!O94</f>
        <v>0</v>
      </c>
      <c r="P31" s="73"/>
      <c r="Q31" s="73"/>
      <c r="R31" s="73"/>
      <c r="S31" s="34">
        <f>'Totale kosten EHD maatstaf'!S94</f>
        <v>0</v>
      </c>
    </row>
    <row r="32" spans="1:19" x14ac:dyDescent="0.2">
      <c r="A32" s="10"/>
      <c r="J32" s="19"/>
    </row>
    <row r="33" spans="1:21" x14ac:dyDescent="0.2">
      <c r="J33" s="19"/>
    </row>
    <row r="34" spans="1:21" s="9" customFormat="1" x14ac:dyDescent="0.2">
      <c r="B34" s="9" t="s">
        <v>184</v>
      </c>
    </row>
    <row r="35" spans="1:21" x14ac:dyDescent="0.2">
      <c r="J35" s="19"/>
    </row>
    <row r="36" spans="1:21" x14ac:dyDescent="0.2">
      <c r="A36" s="10"/>
      <c r="B36" s="67" t="s">
        <v>276</v>
      </c>
      <c r="D36" s="20" t="str">
        <f>'Toetsen toepassing one-off'!$D$33</f>
        <v>WACC BI2016</v>
      </c>
      <c r="H36" s="2" t="s">
        <v>2</v>
      </c>
      <c r="J36" s="19"/>
      <c r="L36" s="34">
        <f>'Toetsen toepassing one-off'!L33</f>
        <v>15725703.855824513</v>
      </c>
      <c r="M36" s="34">
        <f>'Toetsen toepassing one-off'!M33</f>
        <v>21302332.517037828</v>
      </c>
      <c r="N36" s="34">
        <f>'Toetsen toepassing one-off'!N33</f>
        <v>257201929.79485595</v>
      </c>
      <c r="O36" s="34">
        <f>'Toetsen toepassing one-off'!O33</f>
        <v>299464911.51838356</v>
      </c>
      <c r="P36" s="34">
        <f>'Toetsen toepassing one-off'!P33</f>
        <v>13710862.93933597</v>
      </c>
      <c r="Q36" s="34">
        <f>'Toetsen toepassing one-off'!Q33</f>
        <v>222697603.7810151</v>
      </c>
      <c r="R36" s="34">
        <f>'Toetsen toepassing one-off'!R33</f>
        <v>14042171.044573437</v>
      </c>
      <c r="S36" s="56"/>
    </row>
    <row r="37" spans="1:21" x14ac:dyDescent="0.2">
      <c r="A37" s="10"/>
      <c r="B37" s="23" t="s">
        <v>280</v>
      </c>
      <c r="D37" s="20" t="str">
        <f>'Toetsen toepassing one-off'!$D$33</f>
        <v>WACC BI2016</v>
      </c>
      <c r="H37" s="2" t="s">
        <v>2</v>
      </c>
      <c r="J37" s="12">
        <f>SUM(L37:R37)</f>
        <v>844145515.45102632</v>
      </c>
      <c r="K37" s="10"/>
      <c r="L37" s="22">
        <f>L36</f>
        <v>15725703.855824513</v>
      </c>
      <c r="M37" s="22">
        <f t="shared" ref="M37:R37" si="1">M36</f>
        <v>21302332.517037828</v>
      </c>
      <c r="N37" s="22">
        <f t="shared" si="1"/>
        <v>257201929.79485595</v>
      </c>
      <c r="O37" s="22">
        <f t="shared" si="1"/>
        <v>299464911.51838356</v>
      </c>
      <c r="P37" s="22">
        <f t="shared" si="1"/>
        <v>13710862.93933597</v>
      </c>
      <c r="Q37" s="22">
        <f t="shared" si="1"/>
        <v>222697603.7810151</v>
      </c>
      <c r="R37" s="22">
        <f t="shared" si="1"/>
        <v>14042171.044573437</v>
      </c>
      <c r="S37" s="56"/>
    </row>
    <row r="38" spans="1:21" x14ac:dyDescent="0.2">
      <c r="A38" s="10"/>
      <c r="J38" s="19"/>
    </row>
    <row r="39" spans="1:21" x14ac:dyDescent="0.2">
      <c r="A39" s="10"/>
      <c r="B39" s="20" t="s">
        <v>161</v>
      </c>
      <c r="D39" s="20" t="s">
        <v>95</v>
      </c>
      <c r="H39" s="2" t="s">
        <v>2</v>
      </c>
      <c r="J39" s="55">
        <f>J22</f>
        <v>720675983.23873687</v>
      </c>
    </row>
    <row r="40" spans="1:21" x14ac:dyDescent="0.2">
      <c r="A40" s="10"/>
      <c r="B40" s="20"/>
      <c r="J40" s="18"/>
    </row>
    <row r="41" spans="1:21" x14ac:dyDescent="0.2">
      <c r="A41" s="10"/>
      <c r="B41" s="2" t="s">
        <v>80</v>
      </c>
      <c r="D41" s="20" t="s">
        <v>95</v>
      </c>
      <c r="H41" s="2" t="s">
        <v>70</v>
      </c>
      <c r="J41" s="12">
        <f>J39*(1-$J$18)^5*(1+$J$19)^5</f>
        <v>763705186.43445683</v>
      </c>
    </row>
    <row r="42" spans="1:21" x14ac:dyDescent="0.2">
      <c r="A42" s="10"/>
      <c r="B42" s="2" t="s">
        <v>81</v>
      </c>
      <c r="D42" s="20" t="s">
        <v>95</v>
      </c>
      <c r="H42" s="2" t="s">
        <v>83</v>
      </c>
      <c r="J42" s="21">
        <f>J41/J12</f>
        <v>1.0480960204708645</v>
      </c>
    </row>
    <row r="43" spans="1:21" x14ac:dyDescent="0.2">
      <c r="A43" s="10"/>
      <c r="J43" s="19"/>
    </row>
    <row r="44" spans="1:21" x14ac:dyDescent="0.2">
      <c r="A44" s="10"/>
      <c r="B44" s="2" t="s">
        <v>84</v>
      </c>
      <c r="D44" s="20" t="s">
        <v>95</v>
      </c>
      <c r="H44" s="2" t="s">
        <v>70</v>
      </c>
      <c r="J44" s="12">
        <f>SUM(L44:R44)</f>
        <v>763705186.43445694</v>
      </c>
      <c r="L44" s="12">
        <f>L12*$J$42</f>
        <v>14989333.614136811</v>
      </c>
      <c r="M44" s="12">
        <f t="shared" ref="M44:R44" si="2">M12*$J$42</f>
        <v>19875978.277508434</v>
      </c>
      <c r="N44" s="12">
        <f t="shared" si="2"/>
        <v>243200199.99219269</v>
      </c>
      <c r="O44" s="12">
        <f t="shared" si="2"/>
        <v>261728293.28048477</v>
      </c>
      <c r="P44" s="12">
        <f t="shared" si="2"/>
        <v>11001204.181612967</v>
      </c>
      <c r="Q44" s="12">
        <f t="shared" si="2"/>
        <v>199527894.36831415</v>
      </c>
      <c r="R44" s="12">
        <f t="shared" si="2"/>
        <v>13382282.720207103</v>
      </c>
      <c r="S44" s="56"/>
    </row>
    <row r="45" spans="1:21" x14ac:dyDescent="0.2">
      <c r="A45" s="10"/>
      <c r="B45" s="2" t="s">
        <v>82</v>
      </c>
      <c r="D45" s="20" t="s">
        <v>95</v>
      </c>
      <c r="H45" s="2" t="s">
        <v>70</v>
      </c>
      <c r="J45" s="12">
        <f>SUM(L45:R45)</f>
        <v>45389450.882608302</v>
      </c>
      <c r="L45" s="12">
        <f>L23*(1+$J$19)^5</f>
        <v>490.95753941681824</v>
      </c>
      <c r="M45" s="12">
        <f t="shared" ref="M45:R45" si="3">M23*(1+$J$19)^5</f>
        <v>478223.3106992314</v>
      </c>
      <c r="N45" s="12">
        <f t="shared" si="3"/>
        <v>2090115.4451529181</v>
      </c>
      <c r="O45" s="12">
        <f t="shared" si="3"/>
        <v>26416443.572925471</v>
      </c>
      <c r="P45" s="12">
        <f t="shared" si="3"/>
        <v>2205399.6909020678</v>
      </c>
      <c r="Q45" s="12">
        <f t="shared" si="3"/>
        <v>14195721.479715735</v>
      </c>
      <c r="R45" s="12">
        <f t="shared" si="3"/>
        <v>3056.4256734612882</v>
      </c>
      <c r="S45" s="56"/>
    </row>
    <row r="46" spans="1:21" x14ac:dyDescent="0.2">
      <c r="A46" s="10"/>
      <c r="B46" s="2" t="s">
        <v>85</v>
      </c>
      <c r="D46" s="20" t="s">
        <v>95</v>
      </c>
      <c r="H46" s="2" t="s">
        <v>70</v>
      </c>
      <c r="J46" s="12">
        <f>SUM(L46:R46)</f>
        <v>809094637.31706524</v>
      </c>
      <c r="L46" s="22">
        <f>L44+L45</f>
        <v>14989824.571676228</v>
      </c>
      <c r="M46" s="22">
        <f t="shared" ref="M46:R46" si="4">M44+M45</f>
        <v>20354201.588207666</v>
      </c>
      <c r="N46" s="22">
        <f t="shared" si="4"/>
        <v>245290315.43734559</v>
      </c>
      <c r="O46" s="22">
        <f t="shared" si="4"/>
        <v>288144736.85341024</v>
      </c>
      <c r="P46" s="22">
        <f t="shared" si="4"/>
        <v>13206603.872515034</v>
      </c>
      <c r="Q46" s="22">
        <f t="shared" si="4"/>
        <v>213723615.84802988</v>
      </c>
      <c r="R46" s="22">
        <f t="shared" si="4"/>
        <v>13385339.145880563</v>
      </c>
      <c r="S46" s="56"/>
      <c r="U46" s="2" t="s">
        <v>298</v>
      </c>
    </row>
    <row r="47" spans="1:21" x14ac:dyDescent="0.2">
      <c r="A47" s="10"/>
      <c r="J47" s="19"/>
    </row>
    <row r="48" spans="1:21" x14ac:dyDescent="0.2">
      <c r="J48" s="19"/>
    </row>
    <row r="49" spans="1:21" s="9" customFormat="1" x14ac:dyDescent="0.2">
      <c r="B49" s="9" t="s">
        <v>185</v>
      </c>
    </row>
    <row r="50" spans="1:21" x14ac:dyDescent="0.2">
      <c r="J50" s="19"/>
    </row>
    <row r="51" spans="1:21" x14ac:dyDescent="0.2">
      <c r="A51" s="10"/>
      <c r="B51" s="67" t="s">
        <v>276</v>
      </c>
      <c r="D51" s="20" t="str">
        <f>'Toetsen toepassing one-off'!$D$34</f>
        <v>WACC BI2016</v>
      </c>
      <c r="H51" s="2" t="s">
        <v>2</v>
      </c>
      <c r="J51" s="19"/>
      <c r="L51" s="34">
        <f>'Toetsen toepassing one-off'!L34</f>
        <v>4469797.0037227059</v>
      </c>
      <c r="M51" s="34">
        <f>'Toetsen toepassing one-off'!M34</f>
        <v>6214723.0918605244</v>
      </c>
      <c r="N51" s="34">
        <f>'Toetsen toepassing one-off'!N34</f>
        <v>72164106.861459926</v>
      </c>
      <c r="O51" s="34">
        <f>'Toetsen toepassing one-off'!O34</f>
        <v>81197409.838007689</v>
      </c>
      <c r="P51" s="34">
        <f>'Toetsen toepassing one-off'!P34</f>
        <v>3363222.481822182</v>
      </c>
      <c r="Q51" s="34">
        <f>'Toetsen toepassing one-off'!Q34</f>
        <v>59847252.093036763</v>
      </c>
      <c r="R51" s="34">
        <f>'Toetsen toepassing one-off'!R34</f>
        <v>2087895.8561172751</v>
      </c>
      <c r="S51" s="56"/>
    </row>
    <row r="52" spans="1:21" x14ac:dyDescent="0.2">
      <c r="A52" s="10"/>
      <c r="B52" s="23" t="s">
        <v>280</v>
      </c>
      <c r="D52" s="20" t="str">
        <f>'Toetsen toepassing one-off'!$D$34</f>
        <v>WACC BI2016</v>
      </c>
      <c r="H52" s="2" t="s">
        <v>2</v>
      </c>
      <c r="J52" s="12">
        <f>SUM(L52:R52)</f>
        <v>229344407.2260271</v>
      </c>
      <c r="K52" s="10"/>
      <c r="L52" s="22">
        <f>L51</f>
        <v>4469797.0037227059</v>
      </c>
      <c r="M52" s="22">
        <f t="shared" ref="M52:R52" si="5">M51</f>
        <v>6214723.0918605244</v>
      </c>
      <c r="N52" s="22">
        <f t="shared" si="5"/>
        <v>72164106.861459926</v>
      </c>
      <c r="O52" s="22">
        <f t="shared" si="5"/>
        <v>81197409.838007689</v>
      </c>
      <c r="P52" s="22">
        <f t="shared" si="5"/>
        <v>3363222.481822182</v>
      </c>
      <c r="Q52" s="22">
        <f t="shared" si="5"/>
        <v>59847252.093036763</v>
      </c>
      <c r="R52" s="22">
        <f t="shared" si="5"/>
        <v>2087895.8561172751</v>
      </c>
      <c r="S52" s="56"/>
    </row>
    <row r="53" spans="1:21" x14ac:dyDescent="0.2">
      <c r="A53" s="10"/>
      <c r="J53" s="19"/>
    </row>
    <row r="54" spans="1:21" x14ac:dyDescent="0.2">
      <c r="A54" s="10"/>
      <c r="B54" s="20" t="s">
        <v>161</v>
      </c>
      <c r="D54" s="20" t="s">
        <v>95</v>
      </c>
      <c r="H54" s="2" t="s">
        <v>2</v>
      </c>
      <c r="J54" s="55">
        <f>J26</f>
        <v>235422110.47521475</v>
      </c>
    </row>
    <row r="55" spans="1:21" x14ac:dyDescent="0.2">
      <c r="A55" s="10"/>
      <c r="B55" s="20"/>
      <c r="J55" s="18"/>
    </row>
    <row r="56" spans="1:21" x14ac:dyDescent="0.2">
      <c r="A56" s="10"/>
      <c r="B56" s="2" t="s">
        <v>80</v>
      </c>
      <c r="D56" s="20" t="s">
        <v>95</v>
      </c>
      <c r="H56" s="2" t="s">
        <v>70</v>
      </c>
      <c r="J56" s="12">
        <f>J54*(1-$J$18)^5*(1+$J$19)^5</f>
        <v>249478393.83140302</v>
      </c>
    </row>
    <row r="57" spans="1:21" x14ac:dyDescent="0.2">
      <c r="A57" s="10"/>
      <c r="B57" s="2" t="s">
        <v>81</v>
      </c>
      <c r="D57" s="20" t="s">
        <v>95</v>
      </c>
      <c r="H57" s="2" t="s">
        <v>83</v>
      </c>
      <c r="J57" s="21">
        <f>J56/J13</f>
        <v>1.4210937199158553</v>
      </c>
    </row>
    <row r="58" spans="1:21" x14ac:dyDescent="0.2">
      <c r="A58" s="10"/>
      <c r="J58" s="36"/>
    </row>
    <row r="59" spans="1:21" x14ac:dyDescent="0.2">
      <c r="A59" s="10"/>
      <c r="B59" s="2" t="s">
        <v>84</v>
      </c>
      <c r="D59" s="20" t="s">
        <v>95</v>
      </c>
      <c r="H59" s="2" t="s">
        <v>70</v>
      </c>
      <c r="J59" s="12">
        <f>SUM(L59:R59)</f>
        <v>249478393.83140302</v>
      </c>
      <c r="L59" s="12">
        <f>L13*$J$57</f>
        <v>4862405.5737130307</v>
      </c>
      <c r="M59" s="12">
        <f t="shared" ref="M59:R59" si="6">M13*$J$57</f>
        <v>6760972.6012204299</v>
      </c>
      <c r="N59" s="12">
        <f t="shared" si="6"/>
        <v>78482837.370647788</v>
      </c>
      <c r="O59" s="12">
        <f t="shared" si="6"/>
        <v>88334340.096959665</v>
      </c>
      <c r="P59" s="12">
        <f t="shared" si="6"/>
        <v>3658836.3979063458</v>
      </c>
      <c r="Q59" s="12">
        <f t="shared" si="6"/>
        <v>65107588.170629077</v>
      </c>
      <c r="R59" s="12">
        <f t="shared" si="6"/>
        <v>2271413.6203266541</v>
      </c>
      <c r="S59" s="56"/>
    </row>
    <row r="60" spans="1:21" x14ac:dyDescent="0.2">
      <c r="A60" s="10"/>
      <c r="B60" s="2" t="s">
        <v>82</v>
      </c>
      <c r="D60" s="20" t="s">
        <v>95</v>
      </c>
      <c r="H60" s="2" t="s">
        <v>70</v>
      </c>
      <c r="J60" s="12">
        <f>SUM(L60:R60)</f>
        <v>23882.249572849731</v>
      </c>
      <c r="L60" s="12">
        <f>L27*(1+$J$19)^5</f>
        <v>262.32347104728723</v>
      </c>
      <c r="M60" s="12">
        <f t="shared" ref="M60:R60" si="7">M27*(1+$J$19)^5</f>
        <v>0</v>
      </c>
      <c r="N60" s="12">
        <f t="shared" si="7"/>
        <v>23619.926101802444</v>
      </c>
      <c r="O60" s="12">
        <f t="shared" si="7"/>
        <v>0</v>
      </c>
      <c r="P60" s="12">
        <f t="shared" si="7"/>
        <v>0</v>
      </c>
      <c r="Q60" s="12">
        <f t="shared" si="7"/>
        <v>0</v>
      </c>
      <c r="R60" s="12">
        <f t="shared" si="7"/>
        <v>0</v>
      </c>
      <c r="S60" s="56"/>
    </row>
    <row r="61" spans="1:21" x14ac:dyDescent="0.2">
      <c r="A61" s="10"/>
      <c r="B61" s="2" t="s">
        <v>85</v>
      </c>
      <c r="D61" s="20" t="s">
        <v>95</v>
      </c>
      <c r="H61" s="2" t="s">
        <v>70</v>
      </c>
      <c r="J61" s="12">
        <f>SUM(L61:R61)</f>
        <v>249502276.08097583</v>
      </c>
      <c r="L61" s="22">
        <f>L59+L60</f>
        <v>4862667.8971840777</v>
      </c>
      <c r="M61" s="22">
        <f t="shared" ref="M61:R61" si="8">M59+M60</f>
        <v>6760972.6012204299</v>
      </c>
      <c r="N61" s="22">
        <f t="shared" si="8"/>
        <v>78506457.296749592</v>
      </c>
      <c r="O61" s="22">
        <f t="shared" si="8"/>
        <v>88334340.096959665</v>
      </c>
      <c r="P61" s="22">
        <f t="shared" si="8"/>
        <v>3658836.3979063458</v>
      </c>
      <c r="Q61" s="22">
        <f t="shared" si="8"/>
        <v>65107588.170629077</v>
      </c>
      <c r="R61" s="22">
        <f t="shared" si="8"/>
        <v>2271413.6203266541</v>
      </c>
      <c r="S61" s="56"/>
      <c r="U61" s="2" t="s">
        <v>298</v>
      </c>
    </row>
    <row r="62" spans="1:21" x14ac:dyDescent="0.2">
      <c r="A62" s="10"/>
      <c r="J62" s="36"/>
    </row>
    <row r="63" spans="1:21" x14ac:dyDescent="0.2">
      <c r="J63" s="19"/>
    </row>
    <row r="64" spans="1:21" s="9" customFormat="1" x14ac:dyDescent="0.2">
      <c r="B64" s="9" t="s">
        <v>186</v>
      </c>
    </row>
    <row r="65" spans="1:21" x14ac:dyDescent="0.2">
      <c r="J65" s="19"/>
    </row>
    <row r="66" spans="1:21" x14ac:dyDescent="0.2">
      <c r="A66" s="10"/>
      <c r="B66" s="67" t="s">
        <v>276</v>
      </c>
      <c r="D66" s="20" t="str">
        <f>'Toetsen toepassing one-off'!$D$35</f>
        <v>WACC BI2016</v>
      </c>
      <c r="H66" s="2" t="s">
        <v>2</v>
      </c>
      <c r="J66" s="19"/>
      <c r="L66" s="73"/>
      <c r="M66" s="34">
        <f>'Toetsen toepassing one-off'!M35</f>
        <v>1055707.1971594964</v>
      </c>
      <c r="N66" s="34">
        <f>'Toetsen toepassing one-off'!N35</f>
        <v>647568.45694419218</v>
      </c>
      <c r="O66" s="34">
        <f>'Toetsen toepassing one-off'!O35</f>
        <v>551.74230143586931</v>
      </c>
      <c r="P66" s="73"/>
      <c r="Q66" s="73"/>
      <c r="R66" s="73"/>
      <c r="S66" s="34">
        <f>'Toetsen toepassing one-off'!S35</f>
        <v>5086673.7044375269</v>
      </c>
    </row>
    <row r="67" spans="1:21" x14ac:dyDescent="0.2">
      <c r="A67" s="10"/>
      <c r="B67" s="23" t="s">
        <v>280</v>
      </c>
      <c r="D67" s="20" t="str">
        <f>'Toetsen toepassing one-off'!$D$35</f>
        <v>WACC BI2016</v>
      </c>
      <c r="H67" s="2" t="s">
        <v>2</v>
      </c>
      <c r="J67" s="12">
        <f>SUM(L67:S67)</f>
        <v>6790501.100842651</v>
      </c>
      <c r="K67" s="10"/>
      <c r="L67" s="69"/>
      <c r="M67" s="22">
        <f t="shared" ref="M67:S67" si="9">M66</f>
        <v>1055707.1971594964</v>
      </c>
      <c r="N67" s="22">
        <f t="shared" si="9"/>
        <v>647568.45694419218</v>
      </c>
      <c r="O67" s="22">
        <f t="shared" si="9"/>
        <v>551.74230143586931</v>
      </c>
      <c r="P67" s="69"/>
      <c r="Q67" s="69"/>
      <c r="R67" s="69"/>
      <c r="S67" s="22">
        <f t="shared" si="9"/>
        <v>5086673.7044375269</v>
      </c>
    </row>
    <row r="68" spans="1:21" x14ac:dyDescent="0.2">
      <c r="A68" s="10"/>
      <c r="J68" s="19"/>
    </row>
    <row r="69" spans="1:21" x14ac:dyDescent="0.2">
      <c r="A69" s="10"/>
      <c r="B69" s="20" t="s">
        <v>161</v>
      </c>
      <c r="D69" s="20" t="s">
        <v>95</v>
      </c>
      <c r="H69" s="2" t="s">
        <v>2</v>
      </c>
      <c r="J69" s="55">
        <f>J30</f>
        <v>6077613.2821342424</v>
      </c>
    </row>
    <row r="70" spans="1:21" x14ac:dyDescent="0.2">
      <c r="A70" s="10"/>
      <c r="B70" s="20"/>
      <c r="J70" s="18"/>
    </row>
    <row r="71" spans="1:21" x14ac:dyDescent="0.2">
      <c r="A71" s="10"/>
      <c r="B71" s="2" t="s">
        <v>80</v>
      </c>
      <c r="D71" s="20" t="s">
        <v>95</v>
      </c>
      <c r="H71" s="2" t="s">
        <v>70</v>
      </c>
      <c r="J71" s="12">
        <f>J69*(1-$J$18)^5*(1+$J$19)^5</f>
        <v>6440487.6708251303</v>
      </c>
    </row>
    <row r="72" spans="1:21" x14ac:dyDescent="0.2">
      <c r="A72" s="10"/>
      <c r="B72" s="2" t="s">
        <v>81</v>
      </c>
      <c r="D72" s="20" t="s">
        <v>95</v>
      </c>
      <c r="H72" s="2" t="s">
        <v>83</v>
      </c>
      <c r="J72" s="21">
        <f>J71/J14</f>
        <v>0.94845543430570523</v>
      </c>
    </row>
    <row r="73" spans="1:21" x14ac:dyDescent="0.2">
      <c r="A73" s="10"/>
      <c r="J73" s="19"/>
    </row>
    <row r="74" spans="1:21" x14ac:dyDescent="0.2">
      <c r="A74" s="10"/>
      <c r="B74" s="2" t="s">
        <v>84</v>
      </c>
      <c r="D74" s="20" t="s">
        <v>95</v>
      </c>
      <c r="H74" s="2" t="s">
        <v>70</v>
      </c>
      <c r="J74" s="12">
        <f>SUM(L74:S74)</f>
        <v>6440487.6708251312</v>
      </c>
      <c r="L74" s="73"/>
      <c r="M74" s="12">
        <f>M14*$J$72</f>
        <v>1001291.2281927696</v>
      </c>
      <c r="N74" s="12">
        <f>N14*$J$72</f>
        <v>614189.82208054967</v>
      </c>
      <c r="O74" s="12">
        <f>O14*$J$72</f>
        <v>523.3029841390404</v>
      </c>
      <c r="P74" s="73"/>
      <c r="Q74" s="73"/>
      <c r="R74" s="73"/>
      <c r="S74" s="12">
        <f>S14*$J$72</f>
        <v>4824483.3175676726</v>
      </c>
    </row>
    <row r="75" spans="1:21" x14ac:dyDescent="0.2">
      <c r="A75" s="10"/>
      <c r="B75" s="2" t="s">
        <v>82</v>
      </c>
      <c r="D75" s="20" t="s">
        <v>95</v>
      </c>
      <c r="H75" s="2" t="s">
        <v>70</v>
      </c>
      <c r="J75" s="12">
        <f>SUM(L75:S75)</f>
        <v>0</v>
      </c>
      <c r="L75" s="73"/>
      <c r="M75" s="12">
        <f>M31*(1+$J$19)^5</f>
        <v>0</v>
      </c>
      <c r="N75" s="12">
        <f>N31*(1+$J$19)^5</f>
        <v>0</v>
      </c>
      <c r="O75" s="12">
        <f>O31*(1+$J$19)^5</f>
        <v>0</v>
      </c>
      <c r="P75" s="73"/>
      <c r="Q75" s="73"/>
      <c r="R75" s="73"/>
      <c r="S75" s="12">
        <f>S31*(1+$J$19)^5</f>
        <v>0</v>
      </c>
    </row>
    <row r="76" spans="1:21" x14ac:dyDescent="0.2">
      <c r="A76" s="10"/>
      <c r="B76" s="2" t="s">
        <v>85</v>
      </c>
      <c r="D76" s="20" t="s">
        <v>95</v>
      </c>
      <c r="H76" s="2" t="s">
        <v>70</v>
      </c>
      <c r="J76" s="12">
        <f>SUM(L76:S76)</f>
        <v>6440487.6708251312</v>
      </c>
      <c r="L76" s="69"/>
      <c r="M76" s="22">
        <f t="shared" ref="M76:S76" si="10">M74+M75</f>
        <v>1001291.2281927696</v>
      </c>
      <c r="N76" s="22">
        <f t="shared" si="10"/>
        <v>614189.82208054967</v>
      </c>
      <c r="O76" s="22">
        <f t="shared" si="10"/>
        <v>523.3029841390404</v>
      </c>
      <c r="P76" s="69"/>
      <c r="Q76" s="69"/>
      <c r="R76" s="69"/>
      <c r="S76" s="22">
        <f t="shared" si="10"/>
        <v>4824483.3175676726</v>
      </c>
      <c r="U76" s="2" t="s">
        <v>298</v>
      </c>
    </row>
    <row r="77" spans="1:21" x14ac:dyDescent="0.2">
      <c r="A77" s="10"/>
      <c r="J77" s="18"/>
    </row>
    <row r="78" spans="1:21" x14ac:dyDescent="0.2">
      <c r="A78" s="10"/>
      <c r="J78" s="18"/>
    </row>
    <row r="79" spans="1:21" s="9" customFormat="1" x14ac:dyDescent="0.2">
      <c r="B79" s="9" t="s">
        <v>183</v>
      </c>
    </row>
    <row r="80" spans="1:21" x14ac:dyDescent="0.2">
      <c r="A80" s="10"/>
      <c r="J80" s="49"/>
      <c r="K80" s="50"/>
      <c r="L80" s="50"/>
      <c r="M80" s="50"/>
      <c r="N80" s="50"/>
      <c r="O80" s="50"/>
      <c r="P80" s="50"/>
      <c r="Q80" s="50"/>
      <c r="R80" s="50"/>
      <c r="S80" s="50"/>
    </row>
    <row r="81" spans="1:21" x14ac:dyDescent="0.2">
      <c r="A81" s="10"/>
      <c r="B81" s="23" t="s">
        <v>280</v>
      </c>
      <c r="D81" s="20" t="str">
        <f>'Toetsen toepassing one-off'!$D$35</f>
        <v>WACC BI2016</v>
      </c>
      <c r="H81" s="2" t="s">
        <v>2</v>
      </c>
      <c r="J81" s="6">
        <f>SUM(L81:S81)</f>
        <v>1080280423.7778962</v>
      </c>
      <c r="L81" s="6">
        <f>L37+L52+L67</f>
        <v>20195500.85954722</v>
      </c>
      <c r="M81" s="6">
        <f t="shared" ref="M81:S81" si="11">M37+M52+M67</f>
        <v>28572762.806057848</v>
      </c>
      <c r="N81" s="6">
        <f t="shared" si="11"/>
        <v>330013605.11326003</v>
      </c>
      <c r="O81" s="6">
        <f t="shared" si="11"/>
        <v>380662873.09869272</v>
      </c>
      <c r="P81" s="6">
        <f t="shared" si="11"/>
        <v>17074085.421158154</v>
      </c>
      <c r="Q81" s="6">
        <f t="shared" si="11"/>
        <v>282544855.87405187</v>
      </c>
      <c r="R81" s="6">
        <f t="shared" si="11"/>
        <v>16130066.900690712</v>
      </c>
      <c r="S81" s="6">
        <f t="shared" si="11"/>
        <v>5086673.7044375269</v>
      </c>
    </row>
    <row r="82" spans="1:21" x14ac:dyDescent="0.2">
      <c r="A82" s="10"/>
      <c r="B82" s="2" t="s">
        <v>86</v>
      </c>
      <c r="D82" s="20" t="s">
        <v>95</v>
      </c>
      <c r="H82" s="2" t="s">
        <v>70</v>
      </c>
      <c r="J82" s="6">
        <f>SUM(L82:S82)</f>
        <v>1065037401.0688661</v>
      </c>
      <c r="L82" s="6">
        <f>L46+L61+L76</f>
        <v>19852492.468860306</v>
      </c>
      <c r="M82" s="6">
        <f t="shared" ref="M82:S82" si="12">M46+M61+M76</f>
        <v>28116465.417620864</v>
      </c>
      <c r="N82" s="6">
        <f t="shared" si="12"/>
        <v>324410962.55617577</v>
      </c>
      <c r="O82" s="6">
        <f t="shared" si="12"/>
        <v>376479600.25335401</v>
      </c>
      <c r="P82" s="6">
        <f t="shared" si="12"/>
        <v>16865440.270421378</v>
      </c>
      <c r="Q82" s="6">
        <f t="shared" si="12"/>
        <v>278831204.01865894</v>
      </c>
      <c r="R82" s="6">
        <f t="shared" si="12"/>
        <v>15656752.766207218</v>
      </c>
      <c r="S82" s="6">
        <f t="shared" si="12"/>
        <v>4824483.3175676726</v>
      </c>
    </row>
    <row r="83" spans="1:21" x14ac:dyDescent="0.2">
      <c r="A83" s="10"/>
      <c r="J83" s="18"/>
    </row>
    <row r="84" spans="1:21" x14ac:dyDescent="0.2">
      <c r="A84" s="10"/>
      <c r="B84" s="20" t="s">
        <v>87</v>
      </c>
      <c r="H84" s="2" t="s">
        <v>12</v>
      </c>
      <c r="J84" s="141">
        <f>(1+$J$19-(J82/J81)^(1/5))*100</f>
        <v>1.4838113351696158</v>
      </c>
      <c r="K84" s="88"/>
      <c r="L84" s="141">
        <f>(1+$J$19-(L82/L81)^(1/5))*100</f>
        <v>1.5420194851389679</v>
      </c>
      <c r="M84" s="141">
        <f t="shared" ref="M84:S84" si="13">(1+$J$19-(M82/M81)^(1/5))*100</f>
        <v>1.5214532682611415</v>
      </c>
      <c r="N84" s="141">
        <f t="shared" si="13"/>
        <v>1.5418696150737876</v>
      </c>
      <c r="O84" s="141">
        <f t="shared" si="13"/>
        <v>1.4207614173580185</v>
      </c>
      <c r="P84" s="141">
        <f t="shared" si="13"/>
        <v>1.4456032570546284</v>
      </c>
      <c r="Q84" s="141">
        <f t="shared" si="13"/>
        <v>1.4642646968866857</v>
      </c>
      <c r="R84" s="141">
        <f t="shared" si="13"/>
        <v>1.7938840780246434</v>
      </c>
      <c r="S84" s="141">
        <f t="shared" si="13"/>
        <v>2.2528280781678345</v>
      </c>
    </row>
    <row r="85" spans="1:21" x14ac:dyDescent="0.2">
      <c r="A85" s="10"/>
      <c r="B85" s="20" t="s">
        <v>88</v>
      </c>
      <c r="H85" s="2" t="s">
        <v>12</v>
      </c>
      <c r="J85" s="24">
        <f>IF(J84&gt;0,ROUNDDOWN(J84,2),ROUNDUP(J84,2))</f>
        <v>1.48</v>
      </c>
      <c r="L85" s="21">
        <f t="shared" ref="L85:S85" si="14">IF(L84&gt;0,ROUNDDOWN(L84,2),ROUNDUP(L84,2))</f>
        <v>1.54</v>
      </c>
      <c r="M85" s="21">
        <f t="shared" si="14"/>
        <v>1.52</v>
      </c>
      <c r="N85" s="21">
        <f t="shared" si="14"/>
        <v>1.54</v>
      </c>
      <c r="O85" s="21">
        <f t="shared" si="14"/>
        <v>1.42</v>
      </c>
      <c r="P85" s="21">
        <f t="shared" si="14"/>
        <v>1.44</v>
      </c>
      <c r="Q85" s="21">
        <f t="shared" si="14"/>
        <v>1.46</v>
      </c>
      <c r="R85" s="21">
        <f t="shared" si="14"/>
        <v>1.79</v>
      </c>
      <c r="S85" s="21">
        <f t="shared" si="14"/>
        <v>2.25</v>
      </c>
      <c r="U85" s="2" t="s">
        <v>299</v>
      </c>
    </row>
    <row r="86" spans="1:21" x14ac:dyDescent="0.2">
      <c r="A86" s="10"/>
      <c r="J86" s="19"/>
    </row>
    <row r="87" spans="1:21" x14ac:dyDescent="0.2">
      <c r="A87" s="10"/>
      <c r="J87" s="19"/>
      <c r="L87" s="88"/>
      <c r="M87" s="88"/>
      <c r="N87" s="88"/>
      <c r="O87" s="88"/>
      <c r="P87" s="88"/>
      <c r="Q87" s="88"/>
      <c r="R87" s="88"/>
      <c r="S87" s="88"/>
    </row>
    <row r="88" spans="1:21" x14ac:dyDescent="0.2">
      <c r="A88" s="10"/>
      <c r="B88" s="2" t="s">
        <v>79</v>
      </c>
      <c r="H88" s="2" t="s">
        <v>12</v>
      </c>
      <c r="J88" s="18"/>
      <c r="L88" s="61">
        <v>0</v>
      </c>
      <c r="M88" s="61">
        <v>0</v>
      </c>
      <c r="N88" s="61">
        <v>0</v>
      </c>
      <c r="O88" s="61">
        <v>0</v>
      </c>
      <c r="P88" s="61">
        <v>0</v>
      </c>
      <c r="Q88" s="61">
        <v>0</v>
      </c>
      <c r="R88" s="61">
        <v>0</v>
      </c>
      <c r="S88" s="61">
        <v>0</v>
      </c>
    </row>
    <row r="89" spans="1:21" x14ac:dyDescent="0.2">
      <c r="A89" s="10"/>
      <c r="J89" s="10"/>
    </row>
    <row r="90" spans="1:21" x14ac:dyDescent="0.2">
      <c r="J90" s="10"/>
    </row>
    <row r="91" spans="1:21" s="9" customFormat="1" x14ac:dyDescent="0.2">
      <c r="B91" s="9" t="s">
        <v>65</v>
      </c>
    </row>
    <row r="92" spans="1:21" x14ac:dyDescent="0.2">
      <c r="B92" s="4"/>
    </row>
    <row r="93" spans="1:21" x14ac:dyDescent="0.2">
      <c r="A93" s="10"/>
      <c r="B93" s="2" t="s">
        <v>71</v>
      </c>
      <c r="H93" s="2" t="s">
        <v>66</v>
      </c>
      <c r="J93" s="6">
        <f>SUM(L93:S93)</f>
        <v>1077236649.7568982</v>
      </c>
      <c r="L93" s="6">
        <f>L81*(1-L$85/100+L$88/100+$J$19)</f>
        <v>20126836.15662476</v>
      </c>
      <c r="M93" s="6">
        <f t="shared" ref="M93:S93" si="15">M81*(1-M$85/100+M$88/100+$J$19)</f>
        <v>28481329.965078462</v>
      </c>
      <c r="N93" s="6">
        <f t="shared" si="15"/>
        <v>328891558.85587496</v>
      </c>
      <c r="O93" s="6">
        <f t="shared" si="15"/>
        <v>379825414.7778756</v>
      </c>
      <c r="P93" s="6">
        <f t="shared" si="15"/>
        <v>17033107.616147373</v>
      </c>
      <c r="Q93" s="6">
        <f t="shared" si="15"/>
        <v>281810239.24877936</v>
      </c>
      <c r="R93" s="6">
        <f t="shared" si="15"/>
        <v>16034899.505976636</v>
      </c>
      <c r="S93" s="6">
        <f t="shared" si="15"/>
        <v>5033263.6305409335</v>
      </c>
    </row>
    <row r="94" spans="1:21" x14ac:dyDescent="0.2">
      <c r="A94" s="10"/>
      <c r="B94" s="2" t="s">
        <v>72</v>
      </c>
      <c r="H94" s="2" t="s">
        <v>67</v>
      </c>
      <c r="J94" s="6">
        <f>SUM(L94:S94)</f>
        <v>1074202189.7899244</v>
      </c>
      <c r="L94" s="6">
        <f>L93*(1-L$85/100+L$88/100+$J$19)</f>
        <v>20058404.913692236</v>
      </c>
      <c r="M94" s="6">
        <f t="shared" ref="L94:S97" si="16">M93*(1-M$85/100+M$88/100+$J$19)</f>
        <v>28390189.709190212</v>
      </c>
      <c r="N94" s="6">
        <f t="shared" si="16"/>
        <v>327773327.55576497</v>
      </c>
      <c r="O94" s="6">
        <f t="shared" si="16"/>
        <v>378989798.86536431</v>
      </c>
      <c r="P94" s="6">
        <f t="shared" si="16"/>
        <v>16992228.15786862</v>
      </c>
      <c r="Q94" s="6">
        <f t="shared" si="16"/>
        <v>281077532.62673253</v>
      </c>
      <c r="R94" s="6">
        <f t="shared" si="16"/>
        <v>15940293.598891374</v>
      </c>
      <c r="S94" s="6">
        <f t="shared" si="16"/>
        <v>4980414.3624202535</v>
      </c>
    </row>
    <row r="95" spans="1:21" x14ac:dyDescent="0.2">
      <c r="A95" s="10"/>
      <c r="B95" s="2" t="s">
        <v>73</v>
      </c>
      <c r="H95" s="2" t="s">
        <v>68</v>
      </c>
      <c r="J95" s="6">
        <f>SUM(L95:S95)</f>
        <v>1071177010.7195079</v>
      </c>
      <c r="L95" s="6">
        <f t="shared" si="16"/>
        <v>19990206.336985685</v>
      </c>
      <c r="M95" s="6">
        <f t="shared" si="16"/>
        <v>28299341.102120806</v>
      </c>
      <c r="N95" s="6">
        <f t="shared" si="16"/>
        <v>326658898.24207538</v>
      </c>
      <c r="O95" s="6">
        <f t="shared" si="16"/>
        <v>378156021.30786049</v>
      </c>
      <c r="P95" s="6">
        <f t="shared" si="16"/>
        <v>16951446.810289737</v>
      </c>
      <c r="Q95" s="6">
        <f t="shared" si="16"/>
        <v>280346731.04190302</v>
      </c>
      <c r="R95" s="6">
        <f t="shared" si="16"/>
        <v>15846245.866657915</v>
      </c>
      <c r="S95" s="6">
        <f t="shared" si="16"/>
        <v>4928120.0116148414</v>
      </c>
    </row>
    <row r="96" spans="1:21" x14ac:dyDescent="0.2">
      <c r="A96" s="10"/>
      <c r="B96" s="2" t="s">
        <v>74</v>
      </c>
      <c r="H96" s="2" t="s">
        <v>69</v>
      </c>
      <c r="J96" s="6">
        <f>SUM(L96:S96)</f>
        <v>1068161079.5417461</v>
      </c>
      <c r="L96" s="6">
        <f t="shared" si="16"/>
        <v>19922239.635439936</v>
      </c>
      <c r="M96" s="6">
        <f t="shared" si="16"/>
        <v>28208783.210594021</v>
      </c>
      <c r="N96" s="6">
        <f t="shared" si="16"/>
        <v>325548257.98805237</v>
      </c>
      <c r="O96" s="6">
        <f t="shared" si="16"/>
        <v>377324078.06098318</v>
      </c>
      <c r="P96" s="6">
        <f t="shared" si="16"/>
        <v>16910763.337945044</v>
      </c>
      <c r="Q96" s="6">
        <f t="shared" si="16"/>
        <v>279617829.54119408</v>
      </c>
      <c r="R96" s="6">
        <f t="shared" si="16"/>
        <v>15752753.016044633</v>
      </c>
      <c r="S96" s="6">
        <f t="shared" si="16"/>
        <v>4876374.7514928859</v>
      </c>
    </row>
    <row r="97" spans="1:19" x14ac:dyDescent="0.2">
      <c r="A97" s="10"/>
      <c r="B97" s="2" t="s">
        <v>75</v>
      </c>
      <c r="H97" s="2" t="s">
        <v>70</v>
      </c>
      <c r="J97" s="6">
        <f>SUM(L97:S97)</f>
        <v>1065154363.4053148</v>
      </c>
      <c r="L97" s="6">
        <f t="shared" si="16"/>
        <v>19854504.02067944</v>
      </c>
      <c r="M97" s="6">
        <f t="shared" si="16"/>
        <v>28118515.10432012</v>
      </c>
      <c r="N97" s="6">
        <f t="shared" si="16"/>
        <v>324441393.91089302</v>
      </c>
      <c r="O97" s="6">
        <f t="shared" si="16"/>
        <v>376493965.08924901</v>
      </c>
      <c r="P97" s="6">
        <f t="shared" si="16"/>
        <v>16870177.505933978</v>
      </c>
      <c r="Q97" s="6">
        <f t="shared" si="16"/>
        <v>278890823.18438697</v>
      </c>
      <c r="R97" s="6">
        <f t="shared" si="16"/>
        <v>15659811.773249971</v>
      </c>
      <c r="S97" s="6">
        <f t="shared" si="16"/>
        <v>4825172.8166022105</v>
      </c>
    </row>
    <row r="98" spans="1:19" x14ac:dyDescent="0.2">
      <c r="A98" s="10"/>
    </row>
    <row r="99" spans="1:19" x14ac:dyDescent="0.2">
      <c r="A99" s="10"/>
      <c r="J99" s="16"/>
    </row>
    <row r="100" spans="1:19" x14ac:dyDescent="0.2">
      <c r="J100" s="16"/>
    </row>
    <row r="101" spans="1:19" x14ac:dyDescent="0.2">
      <c r="J101" s="16"/>
    </row>
    <row r="102" spans="1:19" x14ac:dyDescent="0.2">
      <c r="J102" s="16"/>
    </row>
    <row r="103" spans="1:19" x14ac:dyDescent="0.2">
      <c r="J103" s="16"/>
    </row>
    <row r="105" spans="1:19" x14ac:dyDescent="0.2">
      <c r="J105" s="7"/>
    </row>
    <row r="106" spans="1:19" x14ac:dyDescent="0.2">
      <c r="L106" s="7"/>
      <c r="M106" s="7"/>
      <c r="N106" s="7"/>
      <c r="O106" s="7"/>
      <c r="P106" s="7"/>
      <c r="Q106" s="7"/>
      <c r="R106" s="7"/>
      <c r="S106" s="7"/>
    </row>
    <row r="107" spans="1:19" x14ac:dyDescent="0.2">
      <c r="L107" s="7"/>
      <c r="M107" s="7"/>
      <c r="N107" s="7"/>
      <c r="O107" s="7"/>
      <c r="P107" s="7"/>
      <c r="Q107" s="7"/>
      <c r="R107" s="7"/>
      <c r="S107" s="7"/>
    </row>
    <row r="108" spans="1:19" x14ac:dyDescent="0.2">
      <c r="L108" s="7"/>
      <c r="M108" s="7"/>
      <c r="N108" s="7"/>
      <c r="O108" s="7"/>
      <c r="P108" s="7"/>
      <c r="Q108" s="7"/>
      <c r="R108" s="7"/>
      <c r="S108" s="7"/>
    </row>
    <row r="109" spans="1:19" x14ac:dyDescent="0.2">
      <c r="L109" s="7"/>
      <c r="M109" s="7"/>
      <c r="N109" s="7"/>
      <c r="O109" s="7"/>
      <c r="P109" s="7"/>
      <c r="Q109" s="7"/>
      <c r="R109" s="7"/>
      <c r="S109" s="7"/>
    </row>
    <row r="110" spans="1:19" x14ac:dyDescent="0.2">
      <c r="L110" s="7"/>
      <c r="M110" s="7"/>
      <c r="N110" s="7"/>
      <c r="O110" s="7"/>
      <c r="P110" s="7"/>
      <c r="Q110" s="7"/>
      <c r="R110" s="7"/>
      <c r="S110" s="7"/>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B3:O33"/>
  <sheetViews>
    <sheetView showGridLines="0" zoomScale="85" zoomScaleNormal="85" workbookViewId="0"/>
  </sheetViews>
  <sheetFormatPr defaultRowHeight="12.75" x14ac:dyDescent="0.2"/>
  <cols>
    <col min="1" max="1" width="1.85546875" style="89" customWidth="1"/>
    <col min="2" max="2" width="40.140625" style="89" customWidth="1"/>
    <col min="3" max="3" width="1" style="89" customWidth="1"/>
    <col min="4" max="4" width="1.42578125" style="89" hidden="1" customWidth="1"/>
    <col min="5" max="5" width="8.28515625" style="89" customWidth="1"/>
    <col min="6" max="6" width="9.140625" style="89"/>
    <col min="7" max="7" width="13.5703125" style="89" customWidth="1"/>
    <col min="8" max="8" width="11.28515625" style="89" bestFit="1" customWidth="1"/>
    <col min="9" max="9" width="13.7109375" style="89" customWidth="1"/>
    <col min="10" max="10" width="13.5703125" style="89" customWidth="1"/>
    <col min="11" max="11" width="12.28515625" style="89" bestFit="1" customWidth="1"/>
    <col min="12" max="12" width="11.28515625" style="89" bestFit="1" customWidth="1"/>
    <col min="13" max="13" width="12.140625" style="89" customWidth="1"/>
    <col min="14" max="14" width="11.28515625" style="89" bestFit="1" customWidth="1"/>
    <col min="15" max="15" width="10.28515625" style="89" bestFit="1" customWidth="1"/>
    <col min="16" max="16384" width="9.140625" style="89"/>
  </cols>
  <sheetData>
    <row r="3" spans="2:15" s="102" customFormat="1" ht="18" customHeight="1" x14ac:dyDescent="0.25">
      <c r="B3" s="103" t="s">
        <v>345</v>
      </c>
    </row>
    <row r="5" spans="2:15" x14ac:dyDescent="0.2">
      <c r="B5" s="89" t="s">
        <v>388</v>
      </c>
    </row>
    <row r="7" spans="2:15" s="9" customFormat="1" x14ac:dyDescent="0.2">
      <c r="B7" s="9" t="s">
        <v>346</v>
      </c>
      <c r="E7" s="9" t="s">
        <v>1</v>
      </c>
      <c r="G7" s="9" t="s">
        <v>347</v>
      </c>
      <c r="H7" s="9" t="s">
        <v>5</v>
      </c>
      <c r="I7" s="9" t="s">
        <v>250</v>
      </c>
      <c r="J7" s="9" t="s">
        <v>6</v>
      </c>
      <c r="K7" s="9" t="s">
        <v>7</v>
      </c>
      <c r="L7" s="9" t="s">
        <v>8</v>
      </c>
      <c r="M7" s="9" t="s">
        <v>9</v>
      </c>
      <c r="N7" s="9" t="s">
        <v>10</v>
      </c>
      <c r="O7" s="9" t="s">
        <v>279</v>
      </c>
    </row>
    <row r="9" spans="2:15" x14ac:dyDescent="0.2">
      <c r="B9" s="90" t="s">
        <v>348</v>
      </c>
    </row>
    <row r="10" spans="2:15" x14ac:dyDescent="0.2">
      <c r="B10" s="89" t="s">
        <v>386</v>
      </c>
      <c r="E10" s="89" t="s">
        <v>2</v>
      </c>
      <c r="G10" s="91">
        <f>SUM(H10:O10)</f>
        <v>1080280423.7778962</v>
      </c>
      <c r="H10" s="92">
        <f>'Toetsen toepassing one-off'!L19</f>
        <v>20195500.85954722</v>
      </c>
      <c r="I10" s="92">
        <f>'Toetsen toepassing one-off'!M19</f>
        <v>28572762.806057848</v>
      </c>
      <c r="J10" s="92">
        <f>'Toetsen toepassing one-off'!N19</f>
        <v>330013605.11326003</v>
      </c>
      <c r="K10" s="92">
        <f>'Toetsen toepassing one-off'!O19</f>
        <v>380662873.09869272</v>
      </c>
      <c r="L10" s="92">
        <f>'Toetsen toepassing one-off'!P19</f>
        <v>17074085.421158154</v>
      </c>
      <c r="M10" s="92">
        <f>'Toetsen toepassing one-off'!Q19</f>
        <v>282544855.87405187</v>
      </c>
      <c r="N10" s="92">
        <f>'Toetsen toepassing one-off'!R19</f>
        <v>16130066.900690712</v>
      </c>
      <c r="O10" s="92">
        <f>'Toetsen toepassing one-off'!S19</f>
        <v>5086673.7044375269</v>
      </c>
    </row>
    <row r="11" spans="2:15" x14ac:dyDescent="0.2">
      <c r="B11" s="89" t="s">
        <v>387</v>
      </c>
      <c r="E11" s="89" t="s">
        <v>70</v>
      </c>
      <c r="G11" s="91">
        <f>SUM(H11:O11)</f>
        <v>1065037401.0688661</v>
      </c>
      <c r="H11" s="92">
        <f>'X-factor + TI-bedragen'!L82</f>
        <v>19852492.468860306</v>
      </c>
      <c r="I11" s="92">
        <f>'X-factor + TI-bedragen'!M82</f>
        <v>28116465.417620864</v>
      </c>
      <c r="J11" s="92">
        <f>'X-factor + TI-bedragen'!N82</f>
        <v>324410962.55617577</v>
      </c>
      <c r="K11" s="92">
        <f>'X-factor + TI-bedragen'!O82</f>
        <v>376479600.25335401</v>
      </c>
      <c r="L11" s="92">
        <f>'X-factor + TI-bedragen'!P82</f>
        <v>16865440.270421378</v>
      </c>
      <c r="M11" s="92">
        <f>'X-factor + TI-bedragen'!Q82</f>
        <v>278831204.01865894</v>
      </c>
      <c r="N11" s="92">
        <f>'X-factor + TI-bedragen'!R82</f>
        <v>15656752.766207218</v>
      </c>
      <c r="O11" s="92">
        <f>'X-factor + TI-bedragen'!S82</f>
        <v>4824483.3175676726</v>
      </c>
    </row>
    <row r="13" spans="2:15" x14ac:dyDescent="0.2">
      <c r="B13" s="89" t="s">
        <v>349</v>
      </c>
      <c r="H13" s="93">
        <f>'X-factor + TI-bedragen'!L85</f>
        <v>1.54</v>
      </c>
      <c r="I13" s="93">
        <f>'X-factor + TI-bedragen'!M85</f>
        <v>1.52</v>
      </c>
      <c r="J13" s="93">
        <f>'X-factor + TI-bedragen'!N85</f>
        <v>1.54</v>
      </c>
      <c r="K13" s="93">
        <f>'X-factor + TI-bedragen'!O85</f>
        <v>1.42</v>
      </c>
      <c r="L13" s="93">
        <f>'X-factor + TI-bedragen'!P85</f>
        <v>1.44</v>
      </c>
      <c r="M13" s="93">
        <f>'X-factor + TI-bedragen'!Q85</f>
        <v>1.46</v>
      </c>
      <c r="N13" s="93">
        <f>'X-factor + TI-bedragen'!R85</f>
        <v>1.79</v>
      </c>
      <c r="O13" s="93">
        <f>'X-factor + TI-bedragen'!S85</f>
        <v>2.25</v>
      </c>
    </row>
    <row r="15" spans="2:15" s="9" customFormat="1" x14ac:dyDescent="0.2">
      <c r="B15" s="9" t="s">
        <v>350</v>
      </c>
      <c r="E15" s="9" t="s">
        <v>1</v>
      </c>
      <c r="G15" s="9" t="s">
        <v>347</v>
      </c>
      <c r="H15" s="9" t="s">
        <v>5</v>
      </c>
      <c r="I15" s="9" t="s">
        <v>250</v>
      </c>
      <c r="J15" s="9" t="s">
        <v>6</v>
      </c>
      <c r="K15" s="9" t="s">
        <v>7</v>
      </c>
      <c r="L15" s="9" t="s">
        <v>8</v>
      </c>
      <c r="M15" s="9" t="s">
        <v>9</v>
      </c>
      <c r="N15" s="9" t="s">
        <v>10</v>
      </c>
      <c r="O15" s="9" t="s">
        <v>279</v>
      </c>
    </row>
    <row r="17" spans="2:15" ht="15" customHeight="1" x14ac:dyDescent="0.2">
      <c r="B17" s="89" t="s">
        <v>364</v>
      </c>
      <c r="E17" s="89" t="s">
        <v>28</v>
      </c>
      <c r="G17" s="94">
        <f>'WACC en CPI'!J18</f>
        <v>4.2999999999999997E-2</v>
      </c>
    </row>
    <row r="18" spans="2:15" ht="15" customHeight="1" x14ac:dyDescent="0.2">
      <c r="B18" s="89" t="s">
        <v>365</v>
      </c>
      <c r="E18" s="89" t="s">
        <v>28</v>
      </c>
      <c r="G18" s="94">
        <f>'WACC en CPI'!J19</f>
        <v>0.03</v>
      </c>
    </row>
    <row r="19" spans="2:15" ht="15" customHeight="1" x14ac:dyDescent="0.2">
      <c r="B19" s="89" t="s">
        <v>328</v>
      </c>
      <c r="E19" s="89" t="s">
        <v>28</v>
      </c>
      <c r="G19" s="94">
        <f>'WACC en CPI'!J15</f>
        <v>3.5999999999999997E-2</v>
      </c>
    </row>
    <row r="20" spans="2:15" ht="15" customHeight="1" x14ac:dyDescent="0.2">
      <c r="B20" s="89" t="s">
        <v>329</v>
      </c>
      <c r="E20" s="89" t="s">
        <v>28</v>
      </c>
      <c r="G20" s="94">
        <f>'WACC en CPI'!J16</f>
        <v>0.03</v>
      </c>
    </row>
    <row r="21" spans="2:15" x14ac:dyDescent="0.2">
      <c r="G21" s="101"/>
      <c r="H21" s="101"/>
      <c r="I21" s="101"/>
      <c r="J21" s="101"/>
    </row>
    <row r="22" spans="2:15" x14ac:dyDescent="0.2">
      <c r="B22" s="90" t="s">
        <v>351</v>
      </c>
    </row>
    <row r="23" spans="2:15" x14ac:dyDescent="0.2">
      <c r="B23" s="89" t="s">
        <v>352</v>
      </c>
      <c r="E23" s="89" t="s">
        <v>12</v>
      </c>
      <c r="G23" s="91">
        <f>SUM(H23:O23)</f>
        <v>911003856.12893999</v>
      </c>
      <c r="H23" s="95">
        <f>'X-factor + TI-bedragen'!L15</f>
        <v>17723082.789837968</v>
      </c>
      <c r="I23" s="95">
        <f>'X-factor + TI-bedragen'!M15</f>
        <v>24777181.70312003</v>
      </c>
      <c r="J23" s="95">
        <f>'X-factor + TI-bedragen'!N15</f>
        <v>287914634.38519901</v>
      </c>
      <c r="K23" s="95">
        <f>'X-factor + TI-bedragen'!O15</f>
        <v>311877814.82175028</v>
      </c>
      <c r="L23" s="95">
        <f>'X-factor + TI-bedragen'!P15</f>
        <v>13071032.810373761</v>
      </c>
      <c r="M23" s="95">
        <f>'X-factor + TI-bedragen'!Q15</f>
        <v>236186896.06516519</v>
      </c>
      <c r="N23" s="95">
        <f>'X-factor + TI-bedragen'!R15</f>
        <v>14366539.848999299</v>
      </c>
      <c r="O23" s="95">
        <f>'X-factor + TI-bedragen'!S15</f>
        <v>5086673.704494427</v>
      </c>
    </row>
    <row r="24" spans="2:15" x14ac:dyDescent="0.2">
      <c r="B24" s="89" t="s">
        <v>353</v>
      </c>
      <c r="E24" s="89" t="s">
        <v>28</v>
      </c>
      <c r="G24" s="96">
        <f>SUM(H24:O24)</f>
        <v>1</v>
      </c>
      <c r="H24" s="96">
        <f>H23/$G$23</f>
        <v>1.9454454194241643E-2</v>
      </c>
      <c r="I24" s="96">
        <f t="shared" ref="I24:O24" si="0">I23/$G$23</f>
        <v>2.7197669402195333E-2</v>
      </c>
      <c r="J24" s="96">
        <f t="shared" si="0"/>
        <v>0.31604107100996581</v>
      </c>
      <c r="K24" s="96">
        <f t="shared" si="0"/>
        <v>0.34234521920355987</v>
      </c>
      <c r="L24" s="96">
        <f t="shared" si="0"/>
        <v>1.434794454758459E-2</v>
      </c>
      <c r="M24" s="96">
        <f t="shared" si="0"/>
        <v>0.25926003987378976</v>
      </c>
      <c r="N24" s="96">
        <f t="shared" si="0"/>
        <v>1.5770009920754842E-2</v>
      </c>
      <c r="O24" s="96">
        <f t="shared" si="0"/>
        <v>5.5835918479081375E-3</v>
      </c>
    </row>
    <row r="26" spans="2:15" x14ac:dyDescent="0.2">
      <c r="B26" s="90" t="s">
        <v>27</v>
      </c>
      <c r="H26" s="97" t="s">
        <v>354</v>
      </c>
      <c r="I26" s="97" t="s">
        <v>355</v>
      </c>
      <c r="J26" s="97" t="s">
        <v>356</v>
      </c>
      <c r="K26" s="90"/>
    </row>
    <row r="27" spans="2:15" x14ac:dyDescent="0.2">
      <c r="B27" s="89" t="s">
        <v>357</v>
      </c>
      <c r="E27" s="89" t="s">
        <v>28</v>
      </c>
      <c r="H27" s="98">
        <f>Productiviteitsverandering!J48</f>
        <v>-2.6459138527593851E-2</v>
      </c>
      <c r="I27" s="98">
        <f>Productiviteitsverandering!J49</f>
        <v>-5.8304049177015926E-4</v>
      </c>
      <c r="J27" s="98">
        <f>Productiviteitsverandering!J50</f>
        <v>-2.283102630370637E-2</v>
      </c>
      <c r="K27" s="90"/>
      <c r="O27" s="104"/>
    </row>
    <row r="28" spans="2:15" x14ac:dyDescent="0.2">
      <c r="B28" s="89" t="s">
        <v>128</v>
      </c>
      <c r="E28" s="89" t="s">
        <v>28</v>
      </c>
      <c r="G28" s="99">
        <f>Productiviteitsverandering!L52</f>
        <v>3.3007719701627636E-4</v>
      </c>
    </row>
    <row r="30" spans="2:15" s="9" customFormat="1" x14ac:dyDescent="0.2">
      <c r="B30" s="9" t="s">
        <v>369</v>
      </c>
    </row>
    <row r="32" spans="2:15" x14ac:dyDescent="0.2">
      <c r="B32" s="89" t="s">
        <v>370</v>
      </c>
      <c r="E32" s="89" t="s">
        <v>2</v>
      </c>
      <c r="G32" s="92">
        <f>'Berekening extra KK AD'!M85</f>
        <v>9321133.4366388079</v>
      </c>
    </row>
    <row r="33" spans="2:7" x14ac:dyDescent="0.2">
      <c r="B33" s="89" t="s">
        <v>371</v>
      </c>
      <c r="E33" s="89" t="s">
        <v>70</v>
      </c>
      <c r="G33" s="92">
        <f>'Berekening extra KK AD'!R85</f>
        <v>32540805.961958211</v>
      </c>
    </row>
  </sheetData>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
  <sheetViews>
    <sheetView showGridLines="0" workbookViewId="0"/>
  </sheetViews>
  <sheetFormatPr defaultRowHeight="14.25" x14ac:dyDescent="0.2"/>
  <cols>
    <col min="1" max="16384" width="9.140625" style="119"/>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tabColor rgb="FFCCFFCC"/>
    <pageSetUpPr fitToPage="1"/>
  </sheetPr>
  <dimension ref="B1:V132"/>
  <sheetViews>
    <sheetView showGridLines="0" zoomScale="85" zoomScaleNormal="85" workbookViewId="0">
      <pane xSplit="6" ySplit="9" topLeftCell="G10" activePane="bottomRight" state="frozen"/>
      <selection activeCell="A7" sqref="A7:XFD7"/>
      <selection pane="topRight" activeCell="A7" sqref="A7:XFD7"/>
      <selection pane="bottomLeft" activeCell="A7" sqref="A7:XFD7"/>
      <selection pane="bottomRight"/>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2:19" x14ac:dyDescent="0.2">
      <c r="B1" s="2" t="s">
        <v>389</v>
      </c>
    </row>
    <row r="2" spans="2:19" ht="15" x14ac:dyDescent="0.25">
      <c r="B2"/>
      <c r="C2"/>
      <c r="D2"/>
      <c r="E2"/>
    </row>
    <row r="3" spans="2:19" s="14" customFormat="1" ht="18" customHeight="1" x14ac:dyDescent="0.25">
      <c r="B3" s="13" t="s">
        <v>154</v>
      </c>
      <c r="C3" s="13"/>
      <c r="D3" s="13"/>
      <c r="E3" s="13"/>
    </row>
    <row r="5" spans="2:19" x14ac:dyDescent="0.2">
      <c r="B5" s="2" t="s">
        <v>373</v>
      </c>
    </row>
    <row r="6" spans="2:19" x14ac:dyDescent="0.2">
      <c r="B6" s="2" t="s">
        <v>325</v>
      </c>
    </row>
    <row r="9" spans="2:19" s="9" customFormat="1" x14ac:dyDescent="0.2">
      <c r="D9" s="9" t="s">
        <v>39</v>
      </c>
      <c r="H9" s="9" t="s">
        <v>1</v>
      </c>
      <c r="J9" s="9" t="s">
        <v>11</v>
      </c>
      <c r="L9" s="9" t="s">
        <v>5</v>
      </c>
      <c r="M9" s="9" t="s">
        <v>250</v>
      </c>
      <c r="N9" s="9" t="s">
        <v>6</v>
      </c>
      <c r="O9" s="9" t="s">
        <v>7</v>
      </c>
      <c r="P9" s="9" t="s">
        <v>8</v>
      </c>
      <c r="Q9" s="9" t="s">
        <v>9</v>
      </c>
      <c r="R9" s="9" t="s">
        <v>10</v>
      </c>
      <c r="S9" s="9" t="s">
        <v>279</v>
      </c>
    </row>
    <row r="12" spans="2:19" s="9" customFormat="1" x14ac:dyDescent="0.2">
      <c r="B12" s="9" t="s">
        <v>165</v>
      </c>
    </row>
    <row r="14" spans="2:19" x14ac:dyDescent="0.2">
      <c r="B14" s="4" t="s">
        <v>303</v>
      </c>
    </row>
    <row r="15" spans="2:19" x14ac:dyDescent="0.2">
      <c r="B15" s="4"/>
    </row>
    <row r="16" spans="2:19" x14ac:dyDescent="0.2">
      <c r="B16" s="4" t="s">
        <v>308</v>
      </c>
    </row>
    <row r="17" spans="2:22" x14ac:dyDescent="0.2">
      <c r="B17" s="2" t="s">
        <v>105</v>
      </c>
      <c r="D17" s="2" t="s">
        <v>153</v>
      </c>
      <c r="H17" s="2" t="s">
        <v>58</v>
      </c>
      <c r="J17" s="46">
        <f>SUM(L17:R17)</f>
        <v>268724360.90946633</v>
      </c>
      <c r="K17" s="20"/>
      <c r="L17" s="57">
        <v>7177812.75</v>
      </c>
      <c r="M17" s="57">
        <v>9638182.3244357966</v>
      </c>
      <c r="N17" s="57">
        <v>87498682.30816099</v>
      </c>
      <c r="O17" s="57">
        <v>87440494.879724249</v>
      </c>
      <c r="P17" s="57">
        <v>3017740.3608197868</v>
      </c>
      <c r="Q17" s="57">
        <v>67556673.389919475</v>
      </c>
      <c r="R17" s="57">
        <v>6394774.8964060033</v>
      </c>
      <c r="S17" s="56"/>
      <c r="V17" s="2" t="s">
        <v>332</v>
      </c>
    </row>
    <row r="18" spans="2:22" x14ac:dyDescent="0.2">
      <c r="B18" s="2" t="s">
        <v>152</v>
      </c>
      <c r="D18" s="20" t="s">
        <v>300</v>
      </c>
      <c r="H18" s="2" t="s">
        <v>58</v>
      </c>
      <c r="J18" s="46">
        <f>SUM(L18:R18)</f>
        <v>582917325.63469565</v>
      </c>
      <c r="K18" s="20"/>
      <c r="L18" s="57">
        <v>9407628.2937357947</v>
      </c>
      <c r="M18" s="57">
        <v>11956162.084908647</v>
      </c>
      <c r="N18" s="57">
        <v>167986058.44874996</v>
      </c>
      <c r="O18" s="57">
        <v>202984957.25112158</v>
      </c>
      <c r="P18" s="57">
        <v>16516216.661853325</v>
      </c>
      <c r="Q18" s="57">
        <v>159817181.60448435</v>
      </c>
      <c r="R18" s="57">
        <v>14249121.289841954</v>
      </c>
      <c r="S18" s="56"/>
    </row>
    <row r="19" spans="2:22" x14ac:dyDescent="0.2">
      <c r="J19" s="59"/>
      <c r="K19" s="20"/>
      <c r="L19" s="20"/>
      <c r="M19" s="20"/>
      <c r="N19" s="20"/>
      <c r="O19" s="20"/>
      <c r="P19" s="20"/>
      <c r="Q19" s="20"/>
      <c r="R19" s="20"/>
    </row>
    <row r="20" spans="2:22" x14ac:dyDescent="0.2">
      <c r="B20" s="2" t="s">
        <v>244</v>
      </c>
      <c r="H20" s="2" t="s">
        <v>58</v>
      </c>
      <c r="J20" s="57">
        <v>15958321.153561722</v>
      </c>
      <c r="K20" s="20"/>
      <c r="L20" s="20"/>
      <c r="M20" s="20"/>
      <c r="N20" s="20"/>
      <c r="O20" s="20"/>
      <c r="P20" s="20"/>
      <c r="Q20" s="20"/>
      <c r="R20" s="20"/>
    </row>
    <row r="21" spans="2:22" x14ac:dyDescent="0.2">
      <c r="J21" s="20"/>
      <c r="K21" s="20"/>
      <c r="L21" s="20"/>
      <c r="M21" s="20"/>
      <c r="N21" s="20"/>
      <c r="O21" s="20"/>
      <c r="P21" s="20"/>
      <c r="Q21" s="20"/>
      <c r="R21" s="20"/>
    </row>
    <row r="22" spans="2:22" x14ac:dyDescent="0.2">
      <c r="J22" s="20"/>
      <c r="K22" s="20"/>
      <c r="L22" s="20"/>
      <c r="M22" s="20"/>
      <c r="N22" s="20"/>
      <c r="O22" s="20"/>
      <c r="P22" s="20"/>
      <c r="Q22" s="20"/>
      <c r="R22" s="20"/>
    </row>
    <row r="23" spans="2:22" x14ac:dyDescent="0.2">
      <c r="B23" s="4" t="s">
        <v>304</v>
      </c>
      <c r="J23" s="20"/>
      <c r="K23" s="20"/>
      <c r="L23" s="20"/>
      <c r="M23" s="20"/>
      <c r="N23" s="20"/>
      <c r="O23" s="20"/>
      <c r="P23" s="20"/>
      <c r="Q23" s="20"/>
      <c r="R23" s="20"/>
    </row>
    <row r="24" spans="2:22" x14ac:dyDescent="0.2">
      <c r="B24" s="4"/>
      <c r="J24" s="20"/>
      <c r="K24" s="20"/>
      <c r="L24" s="20"/>
      <c r="M24" s="20"/>
      <c r="N24" s="20"/>
      <c r="O24" s="20"/>
      <c r="P24" s="20"/>
      <c r="Q24" s="20"/>
      <c r="R24" s="20"/>
    </row>
    <row r="25" spans="2:22" x14ac:dyDescent="0.2">
      <c r="B25" s="4" t="s">
        <v>307</v>
      </c>
      <c r="J25" s="20"/>
      <c r="K25" s="20"/>
      <c r="L25" s="20"/>
      <c r="M25" s="20"/>
      <c r="N25" s="20"/>
      <c r="O25" s="20"/>
      <c r="P25" s="20"/>
      <c r="Q25" s="20"/>
      <c r="R25" s="20"/>
    </row>
    <row r="26" spans="2:22" x14ac:dyDescent="0.2">
      <c r="B26" s="2" t="s">
        <v>40</v>
      </c>
      <c r="D26" s="2" t="s">
        <v>153</v>
      </c>
      <c r="H26" s="2" t="s">
        <v>31</v>
      </c>
      <c r="J26" s="46">
        <f>SUM(L26:R26)</f>
        <v>285157471.99865031</v>
      </c>
      <c r="K26" s="20"/>
      <c r="L26" s="57">
        <v>7451575.1912717912</v>
      </c>
      <c r="M26" s="57">
        <v>9525244.844766533</v>
      </c>
      <c r="N26" s="57">
        <v>88572335.242045164</v>
      </c>
      <c r="O26" s="57">
        <v>100990561.58957168</v>
      </c>
      <c r="P26" s="57">
        <v>2831660.4499999997</v>
      </c>
      <c r="Q26" s="57">
        <v>70693470.9075948</v>
      </c>
      <c r="R26" s="57">
        <v>5092623.773400344</v>
      </c>
      <c r="S26" s="56"/>
      <c r="V26" s="2" t="s">
        <v>332</v>
      </c>
    </row>
    <row r="27" spans="2:22" x14ac:dyDescent="0.2">
      <c r="B27" s="2" t="s">
        <v>131</v>
      </c>
      <c r="D27" s="20" t="s">
        <v>94</v>
      </c>
      <c r="H27" s="2" t="s">
        <v>31</v>
      </c>
      <c r="J27" s="46">
        <f>SUM(L27:R27)</f>
        <v>34563433.392791204</v>
      </c>
      <c r="K27" s="20"/>
      <c r="L27" s="57">
        <v>210.91139999999763</v>
      </c>
      <c r="M27" s="57">
        <v>451449</v>
      </c>
      <c r="N27" s="57">
        <v>1967702.6566543626</v>
      </c>
      <c r="O27" s="57">
        <v>17769008.27</v>
      </c>
      <c r="P27" s="57">
        <v>2147127.5547368433</v>
      </c>
      <c r="Q27" s="57">
        <v>12227935</v>
      </c>
      <c r="R27" s="57">
        <v>0</v>
      </c>
      <c r="S27" s="56"/>
    </row>
    <row r="28" spans="2:22" x14ac:dyDescent="0.2">
      <c r="B28" s="2" t="s">
        <v>131</v>
      </c>
      <c r="D28" s="20" t="s">
        <v>104</v>
      </c>
      <c r="H28" s="2" t="s">
        <v>31</v>
      </c>
      <c r="J28" s="46">
        <f>SUM(L28:R28)</f>
        <v>34354190.774288967</v>
      </c>
      <c r="K28" s="20"/>
      <c r="L28" s="57">
        <v>210.91139999999834</v>
      </c>
      <c r="M28" s="57">
        <v>451449</v>
      </c>
      <c r="N28" s="57">
        <v>1868150.9927676748</v>
      </c>
      <c r="O28" s="57">
        <v>17769008.27</v>
      </c>
      <c r="P28" s="57">
        <v>2037436.6001212921</v>
      </c>
      <c r="Q28" s="57">
        <v>12227935</v>
      </c>
      <c r="R28" s="57">
        <v>0</v>
      </c>
      <c r="S28" s="56"/>
    </row>
    <row r="29" spans="2:22" x14ac:dyDescent="0.2">
      <c r="J29" s="59"/>
      <c r="K29" s="20"/>
      <c r="L29" s="20"/>
      <c r="M29" s="20"/>
      <c r="N29" s="20"/>
      <c r="O29" s="20"/>
      <c r="P29" s="20"/>
      <c r="Q29" s="20"/>
      <c r="R29" s="20"/>
    </row>
    <row r="30" spans="2:22" x14ac:dyDescent="0.2">
      <c r="B30" s="2" t="s">
        <v>136</v>
      </c>
      <c r="D30" s="20" t="s">
        <v>94</v>
      </c>
      <c r="H30" s="2" t="s">
        <v>31</v>
      </c>
      <c r="J30" s="46">
        <f>SUM(L30:R30)</f>
        <v>493875762.67241722</v>
      </c>
      <c r="K30" s="20"/>
      <c r="L30" s="60">
        <v>7999423.3878301848</v>
      </c>
      <c r="M30" s="60">
        <v>10035658.642915962</v>
      </c>
      <c r="N30" s="60">
        <v>145953983.48611182</v>
      </c>
      <c r="O30" s="60">
        <v>169354431.38977227</v>
      </c>
      <c r="P30" s="60">
        <v>13578115.185476676</v>
      </c>
      <c r="Q30" s="60">
        <v>134953468.69069794</v>
      </c>
      <c r="R30" s="60">
        <v>12000681.889612377</v>
      </c>
      <c r="S30" s="56"/>
    </row>
    <row r="31" spans="2:22" x14ac:dyDescent="0.2">
      <c r="B31" s="2" t="s">
        <v>136</v>
      </c>
      <c r="D31" s="20" t="s">
        <v>104</v>
      </c>
      <c r="H31" s="2" t="s">
        <v>31</v>
      </c>
      <c r="J31" s="46">
        <f>SUM(L31:R31)</f>
        <v>417038102.91135931</v>
      </c>
      <c r="K31" s="20"/>
      <c r="L31" s="60">
        <v>6770386.5543276174</v>
      </c>
      <c r="M31" s="60">
        <v>8514848.3295387104</v>
      </c>
      <c r="N31" s="60">
        <v>124147206.830154</v>
      </c>
      <c r="O31" s="60">
        <v>141768916.30623418</v>
      </c>
      <c r="P31" s="60">
        <v>11601082.856485359</v>
      </c>
      <c r="Q31" s="60">
        <v>113857226.20206083</v>
      </c>
      <c r="R31" s="60">
        <v>10378435.832558611</v>
      </c>
      <c r="S31" s="56"/>
    </row>
    <row r="33" spans="2:22" x14ac:dyDescent="0.2">
      <c r="B33" s="2" t="s">
        <v>244</v>
      </c>
      <c r="H33" s="2" t="s">
        <v>31</v>
      </c>
      <c r="J33" s="57">
        <v>14691042.110954463</v>
      </c>
      <c r="K33" s="20"/>
      <c r="L33" s="20"/>
      <c r="M33" s="20"/>
      <c r="N33" s="20"/>
      <c r="O33" s="20"/>
      <c r="P33" s="20"/>
      <c r="Q33" s="20"/>
      <c r="R33" s="20"/>
    </row>
    <row r="34" spans="2:22" x14ac:dyDescent="0.2">
      <c r="J34" s="20"/>
      <c r="K34" s="20"/>
      <c r="L34" s="20"/>
      <c r="M34" s="20"/>
      <c r="N34" s="20"/>
      <c r="O34" s="20"/>
      <c r="P34" s="20"/>
      <c r="Q34" s="20"/>
      <c r="R34" s="20"/>
    </row>
    <row r="35" spans="2:22" x14ac:dyDescent="0.2">
      <c r="B35" s="4" t="s">
        <v>308</v>
      </c>
      <c r="J35" s="20"/>
      <c r="K35" s="20"/>
      <c r="L35" s="20"/>
      <c r="M35" s="20"/>
      <c r="N35" s="20"/>
      <c r="O35" s="20"/>
      <c r="P35" s="20"/>
      <c r="Q35" s="20"/>
      <c r="R35" s="20"/>
    </row>
    <row r="36" spans="2:22" x14ac:dyDescent="0.2">
      <c r="B36" s="2" t="s">
        <v>136</v>
      </c>
      <c r="D36" s="20" t="s">
        <v>300</v>
      </c>
      <c r="H36" s="2" t="s">
        <v>31</v>
      </c>
      <c r="J36" s="46">
        <f>SUM(L36:R36)</f>
        <v>606176957.70780957</v>
      </c>
      <c r="K36" s="20"/>
      <c r="L36" s="60">
        <v>9795707.9906416293</v>
      </c>
      <c r="M36" s="60">
        <v>12258381.408621177</v>
      </c>
      <c r="N36" s="60">
        <v>177825426.29097328</v>
      </c>
      <c r="O36" s="60">
        <v>209671722.66571254</v>
      </c>
      <c r="P36" s="60">
        <v>16467623.974002443</v>
      </c>
      <c r="Q36" s="60">
        <v>165786438.48178291</v>
      </c>
      <c r="R36" s="60">
        <v>14371656.896075575</v>
      </c>
      <c r="S36" s="56"/>
    </row>
    <row r="37" spans="2:22" x14ac:dyDescent="0.2">
      <c r="B37" s="2" t="s">
        <v>136</v>
      </c>
      <c r="D37" s="20" t="s">
        <v>301</v>
      </c>
      <c r="H37" s="2" t="s">
        <v>31</v>
      </c>
      <c r="J37" s="46">
        <f>SUM(L37:R37)</f>
        <v>529339297.94675165</v>
      </c>
      <c r="K37" s="20"/>
      <c r="L37" s="60">
        <v>8566671.1571390629</v>
      </c>
      <c r="M37" s="60">
        <v>10737571.095243925</v>
      </c>
      <c r="N37" s="60">
        <v>156018649.63501543</v>
      </c>
      <c r="O37" s="60">
        <v>182086207.58217448</v>
      </c>
      <c r="P37" s="60">
        <v>14490591.645011129</v>
      </c>
      <c r="Q37" s="60">
        <v>144690195.99314582</v>
      </c>
      <c r="R37" s="60">
        <v>12749410.839021809</v>
      </c>
      <c r="S37" s="56"/>
    </row>
    <row r="38" spans="2:22" x14ac:dyDescent="0.2">
      <c r="J38" s="20"/>
      <c r="K38" s="20"/>
      <c r="L38" s="20"/>
      <c r="M38" s="20"/>
      <c r="N38" s="20"/>
      <c r="O38" s="20"/>
      <c r="P38" s="20"/>
      <c r="Q38" s="20"/>
      <c r="R38" s="20"/>
    </row>
    <row r="39" spans="2:22" x14ac:dyDescent="0.2">
      <c r="J39" s="20"/>
      <c r="K39" s="20"/>
      <c r="L39" s="20"/>
      <c r="M39" s="20"/>
      <c r="N39" s="20"/>
      <c r="O39" s="20"/>
      <c r="P39" s="20"/>
      <c r="Q39" s="20"/>
      <c r="R39" s="20"/>
    </row>
    <row r="40" spans="2:22" x14ac:dyDescent="0.2">
      <c r="B40" s="4" t="s">
        <v>306</v>
      </c>
      <c r="J40" s="20"/>
      <c r="K40" s="20"/>
      <c r="L40" s="20"/>
      <c r="M40" s="20"/>
      <c r="N40" s="20"/>
      <c r="O40" s="20"/>
      <c r="P40" s="20"/>
      <c r="Q40" s="20"/>
      <c r="R40" s="20"/>
    </row>
    <row r="41" spans="2:22" x14ac:dyDescent="0.2">
      <c r="B41" s="4"/>
      <c r="J41" s="20"/>
      <c r="K41" s="20"/>
      <c r="L41" s="20"/>
      <c r="M41" s="20"/>
      <c r="N41" s="20"/>
      <c r="O41" s="20"/>
      <c r="P41" s="20"/>
      <c r="Q41" s="20"/>
      <c r="R41" s="20"/>
    </row>
    <row r="42" spans="2:22" x14ac:dyDescent="0.2">
      <c r="B42" s="4" t="s">
        <v>307</v>
      </c>
      <c r="J42" s="20"/>
      <c r="K42" s="20"/>
      <c r="L42" s="20"/>
      <c r="M42" s="20"/>
      <c r="N42" s="20"/>
      <c r="O42" s="20"/>
      <c r="P42" s="20"/>
      <c r="Q42" s="20"/>
      <c r="R42" s="20"/>
    </row>
    <row r="43" spans="2:22" x14ac:dyDescent="0.2">
      <c r="B43" s="2" t="s">
        <v>44</v>
      </c>
      <c r="D43" s="2" t="s">
        <v>153</v>
      </c>
      <c r="H43" s="2" t="s">
        <v>32</v>
      </c>
      <c r="J43" s="46">
        <f>SUM(L43:R43)</f>
        <v>267212784.69115961</v>
      </c>
      <c r="K43" s="20"/>
      <c r="L43" s="57">
        <v>6935909.1934935842</v>
      </c>
      <c r="M43" s="57">
        <v>8998793.8805555701</v>
      </c>
      <c r="N43" s="57">
        <v>83845995.882136196</v>
      </c>
      <c r="O43" s="57">
        <v>96477859.267688885</v>
      </c>
      <c r="P43" s="57">
        <v>3120993.8699999996</v>
      </c>
      <c r="Q43" s="57">
        <v>62419817.082348645</v>
      </c>
      <c r="R43" s="57">
        <v>5413415.5149367191</v>
      </c>
      <c r="S43" s="56"/>
      <c r="V43" s="2" t="s">
        <v>332</v>
      </c>
    </row>
    <row r="44" spans="2:22" x14ac:dyDescent="0.2">
      <c r="B44" s="2" t="s">
        <v>132</v>
      </c>
      <c r="D44" s="20" t="s">
        <v>94</v>
      </c>
      <c r="H44" s="2" t="s">
        <v>32</v>
      </c>
      <c r="J44" s="46">
        <f>SUM(L44:R44)</f>
        <v>42577821.933854073</v>
      </c>
      <c r="K44" s="20"/>
      <c r="L44" s="57">
        <v>219.67049999999759</v>
      </c>
      <c r="M44" s="57">
        <v>426541</v>
      </c>
      <c r="N44" s="57">
        <v>1992402.1398757652</v>
      </c>
      <c r="O44" s="57">
        <v>24827387.039999999</v>
      </c>
      <c r="P44" s="57">
        <v>2130789.4934783084</v>
      </c>
      <c r="Q44" s="57">
        <v>13198864</v>
      </c>
      <c r="R44" s="57">
        <v>1618.59</v>
      </c>
      <c r="S44" s="56"/>
    </row>
    <row r="45" spans="2:22" x14ac:dyDescent="0.2">
      <c r="B45" s="2" t="s">
        <v>132</v>
      </c>
      <c r="D45" s="20" t="s">
        <v>104</v>
      </c>
      <c r="H45" s="2" t="s">
        <v>32</v>
      </c>
      <c r="J45" s="46">
        <f>SUM(L45:R45)</f>
        <v>42396643.994577795</v>
      </c>
      <c r="K45" s="20"/>
      <c r="L45" s="57">
        <v>219.67049999999833</v>
      </c>
      <c r="M45" s="57">
        <v>426541</v>
      </c>
      <c r="N45" s="57">
        <v>1901434.0416753078</v>
      </c>
      <c r="O45" s="57">
        <v>24827387.039999999</v>
      </c>
      <c r="P45" s="57">
        <v>2040579.652402479</v>
      </c>
      <c r="Q45" s="57">
        <v>13198864</v>
      </c>
      <c r="R45" s="57">
        <v>1618.59</v>
      </c>
      <c r="S45" s="56"/>
    </row>
    <row r="46" spans="2:22" x14ac:dyDescent="0.2">
      <c r="J46" s="59"/>
      <c r="K46" s="20"/>
      <c r="L46" s="20"/>
      <c r="M46" s="20"/>
      <c r="N46" s="20"/>
      <c r="O46" s="20"/>
      <c r="P46" s="20"/>
      <c r="Q46" s="20"/>
      <c r="R46" s="20"/>
    </row>
    <row r="47" spans="2:22" x14ac:dyDescent="0.2">
      <c r="B47" s="2" t="s">
        <v>135</v>
      </c>
      <c r="D47" s="20" t="s">
        <v>94</v>
      </c>
      <c r="H47" s="2" t="s">
        <v>32</v>
      </c>
      <c r="J47" s="46">
        <f>SUM(L47:R47)</f>
        <v>515054270.62912261</v>
      </c>
      <c r="K47" s="20"/>
      <c r="L47" s="60">
        <v>8257095.2500093114</v>
      </c>
      <c r="M47" s="60">
        <v>10437186.239542939</v>
      </c>
      <c r="N47" s="60">
        <v>154102046.79338378</v>
      </c>
      <c r="O47" s="60">
        <v>175219282.1897963</v>
      </c>
      <c r="P47" s="60">
        <v>13600189.277826669</v>
      </c>
      <c r="Q47" s="60">
        <v>141050864.08941066</v>
      </c>
      <c r="R47" s="60">
        <v>12387606.789152969</v>
      </c>
      <c r="S47" s="56"/>
    </row>
    <row r="48" spans="2:22" x14ac:dyDescent="0.2">
      <c r="B48" s="2" t="s">
        <v>135</v>
      </c>
      <c r="D48" s="20" t="s">
        <v>104</v>
      </c>
      <c r="H48" s="2" t="s">
        <v>32</v>
      </c>
      <c r="J48" s="46">
        <f>SUM(L48:R48)</f>
        <v>435899635.51916558</v>
      </c>
      <c r="K48" s="20"/>
      <c r="L48" s="60">
        <v>7010036.4861216238</v>
      </c>
      <c r="M48" s="60">
        <v>8879682.8633755948</v>
      </c>
      <c r="N48" s="60">
        <v>131316172.34463736</v>
      </c>
      <c r="O48" s="60">
        <v>147038588.98556682</v>
      </c>
      <c r="P48" s="60">
        <v>11632146.724093284</v>
      </c>
      <c r="Q48" s="60">
        <v>119277473.0459336</v>
      </c>
      <c r="R48" s="60">
        <v>10745535.06943729</v>
      </c>
      <c r="S48" s="56"/>
    </row>
    <row r="50" spans="2:22" x14ac:dyDescent="0.2">
      <c r="B50" s="2" t="s">
        <v>244</v>
      </c>
      <c r="H50" s="2" t="s">
        <v>32</v>
      </c>
      <c r="J50" s="57">
        <v>2002544</v>
      </c>
      <c r="K50" s="20"/>
      <c r="L50" s="20"/>
      <c r="M50" s="20"/>
      <c r="N50" s="20"/>
      <c r="O50" s="20"/>
      <c r="P50" s="20"/>
      <c r="Q50" s="20"/>
      <c r="R50" s="20"/>
    </row>
    <row r="51" spans="2:22" x14ac:dyDescent="0.2">
      <c r="J51" s="20"/>
      <c r="K51" s="20"/>
      <c r="L51" s="20"/>
      <c r="M51" s="20"/>
      <c r="N51" s="20"/>
      <c r="O51" s="20"/>
      <c r="P51" s="20"/>
      <c r="Q51" s="20"/>
      <c r="R51" s="20"/>
    </row>
    <row r="52" spans="2:22" x14ac:dyDescent="0.2">
      <c r="B52" s="4" t="s">
        <v>308</v>
      </c>
      <c r="J52" s="20"/>
      <c r="K52" s="20"/>
      <c r="L52" s="20"/>
      <c r="M52" s="20"/>
      <c r="N52" s="20"/>
      <c r="O52" s="20"/>
      <c r="P52" s="20"/>
      <c r="Q52" s="20"/>
      <c r="R52" s="20"/>
    </row>
    <row r="53" spans="2:22" x14ac:dyDescent="0.2">
      <c r="B53" s="2" t="s">
        <v>135</v>
      </c>
      <c r="D53" s="20" t="s">
        <v>301</v>
      </c>
      <c r="H53" s="2" t="s">
        <v>32</v>
      </c>
      <c r="J53" s="46">
        <f>SUM(L53:R53)</f>
        <v>551587179.14141059</v>
      </c>
      <c r="K53" s="20"/>
      <c r="L53" s="60">
        <v>8832660.8333420921</v>
      </c>
      <c r="M53" s="60">
        <v>11156033.951620176</v>
      </c>
      <c r="N53" s="60">
        <v>164618604.23126674</v>
      </c>
      <c r="O53" s="60">
        <v>188225755.97636378</v>
      </c>
      <c r="P53" s="60">
        <v>14508516.610319</v>
      </c>
      <c r="Q53" s="60">
        <v>151100121.49409238</v>
      </c>
      <c r="R53" s="60">
        <v>13145486.044406362</v>
      </c>
      <c r="S53" s="56"/>
    </row>
    <row r="54" spans="2:22" x14ac:dyDescent="0.2">
      <c r="B54" s="2" t="s">
        <v>135</v>
      </c>
      <c r="D54" s="20" t="s">
        <v>302</v>
      </c>
      <c r="H54" s="2" t="s">
        <v>32</v>
      </c>
      <c r="J54" s="46">
        <f>SUM(L54:R54)</f>
        <v>472432544.03145349</v>
      </c>
      <c r="K54" s="20"/>
      <c r="L54" s="60">
        <v>7585602.0694544036</v>
      </c>
      <c r="M54" s="60">
        <v>9598530.5754528306</v>
      </c>
      <c r="N54" s="60">
        <v>141832729.78252032</v>
      </c>
      <c r="O54" s="60">
        <v>160045062.77213427</v>
      </c>
      <c r="P54" s="60">
        <v>12540474.056585616</v>
      </c>
      <c r="Q54" s="60">
        <v>129326730.45061532</v>
      </c>
      <c r="R54" s="60">
        <v>11503414.324690681</v>
      </c>
      <c r="S54" s="56"/>
    </row>
    <row r="55" spans="2:22" x14ac:dyDescent="0.2">
      <c r="J55" s="20"/>
      <c r="K55" s="20"/>
      <c r="L55" s="20"/>
      <c r="M55" s="20"/>
      <c r="N55" s="20"/>
      <c r="O55" s="20"/>
      <c r="P55" s="20"/>
      <c r="Q55" s="20"/>
      <c r="R55" s="20"/>
    </row>
    <row r="56" spans="2:22" x14ac:dyDescent="0.2">
      <c r="B56" s="4"/>
      <c r="J56" s="20"/>
      <c r="K56" s="20"/>
      <c r="L56" s="20"/>
      <c r="M56" s="20"/>
      <c r="N56" s="20"/>
      <c r="O56" s="20"/>
      <c r="P56" s="20"/>
      <c r="Q56" s="20"/>
      <c r="R56" s="20"/>
    </row>
    <row r="57" spans="2:22" x14ac:dyDescent="0.2">
      <c r="B57" s="4" t="s">
        <v>305</v>
      </c>
      <c r="J57" s="20"/>
      <c r="K57" s="20"/>
      <c r="L57" s="20"/>
      <c r="M57" s="20"/>
      <c r="N57" s="20"/>
      <c r="O57" s="20"/>
      <c r="P57" s="20"/>
      <c r="Q57" s="20"/>
      <c r="R57" s="20"/>
    </row>
    <row r="58" spans="2:22" x14ac:dyDescent="0.2">
      <c r="B58" s="4"/>
      <c r="J58" s="20"/>
      <c r="K58" s="20"/>
      <c r="L58" s="20"/>
      <c r="M58" s="20"/>
      <c r="N58" s="20"/>
      <c r="O58" s="20"/>
      <c r="P58" s="20"/>
      <c r="Q58" s="20"/>
      <c r="R58" s="20"/>
    </row>
    <row r="59" spans="2:22" x14ac:dyDescent="0.2">
      <c r="B59" s="4" t="s">
        <v>307</v>
      </c>
      <c r="J59" s="20"/>
      <c r="K59" s="20"/>
      <c r="L59" s="20"/>
      <c r="M59" s="20"/>
      <c r="N59" s="20"/>
      <c r="O59" s="20"/>
      <c r="P59" s="20"/>
      <c r="Q59" s="20"/>
      <c r="R59" s="20"/>
    </row>
    <row r="60" spans="2:22" x14ac:dyDescent="0.2">
      <c r="B60" s="2" t="s">
        <v>42</v>
      </c>
      <c r="D60" s="2" t="s">
        <v>153</v>
      </c>
      <c r="H60" s="2" t="s">
        <v>33</v>
      </c>
      <c r="J60" s="46">
        <f>SUM(L60:R60)</f>
        <v>278448677.14132053</v>
      </c>
      <c r="K60" s="20"/>
      <c r="L60" s="57">
        <v>6176784.590973869</v>
      </c>
      <c r="M60" s="57">
        <v>8879920.9694585036</v>
      </c>
      <c r="N60" s="57">
        <v>90155912.919131845</v>
      </c>
      <c r="O60" s="57">
        <v>100693952.63604388</v>
      </c>
      <c r="P60" s="57">
        <v>2600002.6199999996</v>
      </c>
      <c r="Q60" s="57">
        <v>64267064.506774545</v>
      </c>
      <c r="R60" s="57">
        <v>5675038.8989379015</v>
      </c>
      <c r="S60" s="56"/>
      <c r="V60" s="2" t="s">
        <v>332</v>
      </c>
    </row>
    <row r="61" spans="2:22" x14ac:dyDescent="0.2">
      <c r="B61" s="2" t="s">
        <v>133</v>
      </c>
      <c r="D61" s="20" t="s">
        <v>94</v>
      </c>
      <c r="H61" s="2" t="s">
        <v>33</v>
      </c>
      <c r="J61" s="46">
        <f>SUM(L61:R61)</f>
        <v>48925050.886030965</v>
      </c>
      <c r="K61" s="20"/>
      <c r="L61" s="57">
        <v>935.72972972972741</v>
      </c>
      <c r="M61" s="57">
        <v>441340</v>
      </c>
      <c r="N61" s="57">
        <v>2080696.7167516127</v>
      </c>
      <c r="O61" s="57">
        <v>30543455.629999999</v>
      </c>
      <c r="P61" s="57">
        <v>2075576.9384684132</v>
      </c>
      <c r="Q61" s="57">
        <v>13776110.821081214</v>
      </c>
      <c r="R61" s="57">
        <v>6935.05</v>
      </c>
      <c r="S61" s="56"/>
    </row>
    <row r="62" spans="2:22" x14ac:dyDescent="0.2">
      <c r="B62" s="2" t="s">
        <v>133</v>
      </c>
      <c r="D62" s="20" t="s">
        <v>104</v>
      </c>
      <c r="H62" s="2" t="s">
        <v>33</v>
      </c>
      <c r="J62" s="46">
        <f>SUM(L62:R62)</f>
        <v>48776323.874631368</v>
      </c>
      <c r="K62" s="20"/>
      <c r="L62" s="57">
        <v>935.72972972972809</v>
      </c>
      <c r="M62" s="57">
        <v>441340</v>
      </c>
      <c r="N62" s="57">
        <v>2000303.6599669582</v>
      </c>
      <c r="O62" s="57">
        <v>30543455.629999999</v>
      </c>
      <c r="P62" s="57">
        <v>2007242.9838534724</v>
      </c>
      <c r="Q62" s="57">
        <v>13776110.821081214</v>
      </c>
      <c r="R62" s="57">
        <v>6935.05</v>
      </c>
      <c r="S62" s="56"/>
    </row>
    <row r="63" spans="2:22" x14ac:dyDescent="0.2">
      <c r="J63" s="59"/>
      <c r="K63" s="20"/>
      <c r="L63" s="20"/>
      <c r="M63" s="20"/>
      <c r="N63" s="20"/>
      <c r="O63" s="20"/>
      <c r="P63" s="20"/>
      <c r="Q63" s="20"/>
      <c r="R63" s="20"/>
    </row>
    <row r="64" spans="2:22" x14ac:dyDescent="0.2">
      <c r="B64" s="2" t="s">
        <v>137</v>
      </c>
      <c r="D64" s="20" t="s">
        <v>94</v>
      </c>
      <c r="H64" s="2" t="s">
        <v>33</v>
      </c>
      <c r="J64" s="46">
        <f>SUM(L64:R64)</f>
        <v>525976897.97853929</v>
      </c>
      <c r="K64" s="20"/>
      <c r="L64" s="60">
        <v>8321855.0594518613</v>
      </c>
      <c r="M64" s="60">
        <v>10733912.250768796</v>
      </c>
      <c r="N64" s="60">
        <v>159245540.02858275</v>
      </c>
      <c r="O64" s="60">
        <v>178240957.67889997</v>
      </c>
      <c r="P64" s="60">
        <v>13496032.74554202</v>
      </c>
      <c r="Q64" s="60">
        <v>143310440.94333637</v>
      </c>
      <c r="R64" s="60">
        <v>12628159.271957438</v>
      </c>
      <c r="S64" s="56"/>
    </row>
    <row r="65" spans="2:22" x14ac:dyDescent="0.2">
      <c r="B65" s="2" t="s">
        <v>137</v>
      </c>
      <c r="D65" s="20" t="s">
        <v>104</v>
      </c>
      <c r="H65" s="2" t="s">
        <v>33</v>
      </c>
      <c r="J65" s="46">
        <f>SUM(L65:R65)</f>
        <v>445890235.09642255</v>
      </c>
      <c r="K65" s="20"/>
      <c r="L65" s="60">
        <v>7085205.6890732273</v>
      </c>
      <c r="M65" s="60">
        <v>9148110.693618428</v>
      </c>
      <c r="N65" s="60">
        <v>135632194.35828835</v>
      </c>
      <c r="O65" s="60">
        <v>149896604.150419</v>
      </c>
      <c r="P65" s="60">
        <v>11576358.767079525</v>
      </c>
      <c r="Q65" s="60">
        <v>121551325.05733997</v>
      </c>
      <c r="R65" s="60">
        <v>11000436.38060404</v>
      </c>
      <c r="S65" s="56"/>
    </row>
    <row r="66" spans="2:22" x14ac:dyDescent="0.2">
      <c r="J66" s="59"/>
      <c r="K66" s="20"/>
      <c r="L66" s="20"/>
      <c r="M66" s="20"/>
      <c r="N66" s="20"/>
      <c r="O66" s="20"/>
      <c r="P66" s="20"/>
      <c r="Q66" s="20"/>
      <c r="R66" s="20"/>
    </row>
    <row r="67" spans="2:22" x14ac:dyDescent="0.2">
      <c r="B67" s="2" t="s">
        <v>244</v>
      </c>
      <c r="H67" s="2" t="s">
        <v>33</v>
      </c>
      <c r="J67" s="57">
        <v>0</v>
      </c>
      <c r="K67" s="20"/>
      <c r="L67" s="20"/>
      <c r="M67" s="20"/>
      <c r="N67" s="66"/>
      <c r="O67" s="66"/>
      <c r="P67" s="20"/>
      <c r="Q67" s="20"/>
      <c r="R67" s="20"/>
      <c r="S67" s="20"/>
    </row>
    <row r="68" spans="2:22" x14ac:dyDescent="0.2">
      <c r="J68" s="7"/>
    </row>
    <row r="69" spans="2:22" x14ac:dyDescent="0.2">
      <c r="B69" s="4" t="s">
        <v>308</v>
      </c>
      <c r="J69" s="7"/>
    </row>
    <row r="70" spans="2:22" x14ac:dyDescent="0.2">
      <c r="B70" s="2" t="s">
        <v>137</v>
      </c>
      <c r="D70" s="20" t="s">
        <v>302</v>
      </c>
      <c r="H70" s="2" t="s">
        <v>33</v>
      </c>
      <c r="J70" s="46">
        <f>SUM(L70:R70)</f>
        <v>482853310.27278399</v>
      </c>
      <c r="K70" s="20"/>
      <c r="L70" s="60">
        <v>7655966.93694029</v>
      </c>
      <c r="M70" s="60">
        <v>9880019.1046109051</v>
      </c>
      <c r="N70" s="60">
        <v>146530661.59073192</v>
      </c>
      <c r="O70" s="60">
        <v>162978613.47125638</v>
      </c>
      <c r="P70" s="60">
        <v>12462362.141754523</v>
      </c>
      <c r="Q70" s="60">
        <v>131593993.92779985</v>
      </c>
      <c r="R70" s="60">
        <v>11751693.099690225</v>
      </c>
      <c r="S70" s="56"/>
    </row>
    <row r="71" spans="2:22" x14ac:dyDescent="0.2">
      <c r="J71" s="7"/>
    </row>
    <row r="73" spans="2:22" s="9" customFormat="1" x14ac:dyDescent="0.2">
      <c r="B73" s="9" t="s">
        <v>166</v>
      </c>
    </row>
    <row r="75" spans="2:22" x14ac:dyDescent="0.2">
      <c r="L75" s="20"/>
      <c r="M75" s="20"/>
      <c r="N75" s="20"/>
      <c r="O75" s="20"/>
      <c r="P75" s="20"/>
      <c r="Q75" s="20"/>
      <c r="R75" s="20"/>
    </row>
    <row r="76" spans="2:22" x14ac:dyDescent="0.2">
      <c r="B76" s="4" t="s">
        <v>313</v>
      </c>
      <c r="L76" s="20"/>
      <c r="M76" s="20"/>
      <c r="N76" s="20"/>
      <c r="O76" s="20"/>
      <c r="P76" s="20"/>
      <c r="Q76" s="20"/>
      <c r="R76" s="20"/>
    </row>
    <row r="77" spans="2:22" x14ac:dyDescent="0.2">
      <c r="B77" s="2" t="s">
        <v>40</v>
      </c>
      <c r="D77" s="2" t="s">
        <v>153</v>
      </c>
      <c r="H77" s="2" t="s">
        <v>31</v>
      </c>
      <c r="J77" s="6">
        <f>SUM(L77:R77)</f>
        <v>100388357.01909737</v>
      </c>
      <c r="L77" s="57">
        <v>1263913.4627608673</v>
      </c>
      <c r="M77" s="57">
        <v>1628309.7022527966</v>
      </c>
      <c r="N77" s="57">
        <v>18812245.69662071</v>
      </c>
      <c r="O77" s="57">
        <v>55323722.20601026</v>
      </c>
      <c r="P77" s="57">
        <v>1312182.46</v>
      </c>
      <c r="Q77" s="57">
        <v>21821344.386824813</v>
      </c>
      <c r="R77" s="57">
        <v>226639.10462793574</v>
      </c>
      <c r="S77" s="56"/>
      <c r="V77" s="2" t="s">
        <v>332</v>
      </c>
    </row>
    <row r="78" spans="2:22" x14ac:dyDescent="0.2">
      <c r="B78" s="2" t="s">
        <v>131</v>
      </c>
      <c r="D78" s="20"/>
      <c r="H78" s="2" t="s">
        <v>31</v>
      </c>
      <c r="J78" s="6">
        <f>SUM(L78:R78)</f>
        <v>329.3193</v>
      </c>
      <c r="L78" s="57">
        <v>329.3193</v>
      </c>
      <c r="M78" s="57">
        <v>0</v>
      </c>
      <c r="N78" s="57">
        <v>0</v>
      </c>
      <c r="O78" s="57">
        <v>0</v>
      </c>
      <c r="P78" s="57">
        <v>0</v>
      </c>
      <c r="Q78" s="57">
        <v>0</v>
      </c>
      <c r="R78" s="57">
        <v>0</v>
      </c>
      <c r="S78" s="56"/>
    </row>
    <row r="79" spans="2:22" x14ac:dyDescent="0.2">
      <c r="J79" s="16"/>
      <c r="L79" s="20"/>
      <c r="M79" s="20"/>
      <c r="N79" s="20"/>
      <c r="O79" s="20"/>
      <c r="P79" s="20"/>
      <c r="Q79" s="20"/>
      <c r="R79" s="20"/>
    </row>
    <row r="80" spans="2:22" x14ac:dyDescent="0.2">
      <c r="B80" s="2" t="s">
        <v>136</v>
      </c>
      <c r="D80" s="20" t="s">
        <v>94</v>
      </c>
      <c r="H80" s="2" t="s">
        <v>31</v>
      </c>
      <c r="J80" s="6">
        <f>SUM(L80:R80)</f>
        <v>81780816.735428199</v>
      </c>
      <c r="L80" s="57">
        <v>1551902.2276886096</v>
      </c>
      <c r="M80" s="57">
        <v>1592189.7405806012</v>
      </c>
      <c r="N80" s="57">
        <v>19802343.39670486</v>
      </c>
      <c r="O80" s="57">
        <v>23682351.74127546</v>
      </c>
      <c r="P80" s="57">
        <v>1098144.0222914263</v>
      </c>
      <c r="Q80" s="57">
        <v>33875255.765992962</v>
      </c>
      <c r="R80" s="57">
        <v>178629.84089427904</v>
      </c>
      <c r="S80" s="56"/>
    </row>
    <row r="81" spans="2:22" x14ac:dyDescent="0.2">
      <c r="B81" s="2" t="s">
        <v>136</v>
      </c>
      <c r="D81" s="20" t="s">
        <v>104</v>
      </c>
      <c r="H81" s="2" t="s">
        <v>31</v>
      </c>
      <c r="J81" s="6">
        <f>SUM(L81:R81)</f>
        <v>68101343.674678296</v>
      </c>
      <c r="L81" s="57">
        <v>1284981.2737112732</v>
      </c>
      <c r="M81" s="57">
        <v>1356540.7967441264</v>
      </c>
      <c r="N81" s="57">
        <v>16539997.916696709</v>
      </c>
      <c r="O81" s="57">
        <v>19596066.827157862</v>
      </c>
      <c r="P81" s="57">
        <v>931349.82430257951</v>
      </c>
      <c r="Q81" s="57">
        <v>28239415.047042426</v>
      </c>
      <c r="R81" s="57">
        <v>152991.98902332911</v>
      </c>
      <c r="S81" s="56"/>
    </row>
    <row r="82" spans="2:22" x14ac:dyDescent="0.2">
      <c r="J82" s="16"/>
      <c r="L82" s="20"/>
      <c r="M82" s="20"/>
      <c r="N82" s="20"/>
      <c r="O82" s="20"/>
      <c r="P82" s="20"/>
      <c r="Q82" s="20"/>
      <c r="R82" s="20"/>
    </row>
    <row r="83" spans="2:22" x14ac:dyDescent="0.2">
      <c r="B83" s="2" t="s">
        <v>149</v>
      </c>
      <c r="H83" s="2" t="s">
        <v>31</v>
      </c>
      <c r="J83" s="6">
        <f>SUM(L83:R83)</f>
        <v>32089465.615135584</v>
      </c>
      <c r="L83" s="57">
        <v>532701.29699999734</v>
      </c>
      <c r="M83" s="57">
        <v>1029264.81</v>
      </c>
      <c r="N83" s="57">
        <v>10444121.318135591</v>
      </c>
      <c r="O83" s="57">
        <v>10870240.24</v>
      </c>
      <c r="P83" s="57">
        <v>368325.15</v>
      </c>
      <c r="Q83" s="57">
        <v>8221051.6499999994</v>
      </c>
      <c r="R83" s="57">
        <v>623761.14999999991</v>
      </c>
      <c r="S83" s="56"/>
    </row>
    <row r="84" spans="2:22" x14ac:dyDescent="0.2">
      <c r="L84" s="20"/>
      <c r="M84" s="20"/>
      <c r="N84" s="20"/>
      <c r="O84" s="20"/>
      <c r="P84" s="20"/>
      <c r="Q84" s="20"/>
      <c r="R84" s="20"/>
    </row>
    <row r="85" spans="2:22" x14ac:dyDescent="0.2">
      <c r="L85" s="20"/>
      <c r="M85" s="20"/>
      <c r="N85" s="20"/>
      <c r="O85" s="20"/>
      <c r="P85" s="20"/>
      <c r="Q85" s="20"/>
      <c r="R85" s="20"/>
    </row>
    <row r="86" spans="2:22" x14ac:dyDescent="0.2">
      <c r="B86" s="4" t="s">
        <v>314</v>
      </c>
      <c r="L86" s="20"/>
      <c r="M86" s="20"/>
      <c r="N86" s="20"/>
      <c r="O86" s="20"/>
      <c r="P86" s="20"/>
      <c r="Q86" s="20"/>
      <c r="R86" s="20"/>
    </row>
    <row r="87" spans="2:22" x14ac:dyDescent="0.2">
      <c r="B87" s="2" t="s">
        <v>44</v>
      </c>
      <c r="D87" s="2" t="s">
        <v>153</v>
      </c>
      <c r="H87" s="2" t="s">
        <v>32</v>
      </c>
      <c r="J87" s="6">
        <f>SUM(L87:R87)</f>
        <v>90855804.969854116</v>
      </c>
      <c r="L87" s="57">
        <v>1328277.3618122344</v>
      </c>
      <c r="M87" s="57">
        <v>997980.01926987641</v>
      </c>
      <c r="N87" s="57">
        <v>17552822.132709824</v>
      </c>
      <c r="O87" s="57">
        <v>47167895.848843515</v>
      </c>
      <c r="P87" s="57">
        <v>1160054.3999999999</v>
      </c>
      <c r="Q87" s="57">
        <v>22167978.090055279</v>
      </c>
      <c r="R87" s="57">
        <v>480797.11716339382</v>
      </c>
      <c r="S87" s="56"/>
      <c r="V87" s="2" t="s">
        <v>332</v>
      </c>
    </row>
    <row r="88" spans="2:22" x14ac:dyDescent="0.2">
      <c r="B88" s="2" t="s">
        <v>132</v>
      </c>
      <c r="D88" s="20"/>
      <c r="H88" s="2" t="s">
        <v>32</v>
      </c>
      <c r="J88" s="6">
        <f>SUM(L88:R88)</f>
        <v>199.10309999999998</v>
      </c>
      <c r="L88" s="57">
        <v>199.10309999999998</v>
      </c>
      <c r="M88" s="57">
        <v>0</v>
      </c>
      <c r="N88" s="57">
        <v>0</v>
      </c>
      <c r="O88" s="57">
        <v>0</v>
      </c>
      <c r="P88" s="57">
        <v>0</v>
      </c>
      <c r="Q88" s="57">
        <v>0</v>
      </c>
      <c r="R88" s="57">
        <v>0</v>
      </c>
      <c r="S88" s="56"/>
    </row>
    <row r="89" spans="2:22" x14ac:dyDescent="0.2">
      <c r="J89" s="16"/>
      <c r="L89" s="20"/>
      <c r="M89" s="20"/>
      <c r="N89" s="20"/>
      <c r="O89" s="20"/>
      <c r="P89" s="20"/>
      <c r="Q89" s="20"/>
      <c r="R89" s="20"/>
    </row>
    <row r="90" spans="2:22" x14ac:dyDescent="0.2">
      <c r="B90" s="2" t="s">
        <v>135</v>
      </c>
      <c r="D90" s="20" t="s">
        <v>94</v>
      </c>
      <c r="H90" s="2" t="s">
        <v>32</v>
      </c>
      <c r="J90" s="6">
        <f>SUM(L90:R90)</f>
        <v>91508138.376011178</v>
      </c>
      <c r="L90" s="57">
        <v>1803358.4960865201</v>
      </c>
      <c r="M90" s="57">
        <v>1741047.3856847021</v>
      </c>
      <c r="N90" s="57">
        <v>21914048.563355383</v>
      </c>
      <c r="O90" s="57">
        <v>27333996.21112743</v>
      </c>
      <c r="P90" s="57">
        <v>1132051.3136937539</v>
      </c>
      <c r="Q90" s="57">
        <v>37401659.125072077</v>
      </c>
      <c r="R90" s="57">
        <v>181977.28099129692</v>
      </c>
      <c r="S90" s="56"/>
    </row>
    <row r="91" spans="2:22" x14ac:dyDescent="0.2">
      <c r="B91" s="2" t="s">
        <v>135</v>
      </c>
      <c r="D91" s="20" t="s">
        <v>104</v>
      </c>
      <c r="H91" s="2" t="s">
        <v>32</v>
      </c>
      <c r="J91" s="6">
        <f>SUM(L91:R91)</f>
        <v>76325046.477686107</v>
      </c>
      <c r="L91" s="57">
        <v>1496024.5253601968</v>
      </c>
      <c r="M91" s="57">
        <v>1480422.5889869663</v>
      </c>
      <c r="N91" s="57">
        <v>18316296.238120586</v>
      </c>
      <c r="O91" s="57">
        <v>22689084.664015234</v>
      </c>
      <c r="P91" s="57">
        <v>962994.41946750996</v>
      </c>
      <c r="Q91" s="57">
        <v>31222367.57884945</v>
      </c>
      <c r="R91" s="57">
        <v>157856.46288616286</v>
      </c>
      <c r="S91" s="56"/>
    </row>
    <row r="92" spans="2:22" x14ac:dyDescent="0.2">
      <c r="J92" s="16"/>
      <c r="L92" s="20"/>
      <c r="M92" s="20"/>
      <c r="N92" s="20"/>
      <c r="O92" s="20"/>
      <c r="P92" s="20"/>
      <c r="Q92" s="20"/>
      <c r="R92" s="20"/>
    </row>
    <row r="93" spans="2:22" x14ac:dyDescent="0.2">
      <c r="B93" s="2" t="s">
        <v>151</v>
      </c>
      <c r="H93" s="2" t="s">
        <v>32</v>
      </c>
      <c r="J93" s="6">
        <f>SUM(L93:R93)</f>
        <v>30578172.175140902</v>
      </c>
      <c r="L93" s="57">
        <v>572467.20999999903</v>
      </c>
      <c r="M93" s="57">
        <v>1063322.1499999999</v>
      </c>
      <c r="N93" s="57">
        <v>9617129.2651409041</v>
      </c>
      <c r="O93" s="57">
        <v>9841317</v>
      </c>
      <c r="P93" s="57">
        <v>395732.5</v>
      </c>
      <c r="Q93" s="57">
        <v>8657261.8999999985</v>
      </c>
      <c r="R93" s="57">
        <v>430942.15</v>
      </c>
      <c r="S93" s="56"/>
    </row>
    <row r="94" spans="2:22" x14ac:dyDescent="0.2">
      <c r="L94" s="20"/>
      <c r="M94" s="20"/>
      <c r="N94" s="20"/>
      <c r="O94" s="20"/>
      <c r="P94" s="20"/>
      <c r="Q94" s="20"/>
      <c r="R94" s="20"/>
    </row>
    <row r="95" spans="2:22" x14ac:dyDescent="0.2">
      <c r="B95" s="4"/>
      <c r="L95" s="20"/>
      <c r="M95" s="20"/>
      <c r="N95" s="20"/>
      <c r="O95" s="20"/>
      <c r="P95" s="20"/>
      <c r="Q95" s="20"/>
      <c r="R95" s="20"/>
    </row>
    <row r="96" spans="2:22" x14ac:dyDescent="0.2">
      <c r="B96" s="4" t="s">
        <v>315</v>
      </c>
      <c r="L96" s="20"/>
      <c r="M96" s="20"/>
      <c r="N96" s="20"/>
      <c r="O96" s="20"/>
      <c r="P96" s="20"/>
      <c r="Q96" s="20"/>
      <c r="R96" s="20"/>
    </row>
    <row r="97" spans="2:22" x14ac:dyDescent="0.2">
      <c r="B97" s="2" t="s">
        <v>42</v>
      </c>
      <c r="D97" s="2" t="s">
        <v>153</v>
      </c>
      <c r="H97" s="2" t="s">
        <v>33</v>
      </c>
      <c r="J97" s="6">
        <f>SUM(L97:R97)</f>
        <v>84442109.665624827</v>
      </c>
      <c r="L97" s="57">
        <v>1270020.4634415451</v>
      </c>
      <c r="M97" s="57">
        <v>1242156.0612770366</v>
      </c>
      <c r="N97" s="57">
        <v>15279199.606126277</v>
      </c>
      <c r="O97" s="57">
        <v>37028209.653968677</v>
      </c>
      <c r="P97" s="57">
        <v>806476.6</v>
      </c>
      <c r="Q97" s="57">
        <v>28370281.574415348</v>
      </c>
      <c r="R97" s="57">
        <v>445765.70639594592</v>
      </c>
      <c r="S97" s="56"/>
      <c r="V97" s="2" t="s">
        <v>332</v>
      </c>
    </row>
    <row r="98" spans="2:22" x14ac:dyDescent="0.2">
      <c r="B98" s="2" t="s">
        <v>133</v>
      </c>
      <c r="D98" s="20"/>
      <c r="H98" s="2" t="s">
        <v>33</v>
      </c>
      <c r="J98" s="6">
        <f>SUM(L98:R98)</f>
        <v>66419.747460085302</v>
      </c>
      <c r="L98" s="57">
        <v>192.50162162162161</v>
      </c>
      <c r="M98" s="57">
        <v>0</v>
      </c>
      <c r="N98" s="57">
        <v>66227.245838463685</v>
      </c>
      <c r="O98" s="57">
        <v>0</v>
      </c>
      <c r="P98" s="57">
        <v>0</v>
      </c>
      <c r="Q98" s="57">
        <v>0</v>
      </c>
      <c r="R98" s="57">
        <v>0</v>
      </c>
      <c r="S98" s="56"/>
    </row>
    <row r="99" spans="2:22" x14ac:dyDescent="0.2">
      <c r="J99" s="16"/>
      <c r="L99" s="20"/>
      <c r="M99" s="20"/>
      <c r="N99" s="20"/>
      <c r="O99" s="20"/>
      <c r="P99" s="20"/>
      <c r="Q99" s="20"/>
      <c r="R99" s="20"/>
    </row>
    <row r="100" spans="2:22" x14ac:dyDescent="0.2">
      <c r="B100" s="2" t="s">
        <v>137</v>
      </c>
      <c r="D100" s="20" t="s">
        <v>94</v>
      </c>
      <c r="H100" s="2" t="s">
        <v>33</v>
      </c>
      <c r="J100" s="6">
        <f>SUM(L100:R100)</f>
        <v>97439094.53697677</v>
      </c>
      <c r="L100" s="57">
        <v>1935093.2895844483</v>
      </c>
      <c r="M100" s="57">
        <v>1807021.2895288905</v>
      </c>
      <c r="N100" s="57">
        <v>23527557.035509523</v>
      </c>
      <c r="O100" s="57">
        <v>29897704.478189915</v>
      </c>
      <c r="P100" s="57">
        <v>1157978.9644523077</v>
      </c>
      <c r="Q100" s="57">
        <v>38896328.585835703</v>
      </c>
      <c r="R100" s="57">
        <v>217410.8938759671</v>
      </c>
      <c r="S100" s="56"/>
    </row>
    <row r="101" spans="2:22" x14ac:dyDescent="0.2">
      <c r="B101" s="2" t="s">
        <v>137</v>
      </c>
      <c r="D101" s="20" t="s">
        <v>104</v>
      </c>
      <c r="H101" s="2" t="s">
        <v>33</v>
      </c>
      <c r="J101" s="6">
        <f>SUM(L101:R101)</f>
        <v>81453535.957032338</v>
      </c>
      <c r="L101" s="57">
        <v>1610794.7423154041</v>
      </c>
      <c r="M101" s="57">
        <v>1542173.798644684</v>
      </c>
      <c r="N101" s="57">
        <v>19688237.202633835</v>
      </c>
      <c r="O101" s="57">
        <v>24851513.802203484</v>
      </c>
      <c r="P101" s="57">
        <v>986765.25776408776</v>
      </c>
      <c r="Q101" s="57">
        <v>32588708.411450773</v>
      </c>
      <c r="R101" s="57">
        <v>185342.74202007701</v>
      </c>
      <c r="S101" s="56"/>
    </row>
    <row r="102" spans="2:22" x14ac:dyDescent="0.2">
      <c r="J102" s="16"/>
      <c r="L102" s="20"/>
      <c r="M102" s="20"/>
      <c r="N102" s="20"/>
      <c r="O102" s="20"/>
      <c r="P102" s="20"/>
      <c r="Q102" s="20"/>
      <c r="R102" s="20"/>
    </row>
    <row r="103" spans="2:22" x14ac:dyDescent="0.2">
      <c r="B103" s="2" t="s">
        <v>150</v>
      </c>
      <c r="H103" s="2" t="s">
        <v>33</v>
      </c>
      <c r="J103" s="6">
        <f>SUM(L103:R103)</f>
        <v>35785026.57999979</v>
      </c>
      <c r="L103" s="57">
        <v>646173.90999999992</v>
      </c>
      <c r="M103" s="57">
        <v>973967.9</v>
      </c>
      <c r="N103" s="57">
        <v>9949851.6899997871</v>
      </c>
      <c r="O103" s="57">
        <v>12015294.780000001</v>
      </c>
      <c r="P103" s="57">
        <v>384793.25</v>
      </c>
      <c r="Q103" s="57">
        <v>11334314.370000001</v>
      </c>
      <c r="R103" s="57">
        <v>480630.68</v>
      </c>
      <c r="S103" s="56"/>
    </row>
    <row r="104" spans="2:22" x14ac:dyDescent="0.2">
      <c r="J104" s="7"/>
    </row>
    <row r="106" spans="2:22" s="9" customFormat="1" x14ac:dyDescent="0.2">
      <c r="B106" s="9" t="s">
        <v>167</v>
      </c>
      <c r="M106" s="138" t="s">
        <v>250</v>
      </c>
      <c r="N106" s="138" t="s">
        <v>6</v>
      </c>
      <c r="O106" s="138"/>
      <c r="P106" s="138"/>
      <c r="Q106" s="138"/>
      <c r="R106" s="138"/>
      <c r="S106" s="138" t="s">
        <v>279</v>
      </c>
    </row>
    <row r="108" spans="2:22" x14ac:dyDescent="0.2">
      <c r="B108" s="4" t="s">
        <v>171</v>
      </c>
      <c r="M108" s="16"/>
      <c r="N108" s="16"/>
      <c r="O108" s="16"/>
    </row>
    <row r="109" spans="2:22" x14ac:dyDescent="0.2">
      <c r="B109" s="2" t="s">
        <v>40</v>
      </c>
      <c r="D109" s="2" t="s">
        <v>153</v>
      </c>
      <c r="H109" s="2" t="s">
        <v>31</v>
      </c>
      <c r="J109" s="6">
        <f>SUM(L109:S109)</f>
        <v>3030124.7554279338</v>
      </c>
      <c r="L109" s="70"/>
      <c r="M109" s="65">
        <v>1219640.8594232115</v>
      </c>
      <c r="N109" s="139">
        <v>478441.89600472216</v>
      </c>
      <c r="O109" s="65">
        <v>0</v>
      </c>
      <c r="P109" s="70"/>
      <c r="Q109" s="70"/>
      <c r="R109" s="70"/>
      <c r="S109" s="65">
        <v>1332042</v>
      </c>
      <c r="V109" s="82" t="s">
        <v>372</v>
      </c>
    </row>
    <row r="110" spans="2:22" x14ac:dyDescent="0.2">
      <c r="B110" s="2" t="s">
        <v>131</v>
      </c>
      <c r="D110" s="20" t="s">
        <v>94</v>
      </c>
      <c r="H110" s="2" t="s">
        <v>31</v>
      </c>
      <c r="J110" s="6">
        <f>SUM(L110:S110)</f>
        <v>0</v>
      </c>
      <c r="L110" s="70"/>
      <c r="M110" s="65"/>
      <c r="N110" s="65"/>
      <c r="O110" s="65"/>
      <c r="P110" s="70"/>
      <c r="Q110" s="70"/>
      <c r="R110" s="70"/>
      <c r="S110" s="65"/>
    </row>
    <row r="111" spans="2:22" x14ac:dyDescent="0.2">
      <c r="B111" s="2" t="s">
        <v>131</v>
      </c>
      <c r="D111" s="20" t="s">
        <v>104</v>
      </c>
      <c r="H111" s="2" t="s">
        <v>31</v>
      </c>
      <c r="J111" s="6">
        <f>SUM(L111:S111)</f>
        <v>0</v>
      </c>
      <c r="L111" s="70"/>
      <c r="M111" s="65"/>
      <c r="N111" s="65"/>
      <c r="O111" s="65"/>
      <c r="P111" s="70"/>
      <c r="Q111" s="70"/>
      <c r="R111" s="70"/>
      <c r="S111" s="65"/>
    </row>
    <row r="112" spans="2:22" x14ac:dyDescent="0.2">
      <c r="J112" s="16"/>
    </row>
    <row r="113" spans="2:22" x14ac:dyDescent="0.2">
      <c r="B113" s="2" t="s">
        <v>136</v>
      </c>
      <c r="D113" s="20" t="s">
        <v>94</v>
      </c>
      <c r="H113" s="2" t="s">
        <v>31</v>
      </c>
      <c r="J113" s="6">
        <f>SUM(L113:S113)</f>
        <v>3767326.724199228</v>
      </c>
      <c r="L113" s="70"/>
      <c r="M113" s="65">
        <v>734106.54182072217</v>
      </c>
      <c r="N113" s="65">
        <v>191854.29969731229</v>
      </c>
      <c r="O113" s="65">
        <v>0</v>
      </c>
      <c r="P113" s="70"/>
      <c r="Q113" s="70"/>
      <c r="R113" s="70"/>
      <c r="S113" s="65">
        <v>2841365.8826811933</v>
      </c>
    </row>
    <row r="114" spans="2:22" x14ac:dyDescent="0.2">
      <c r="B114" s="2" t="s">
        <v>136</v>
      </c>
      <c r="D114" s="20" t="s">
        <v>104</v>
      </c>
      <c r="H114" s="2" t="s">
        <v>31</v>
      </c>
      <c r="J114" s="6">
        <f>SUM(L114:S114)</f>
        <v>3068571.4247425562</v>
      </c>
      <c r="L114" s="70"/>
      <c r="M114" s="65">
        <v>594675.69598399708</v>
      </c>
      <c r="N114" s="65">
        <v>155449.41768742609</v>
      </c>
      <c r="O114" s="65">
        <v>0</v>
      </c>
      <c r="P114" s="70"/>
      <c r="Q114" s="70"/>
      <c r="R114" s="70"/>
      <c r="S114" s="65">
        <v>2318446.3110711332</v>
      </c>
    </row>
    <row r="117" spans="2:22" x14ac:dyDescent="0.2">
      <c r="B117" s="4" t="s">
        <v>172</v>
      </c>
    </row>
    <row r="118" spans="2:22" x14ac:dyDescent="0.2">
      <c r="B118" s="2" t="s">
        <v>44</v>
      </c>
      <c r="D118" s="2" t="s">
        <v>153</v>
      </c>
      <c r="H118" s="2" t="s">
        <v>32</v>
      </c>
      <c r="J118" s="6">
        <f>SUM(L118:S118)</f>
        <v>2868877.2795474543</v>
      </c>
      <c r="L118" s="70"/>
      <c r="M118" s="65">
        <v>1047293.9777251674</v>
      </c>
      <c r="N118" s="139">
        <v>454885.89713777974</v>
      </c>
      <c r="O118" s="65">
        <v>1242.4046845073726</v>
      </c>
      <c r="P118" s="70"/>
      <c r="Q118" s="70"/>
      <c r="R118" s="70"/>
      <c r="S118" s="65">
        <v>1365455</v>
      </c>
      <c r="V118" s="82" t="s">
        <v>372</v>
      </c>
    </row>
    <row r="119" spans="2:22" x14ac:dyDescent="0.2">
      <c r="B119" s="2" t="s">
        <v>132</v>
      </c>
      <c r="D119" s="20" t="s">
        <v>94</v>
      </c>
      <c r="H119" s="2" t="s">
        <v>32</v>
      </c>
      <c r="J119" s="6">
        <f>SUM(L119:S119)</f>
        <v>0</v>
      </c>
      <c r="L119" s="70"/>
      <c r="M119" s="65"/>
      <c r="N119" s="65"/>
      <c r="O119" s="65"/>
      <c r="P119" s="70"/>
      <c r="Q119" s="70"/>
      <c r="R119" s="70"/>
      <c r="S119" s="65"/>
    </row>
    <row r="120" spans="2:22" x14ac:dyDescent="0.2">
      <c r="B120" s="2" t="s">
        <v>132</v>
      </c>
      <c r="D120" s="20" t="s">
        <v>104</v>
      </c>
      <c r="H120" s="2" t="s">
        <v>32</v>
      </c>
      <c r="J120" s="6">
        <f>SUM(L120:S120)</f>
        <v>0</v>
      </c>
      <c r="L120" s="70"/>
      <c r="M120" s="65"/>
      <c r="N120" s="65"/>
      <c r="O120" s="65"/>
      <c r="P120" s="70"/>
      <c r="Q120" s="70"/>
      <c r="R120" s="70"/>
      <c r="S120" s="65"/>
    </row>
    <row r="121" spans="2:22" x14ac:dyDescent="0.2">
      <c r="J121" s="16"/>
    </row>
    <row r="122" spans="2:22" x14ac:dyDescent="0.2">
      <c r="B122" s="2" t="s">
        <v>135</v>
      </c>
      <c r="D122" s="20" t="s">
        <v>94</v>
      </c>
      <c r="H122" s="2" t="s">
        <v>32</v>
      </c>
      <c r="J122" s="6">
        <f>SUM(L122:S122)</f>
        <v>3796199.1915623024</v>
      </c>
      <c r="L122" s="70"/>
      <c r="M122" s="65">
        <v>742597.71385573316</v>
      </c>
      <c r="N122" s="65">
        <v>194068.36803945518</v>
      </c>
      <c r="O122" s="65">
        <v>0</v>
      </c>
      <c r="P122" s="70"/>
      <c r="Q122" s="70"/>
      <c r="R122" s="70"/>
      <c r="S122" s="65">
        <v>2859533.109667114</v>
      </c>
    </row>
    <row r="123" spans="2:22" x14ac:dyDescent="0.2">
      <c r="B123" s="2" t="s">
        <v>135</v>
      </c>
      <c r="D123" s="20" t="s">
        <v>104</v>
      </c>
      <c r="H123" s="2" t="s">
        <v>32</v>
      </c>
      <c r="J123" s="6">
        <f>SUM(L123:S123)</f>
        <v>3095393.8212894201</v>
      </c>
      <c r="L123" s="70"/>
      <c r="M123" s="65">
        <v>602910.00305110542</v>
      </c>
      <c r="N123" s="65">
        <v>157598.84879008203</v>
      </c>
      <c r="O123" s="65">
        <v>0</v>
      </c>
      <c r="P123" s="70"/>
      <c r="Q123" s="70"/>
      <c r="R123" s="70"/>
      <c r="S123" s="65">
        <v>2334884.9694482326</v>
      </c>
    </row>
    <row r="124" spans="2:22" x14ac:dyDescent="0.2">
      <c r="J124" s="16"/>
    </row>
    <row r="125" spans="2:22" x14ac:dyDescent="0.2">
      <c r="B125" s="4"/>
    </row>
    <row r="126" spans="2:22" x14ac:dyDescent="0.2">
      <c r="B126" s="4" t="s">
        <v>173</v>
      </c>
    </row>
    <row r="127" spans="2:22" x14ac:dyDescent="0.2">
      <c r="B127" s="2" t="s">
        <v>42</v>
      </c>
      <c r="D127" s="2" t="s">
        <v>153</v>
      </c>
      <c r="H127" s="2" t="s">
        <v>33</v>
      </c>
      <c r="J127" s="6">
        <f>SUM(L127:S127)</f>
        <v>2665038.6333288802</v>
      </c>
      <c r="L127" s="70"/>
      <c r="M127" s="65">
        <v>845895.08350838174</v>
      </c>
      <c r="N127" s="139">
        <v>338072.78025660414</v>
      </c>
      <c r="O127" s="65">
        <v>2511.7695638944838</v>
      </c>
      <c r="P127" s="70"/>
      <c r="Q127" s="70"/>
      <c r="R127" s="70"/>
      <c r="S127" s="65">
        <v>1478559</v>
      </c>
      <c r="V127" s="82" t="s">
        <v>372</v>
      </c>
    </row>
    <row r="128" spans="2:22" x14ac:dyDescent="0.2">
      <c r="B128" s="2" t="s">
        <v>133</v>
      </c>
      <c r="D128" s="20" t="s">
        <v>94</v>
      </c>
      <c r="H128" s="2" t="s">
        <v>33</v>
      </c>
      <c r="J128" s="6">
        <f>SUM(L128:S128)</f>
        <v>0</v>
      </c>
      <c r="L128" s="70"/>
      <c r="M128" s="65"/>
      <c r="N128" s="65"/>
      <c r="O128" s="65"/>
      <c r="P128" s="70"/>
      <c r="Q128" s="70"/>
      <c r="R128" s="70"/>
      <c r="S128" s="65"/>
    </row>
    <row r="129" spans="2:19" x14ac:dyDescent="0.2">
      <c r="B129" s="2" t="s">
        <v>133</v>
      </c>
      <c r="D129" s="20" t="s">
        <v>104</v>
      </c>
      <c r="H129" s="2" t="s">
        <v>33</v>
      </c>
      <c r="J129" s="6">
        <f>SUM(L129:S129)</f>
        <v>0</v>
      </c>
      <c r="L129" s="70"/>
      <c r="M129" s="65"/>
      <c r="N129" s="65"/>
      <c r="O129" s="65"/>
      <c r="P129" s="70"/>
      <c r="Q129" s="70"/>
      <c r="R129" s="70"/>
      <c r="S129" s="65"/>
    </row>
    <row r="130" spans="2:19" x14ac:dyDescent="0.2">
      <c r="J130" s="16"/>
    </row>
    <row r="131" spans="2:19" x14ac:dyDescent="0.2">
      <c r="B131" s="2" t="s">
        <v>137</v>
      </c>
      <c r="D131" s="20" t="s">
        <v>94</v>
      </c>
      <c r="H131" s="2" t="s">
        <v>33</v>
      </c>
      <c r="J131" s="6">
        <f>SUM(L131:S131)</f>
        <v>3768954.2829768164</v>
      </c>
      <c r="L131" s="70"/>
      <c r="M131" s="65">
        <v>737839.24174696172</v>
      </c>
      <c r="N131" s="65">
        <v>192819.621149974</v>
      </c>
      <c r="O131" s="65">
        <v>0</v>
      </c>
      <c r="P131" s="70"/>
      <c r="Q131" s="70"/>
      <c r="R131" s="70"/>
      <c r="S131" s="65">
        <v>2838295.4200798804</v>
      </c>
    </row>
    <row r="132" spans="2:19" x14ac:dyDescent="0.2">
      <c r="B132" s="2" t="s">
        <v>137</v>
      </c>
      <c r="D132" s="20" t="s">
        <v>104</v>
      </c>
      <c r="H132" s="2" t="s">
        <v>33</v>
      </c>
      <c r="J132" s="6">
        <f>SUM(L132:S132)</f>
        <v>3079168.3714857902</v>
      </c>
      <c r="L132" s="70"/>
      <c r="M132" s="65">
        <v>600438.32453696849</v>
      </c>
      <c r="N132" s="65">
        <v>156949.65315946488</v>
      </c>
      <c r="O132" s="65">
        <v>0</v>
      </c>
      <c r="P132" s="70"/>
      <c r="Q132" s="70"/>
      <c r="R132" s="70"/>
      <c r="S132" s="65">
        <v>2321780.3937893566</v>
      </c>
    </row>
  </sheetData>
  <pageMargins left="0.7" right="0.7"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CCFFCC"/>
  </sheetPr>
  <dimension ref="A1:U41"/>
  <sheetViews>
    <sheetView showGridLines="0" zoomScale="85" zoomScaleNormal="85" workbookViewId="0">
      <pane xSplit="6" ySplit="9" topLeftCell="G10" activePane="bottomRight" state="frozen"/>
      <selection pane="topRight" activeCell="G1" sqref="G1"/>
      <selection pane="bottomLeft" activeCell="A10" sqref="A10"/>
      <selection pane="bottomRight"/>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1:21" x14ac:dyDescent="0.2">
      <c r="B1" s="2" t="s">
        <v>389</v>
      </c>
    </row>
    <row r="2" spans="1:21" ht="15" x14ac:dyDescent="0.25">
      <c r="B2"/>
      <c r="C2"/>
      <c r="D2"/>
      <c r="E2"/>
    </row>
    <row r="3" spans="1:21" s="14" customFormat="1" ht="18" customHeight="1" x14ac:dyDescent="0.25">
      <c r="B3" s="13" t="s">
        <v>281</v>
      </c>
      <c r="C3" s="13"/>
      <c r="D3" s="13"/>
      <c r="E3" s="13"/>
    </row>
    <row r="5" spans="1:21" x14ac:dyDescent="0.2">
      <c r="B5" s="2" t="s">
        <v>375</v>
      </c>
    </row>
    <row r="9" spans="1:21" s="9" customFormat="1" x14ac:dyDescent="0.2">
      <c r="D9" s="9" t="s">
        <v>39</v>
      </c>
      <c r="H9" s="9" t="s">
        <v>1</v>
      </c>
      <c r="J9" s="9" t="s">
        <v>11</v>
      </c>
      <c r="L9" s="9" t="s">
        <v>5</v>
      </c>
      <c r="M9" s="9" t="s">
        <v>250</v>
      </c>
      <c r="N9" s="9" t="s">
        <v>6</v>
      </c>
      <c r="O9" s="9" t="s">
        <v>7</v>
      </c>
      <c r="P9" s="9" t="s">
        <v>8</v>
      </c>
      <c r="Q9" s="9" t="s">
        <v>9</v>
      </c>
      <c r="R9" s="9" t="s">
        <v>10</v>
      </c>
      <c r="S9" s="9" t="s">
        <v>279</v>
      </c>
    </row>
    <row r="12" spans="1:21" s="9" customFormat="1" x14ac:dyDescent="0.2">
      <c r="B12" s="9" t="s">
        <v>165</v>
      </c>
    </row>
    <row r="14" spans="1:21" x14ac:dyDescent="0.2">
      <c r="B14" s="4" t="s">
        <v>156</v>
      </c>
      <c r="L14" s="7"/>
      <c r="M14" s="7"/>
      <c r="N14" s="7"/>
      <c r="O14" s="7"/>
      <c r="P14" s="7"/>
      <c r="Q14" s="7"/>
      <c r="R14" s="7"/>
      <c r="S14" s="7"/>
    </row>
    <row r="15" spans="1:21" x14ac:dyDescent="0.2">
      <c r="B15" s="2" t="s">
        <v>257</v>
      </c>
      <c r="H15" s="2" t="s">
        <v>12</v>
      </c>
      <c r="J15" s="6">
        <f>SUM(L15:R15)</f>
        <v>728659561.25981367</v>
      </c>
      <c r="K15" s="16"/>
      <c r="L15" s="57">
        <v>14301488.910722844</v>
      </c>
      <c r="M15" s="57">
        <v>18963890.606682211</v>
      </c>
      <c r="N15" s="57">
        <v>232039999.42956877</v>
      </c>
      <c r="O15" s="57">
        <v>249717858.06695601</v>
      </c>
      <c r="P15" s="57">
        <v>10496370.529744592</v>
      </c>
      <c r="Q15" s="57">
        <v>190371769.82951891</v>
      </c>
      <c r="R15" s="57">
        <v>12768183.886620443</v>
      </c>
      <c r="S15" s="69"/>
      <c r="U15" s="83" t="s">
        <v>333</v>
      </c>
    </row>
    <row r="16" spans="1:21" s="10" customFormat="1" x14ac:dyDescent="0.2">
      <c r="A16" s="2"/>
      <c r="D16" s="2"/>
      <c r="J16" s="36"/>
      <c r="K16" s="36"/>
      <c r="L16" s="47"/>
      <c r="M16" s="47"/>
      <c r="N16" s="47"/>
      <c r="O16" s="47"/>
      <c r="P16" s="47"/>
      <c r="Q16" s="47"/>
      <c r="R16" s="47"/>
      <c r="S16" s="7"/>
    </row>
    <row r="17" spans="2:21" x14ac:dyDescent="0.2">
      <c r="B17" s="2" t="s">
        <v>256</v>
      </c>
      <c r="H17" s="2" t="s">
        <v>12</v>
      </c>
      <c r="J17" s="65">
        <v>733117589.21783102</v>
      </c>
      <c r="K17" s="16"/>
      <c r="L17" s="16"/>
      <c r="M17" s="16"/>
      <c r="N17" s="16"/>
      <c r="O17" s="16"/>
      <c r="P17" s="16"/>
      <c r="Q17" s="16"/>
      <c r="R17" s="16"/>
      <c r="S17" s="16"/>
      <c r="U17" s="83" t="s">
        <v>333</v>
      </c>
    </row>
    <row r="18" spans="2:21" x14ac:dyDescent="0.2">
      <c r="B18" s="2" t="s">
        <v>255</v>
      </c>
      <c r="H18" s="2" t="s">
        <v>12</v>
      </c>
      <c r="J18" s="65">
        <v>732381801.02754593</v>
      </c>
      <c r="K18" s="16"/>
      <c r="L18" s="16"/>
      <c r="M18" s="16"/>
      <c r="N18" s="16"/>
      <c r="O18" s="16"/>
      <c r="P18" s="16"/>
      <c r="Q18" s="16"/>
      <c r="R18" s="16"/>
      <c r="S18" s="16"/>
      <c r="U18" s="83" t="s">
        <v>333</v>
      </c>
    </row>
    <row r="19" spans="2:21" x14ac:dyDescent="0.2">
      <c r="B19" s="2" t="s">
        <v>254</v>
      </c>
      <c r="H19" s="2" t="s">
        <v>12</v>
      </c>
      <c r="J19" s="65">
        <v>727145195.62046373</v>
      </c>
      <c r="K19" s="16"/>
      <c r="L19" s="16"/>
      <c r="M19" s="16"/>
      <c r="N19" s="16"/>
      <c r="O19" s="16"/>
      <c r="P19" s="16"/>
      <c r="Q19" s="16"/>
      <c r="R19" s="16"/>
      <c r="S19" s="16"/>
      <c r="U19" s="83" t="s">
        <v>333</v>
      </c>
    </row>
    <row r="20" spans="2:21" x14ac:dyDescent="0.2">
      <c r="B20" s="2" t="s">
        <v>253</v>
      </c>
      <c r="H20" s="2" t="s">
        <v>12</v>
      </c>
      <c r="J20" s="65">
        <v>726451687.13143194</v>
      </c>
      <c r="K20" s="16"/>
      <c r="L20" s="16"/>
      <c r="M20" s="16"/>
      <c r="N20" s="16"/>
      <c r="O20" s="16"/>
      <c r="P20" s="16"/>
      <c r="Q20" s="16"/>
      <c r="R20" s="16"/>
      <c r="S20" s="16"/>
      <c r="U20" s="83" t="s">
        <v>333</v>
      </c>
    </row>
    <row r="21" spans="2:21" x14ac:dyDescent="0.2">
      <c r="J21" s="16"/>
      <c r="K21" s="16"/>
      <c r="L21" s="16"/>
      <c r="M21" s="16"/>
      <c r="N21" s="16"/>
      <c r="O21" s="16"/>
      <c r="P21" s="16"/>
      <c r="Q21" s="16"/>
      <c r="R21" s="16"/>
      <c r="S21" s="7"/>
    </row>
    <row r="22" spans="2:21" x14ac:dyDescent="0.2">
      <c r="B22" s="4" t="s">
        <v>157</v>
      </c>
      <c r="J22" s="16"/>
      <c r="K22" s="16"/>
      <c r="L22" s="16"/>
      <c r="M22" s="16"/>
      <c r="N22" s="16"/>
      <c r="O22" s="16"/>
      <c r="P22" s="16"/>
      <c r="Q22" s="16"/>
      <c r="R22" s="16"/>
      <c r="S22" s="7"/>
    </row>
    <row r="23" spans="2:21" x14ac:dyDescent="0.2">
      <c r="B23" s="2" t="s">
        <v>158</v>
      </c>
      <c r="D23" s="2" t="s">
        <v>159</v>
      </c>
      <c r="H23" s="2" t="s">
        <v>2</v>
      </c>
      <c r="J23" s="6">
        <f>SUM(L23:R23)</f>
        <v>728659561.25981379</v>
      </c>
      <c r="K23" s="16"/>
      <c r="L23" s="57">
        <v>14524777.165970203</v>
      </c>
      <c r="M23" s="57">
        <v>19246207.402489178</v>
      </c>
      <c r="N23" s="57">
        <v>235072431.5436573</v>
      </c>
      <c r="O23" s="57">
        <v>245810753.15506035</v>
      </c>
      <c r="P23" s="57">
        <v>13032240.245257348</v>
      </c>
      <c r="Q23" s="57">
        <v>187977008.21088883</v>
      </c>
      <c r="R23" s="57">
        <v>12996143.536490556</v>
      </c>
      <c r="S23" s="69"/>
      <c r="U23" s="83" t="s">
        <v>333</v>
      </c>
    </row>
    <row r="24" spans="2:21" x14ac:dyDescent="0.2">
      <c r="S24" s="7"/>
    </row>
    <row r="26" spans="2:21" s="9" customFormat="1" x14ac:dyDescent="0.2">
      <c r="B26" s="9" t="s">
        <v>166</v>
      </c>
    </row>
    <row r="28" spans="2:21" x14ac:dyDescent="0.2">
      <c r="B28" s="4" t="s">
        <v>156</v>
      </c>
    </row>
    <row r="29" spans="2:21" x14ac:dyDescent="0.2">
      <c r="B29" s="2" t="s">
        <v>252</v>
      </c>
      <c r="H29" s="2" t="s">
        <v>12</v>
      </c>
      <c r="J29" s="6">
        <f>SUM(L29:R29)</f>
        <v>175553793.76820758</v>
      </c>
      <c r="K29" s="16"/>
      <c r="L29" s="57">
        <v>3421593.8791151224</v>
      </c>
      <c r="M29" s="57">
        <v>4757583.899266514</v>
      </c>
      <c r="N29" s="57">
        <v>55227066.498678818</v>
      </c>
      <c r="O29" s="57">
        <v>62159405.012492806</v>
      </c>
      <c r="P29" s="57">
        <v>2574662.2806291692</v>
      </c>
      <c r="Q29" s="57">
        <v>45815126.235646285</v>
      </c>
      <c r="R29" s="57">
        <v>1598355.9623788551</v>
      </c>
      <c r="S29" s="56"/>
      <c r="U29" s="83" t="s">
        <v>333</v>
      </c>
    </row>
    <row r="30" spans="2:21" x14ac:dyDescent="0.2">
      <c r="J30" s="16"/>
      <c r="K30" s="16"/>
      <c r="L30" s="16"/>
      <c r="M30" s="16"/>
      <c r="N30" s="16"/>
      <c r="O30" s="16"/>
      <c r="P30" s="16"/>
      <c r="Q30" s="16"/>
      <c r="R30" s="16"/>
    </row>
    <row r="31" spans="2:21" x14ac:dyDescent="0.2">
      <c r="B31" s="4" t="s">
        <v>157</v>
      </c>
      <c r="J31" s="16"/>
      <c r="K31" s="16"/>
      <c r="L31" s="16"/>
      <c r="M31" s="16"/>
      <c r="N31" s="16"/>
      <c r="O31" s="16"/>
      <c r="P31" s="16"/>
      <c r="Q31" s="16"/>
      <c r="R31" s="16"/>
    </row>
    <row r="32" spans="2:21" x14ac:dyDescent="0.2">
      <c r="B32" s="2" t="s">
        <v>158</v>
      </c>
      <c r="D32" s="2" t="s">
        <v>159</v>
      </c>
      <c r="H32" s="2" t="s">
        <v>2</v>
      </c>
      <c r="J32" s="6">
        <f>SUM(L32:R32)</f>
        <v>175557874.69215623</v>
      </c>
      <c r="K32" s="16"/>
      <c r="L32" s="57">
        <v>2977448.7740228269</v>
      </c>
      <c r="M32" s="57">
        <v>4128899.5207161289</v>
      </c>
      <c r="N32" s="57">
        <v>45421131.443254292</v>
      </c>
      <c r="O32" s="57">
        <v>67452061.402867317</v>
      </c>
      <c r="P32" s="57">
        <v>1905606.4484552653</v>
      </c>
      <c r="Q32" s="57">
        <v>52578990.568898693</v>
      </c>
      <c r="R32" s="57">
        <v>1093736.5339417206</v>
      </c>
      <c r="S32" s="56"/>
      <c r="U32" s="83" t="s">
        <v>333</v>
      </c>
    </row>
    <row r="35" spans="2:21" s="9" customFormat="1" x14ac:dyDescent="0.2">
      <c r="B35" s="9" t="s">
        <v>167</v>
      </c>
    </row>
    <row r="37" spans="2:21" x14ac:dyDescent="0.2">
      <c r="B37" s="4" t="s">
        <v>156</v>
      </c>
    </row>
    <row r="38" spans="2:21" x14ac:dyDescent="0.2">
      <c r="B38" s="2" t="s">
        <v>251</v>
      </c>
      <c r="H38" s="2" t="s">
        <v>12</v>
      </c>
      <c r="J38" s="6">
        <f>SUM(L38:S38)</f>
        <v>6790501.1009186106</v>
      </c>
      <c r="K38" s="16"/>
      <c r="L38" s="71"/>
      <c r="M38" s="140">
        <v>1055707.1971713058</v>
      </c>
      <c r="N38" s="140">
        <v>647568.456951436</v>
      </c>
      <c r="O38" s="57">
        <v>551.74230144204114</v>
      </c>
      <c r="P38" s="71"/>
      <c r="Q38" s="71"/>
      <c r="R38" s="71"/>
      <c r="S38" s="140">
        <v>5086673.704494427</v>
      </c>
      <c r="U38" s="82" t="s">
        <v>374</v>
      </c>
    </row>
    <row r="39" spans="2:21" x14ac:dyDescent="0.2">
      <c r="J39" s="16"/>
      <c r="K39" s="16"/>
      <c r="L39" s="16"/>
      <c r="M39" s="16"/>
      <c r="N39" s="16"/>
      <c r="O39" s="16"/>
      <c r="P39" s="16"/>
      <c r="Q39" s="16"/>
      <c r="R39" s="16"/>
      <c r="S39" s="16"/>
    </row>
    <row r="40" spans="2:21" x14ac:dyDescent="0.2">
      <c r="B40" s="4" t="s">
        <v>157</v>
      </c>
      <c r="J40" s="16"/>
      <c r="K40" s="16"/>
      <c r="L40" s="16"/>
      <c r="M40" s="16"/>
      <c r="N40" s="16"/>
      <c r="O40" s="16"/>
      <c r="P40" s="16"/>
      <c r="Q40" s="16"/>
      <c r="R40" s="16"/>
      <c r="S40" s="16"/>
    </row>
    <row r="41" spans="2:21" x14ac:dyDescent="0.2">
      <c r="B41" s="2" t="s">
        <v>158</v>
      </c>
      <c r="D41" s="2" t="s">
        <v>159</v>
      </c>
      <c r="H41" s="2" t="s">
        <v>2</v>
      </c>
      <c r="J41" s="6">
        <f>SUM(L41:S41)</f>
        <v>4483603.5162027301</v>
      </c>
      <c r="K41" s="16"/>
      <c r="L41" s="71"/>
      <c r="M41" s="140">
        <v>1399993.5270824407</v>
      </c>
      <c r="N41" s="140">
        <v>938613.85333572188</v>
      </c>
      <c r="O41" s="57">
        <v>113796</v>
      </c>
      <c r="P41" s="71"/>
      <c r="Q41" s="71"/>
      <c r="R41" s="71"/>
      <c r="S41" s="140">
        <v>2031200.1357845676</v>
      </c>
      <c r="U41" s="82" t="s">
        <v>374</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CCFFCC"/>
  </sheetPr>
  <dimension ref="B1:S53"/>
  <sheetViews>
    <sheetView showGridLines="0" zoomScale="85" zoomScaleNormal="85" workbookViewId="0">
      <pane xSplit="6" ySplit="7" topLeftCell="G8"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2:19" x14ac:dyDescent="0.2">
      <c r="B1" s="2" t="s">
        <v>389</v>
      </c>
    </row>
    <row r="2" spans="2:19" ht="15" x14ac:dyDescent="0.25">
      <c r="B2"/>
      <c r="C2"/>
      <c r="D2"/>
      <c r="E2"/>
    </row>
    <row r="3" spans="2:19" s="14" customFormat="1" ht="18" customHeight="1" x14ac:dyDescent="0.25">
      <c r="B3" s="13" t="s">
        <v>59</v>
      </c>
      <c r="C3" s="13"/>
      <c r="D3" s="13"/>
      <c r="E3" s="13"/>
    </row>
    <row r="5" spans="2:19" x14ac:dyDescent="0.2">
      <c r="B5" s="2" t="s">
        <v>286</v>
      </c>
    </row>
    <row r="7" spans="2:19" s="9" customFormat="1" x14ac:dyDescent="0.2"/>
    <row r="10" spans="2:19" s="9" customFormat="1" x14ac:dyDescent="0.2">
      <c r="B10" s="9" t="s">
        <v>29</v>
      </c>
      <c r="S10" s="9" t="s">
        <v>282</v>
      </c>
    </row>
    <row r="12" spans="2:19" x14ac:dyDescent="0.2">
      <c r="B12" s="4" t="s">
        <v>160</v>
      </c>
    </row>
    <row r="13" spans="2:19" x14ac:dyDescent="0.2">
      <c r="B13" s="2" t="s">
        <v>265</v>
      </c>
      <c r="H13" s="2" t="s">
        <v>28</v>
      </c>
      <c r="J13" s="62">
        <v>6.2E-2</v>
      </c>
      <c r="S13" s="2" t="s">
        <v>283</v>
      </c>
    </row>
    <row r="14" spans="2:19" x14ac:dyDescent="0.2">
      <c r="B14" s="2" t="s">
        <v>266</v>
      </c>
      <c r="H14" s="2" t="s">
        <v>28</v>
      </c>
      <c r="J14" s="62">
        <v>3.5999999999999997E-2</v>
      </c>
      <c r="S14" s="2" t="s">
        <v>284</v>
      </c>
    </row>
    <row r="15" spans="2:19" x14ac:dyDescent="0.2">
      <c r="B15" s="2" t="s">
        <v>326</v>
      </c>
      <c r="H15" s="2" t="s">
        <v>28</v>
      </c>
      <c r="J15" s="62">
        <v>3.5999999999999997E-2</v>
      </c>
    </row>
    <row r="16" spans="2:19" x14ac:dyDescent="0.2">
      <c r="B16" s="2" t="s">
        <v>327</v>
      </c>
      <c r="J16" s="62">
        <v>0.03</v>
      </c>
    </row>
    <row r="17" spans="2:19" x14ac:dyDescent="0.2">
      <c r="J17" s="63"/>
    </row>
    <row r="18" spans="2:19" x14ac:dyDescent="0.2">
      <c r="B18" s="2" t="s">
        <v>89</v>
      </c>
      <c r="H18" s="2" t="s">
        <v>28</v>
      </c>
      <c r="J18" s="62">
        <v>4.2999999999999997E-2</v>
      </c>
      <c r="S18" s="2" t="s">
        <v>344</v>
      </c>
    </row>
    <row r="19" spans="2:19" x14ac:dyDescent="0.2">
      <c r="B19" s="2" t="s">
        <v>95</v>
      </c>
      <c r="H19" s="2" t="s">
        <v>28</v>
      </c>
      <c r="J19" s="62">
        <v>0.03</v>
      </c>
    </row>
    <row r="20" spans="2:19" x14ac:dyDescent="0.2">
      <c r="J20" s="20"/>
    </row>
    <row r="21" spans="2:19" s="9" customFormat="1" x14ac:dyDescent="0.2">
      <c r="B21" s="9" t="s">
        <v>60</v>
      </c>
    </row>
    <row r="23" spans="2:19" x14ac:dyDescent="0.2">
      <c r="B23" s="4" t="s">
        <v>60</v>
      </c>
    </row>
    <row r="24" spans="2:19" x14ac:dyDescent="0.2">
      <c r="B24" s="2" t="s">
        <v>218</v>
      </c>
      <c r="H24" s="2" t="s">
        <v>28</v>
      </c>
      <c r="J24" s="62">
        <v>2.5999999999999999E-2</v>
      </c>
      <c r="S24" s="2" t="s">
        <v>285</v>
      </c>
    </row>
    <row r="25" spans="2:19" x14ac:dyDescent="0.2">
      <c r="B25" s="2" t="s">
        <v>61</v>
      </c>
      <c r="H25" s="2" t="s">
        <v>28</v>
      </c>
      <c r="J25" s="62">
        <v>2.3E-2</v>
      </c>
    </row>
    <row r="26" spans="2:19" x14ac:dyDescent="0.2">
      <c r="B26" s="2" t="s">
        <v>62</v>
      </c>
      <c r="H26" s="2" t="s">
        <v>28</v>
      </c>
      <c r="J26" s="62">
        <v>2.8000000000000001E-2</v>
      </c>
    </row>
    <row r="27" spans="2:19" x14ac:dyDescent="0.2">
      <c r="B27" s="2" t="s">
        <v>63</v>
      </c>
      <c r="H27" s="2" t="s">
        <v>28</v>
      </c>
      <c r="J27" s="62">
        <v>0.01</v>
      </c>
    </row>
    <row r="28" spans="2:19" x14ac:dyDescent="0.2">
      <c r="B28" s="2" t="s">
        <v>64</v>
      </c>
      <c r="H28" s="2" t="s">
        <v>28</v>
      </c>
      <c r="J28" s="62">
        <v>8.0000000000000002E-3</v>
      </c>
    </row>
    <row r="30" spans="2:19" x14ac:dyDescent="0.2">
      <c r="B30" s="2" t="s">
        <v>96</v>
      </c>
      <c r="H30" s="2" t="s">
        <v>28</v>
      </c>
      <c r="J30" s="33">
        <f>J53</f>
        <v>1.2E-2</v>
      </c>
    </row>
    <row r="33" spans="2:19" x14ac:dyDescent="0.2">
      <c r="J33" s="42" t="s">
        <v>147</v>
      </c>
      <c r="L33" s="37">
        <v>2011</v>
      </c>
      <c r="M33" s="37">
        <v>2012</v>
      </c>
      <c r="N33" s="37">
        <v>2013</v>
      </c>
      <c r="O33" s="37">
        <v>2014</v>
      </c>
      <c r="P33" s="37">
        <v>2015</v>
      </c>
      <c r="Q33" s="37"/>
      <c r="R33" s="37"/>
    </row>
    <row r="34" spans="2:19" x14ac:dyDescent="0.2">
      <c r="J34" s="37" t="s">
        <v>148</v>
      </c>
      <c r="K34" s="37"/>
      <c r="L34" s="37"/>
      <c r="M34" s="37"/>
      <c r="N34" s="37"/>
      <c r="O34" s="37"/>
      <c r="P34" s="37"/>
    </row>
    <row r="35" spans="2:19" x14ac:dyDescent="0.2">
      <c r="J35" s="37">
        <v>2012</v>
      </c>
      <c r="K35" s="37"/>
      <c r="L35" s="43">
        <f>J24</f>
        <v>2.5999999999999999E-2</v>
      </c>
      <c r="M35" s="52"/>
      <c r="N35" s="52"/>
      <c r="O35" s="52"/>
      <c r="P35" s="52"/>
    </row>
    <row r="36" spans="2:19" x14ac:dyDescent="0.2">
      <c r="J36" s="37">
        <v>2013</v>
      </c>
      <c r="K36" s="41"/>
      <c r="L36" s="38">
        <f>(1+L35)*(1+J25)-1</f>
        <v>4.9598000000000031E-2</v>
      </c>
      <c r="M36" s="43">
        <f>J25</f>
        <v>2.3E-2</v>
      </c>
      <c r="N36" s="40"/>
      <c r="O36" s="40"/>
      <c r="P36" s="40"/>
    </row>
    <row r="37" spans="2:19" x14ac:dyDescent="0.2">
      <c r="J37" s="37">
        <v>2014</v>
      </c>
      <c r="K37" s="37"/>
      <c r="L37" s="38">
        <f t="shared" ref="L37:L39" si="0">(1+L36)*(1+J26)-1</f>
        <v>7.8986744000000053E-2</v>
      </c>
      <c r="M37" s="38">
        <f>(1+M36)*(1+J26)-1</f>
        <v>5.1644000000000023E-2</v>
      </c>
      <c r="N37" s="43">
        <f>J26</f>
        <v>2.8000000000000001E-2</v>
      </c>
      <c r="O37" s="39"/>
      <c r="P37" s="39"/>
    </row>
    <row r="38" spans="2:19" x14ac:dyDescent="0.2">
      <c r="J38" s="37">
        <v>2015</v>
      </c>
      <c r="K38" s="37"/>
      <c r="L38" s="38">
        <f t="shared" si="0"/>
        <v>8.9776611440000043E-2</v>
      </c>
      <c r="M38" s="38">
        <f>(1+M37)*(1+J27)-1</f>
        <v>6.2160439999999983E-2</v>
      </c>
      <c r="N38" s="38">
        <f>(1+N37)*(1+J27)-1</f>
        <v>3.8280000000000092E-2</v>
      </c>
      <c r="O38" s="43">
        <f>J27</f>
        <v>0.01</v>
      </c>
      <c r="P38" s="39"/>
    </row>
    <row r="39" spans="2:19" x14ac:dyDescent="0.2">
      <c r="J39" s="37">
        <v>2016</v>
      </c>
      <c r="K39" s="37"/>
      <c r="L39" s="38">
        <f t="shared" si="0"/>
        <v>9.8494824331520014E-2</v>
      </c>
      <c r="M39" s="38">
        <f>(1+M38)*(1+J28)-1</f>
        <v>7.0657723519999882E-2</v>
      </c>
      <c r="N39" s="38">
        <f>(1+N38)*(1+J28)-1</f>
        <v>4.6586240000000112E-2</v>
      </c>
      <c r="O39" s="38">
        <f>(1+O38)*(1+J28)-1</f>
        <v>1.8080000000000096E-2</v>
      </c>
      <c r="P39" s="43">
        <f>J28</f>
        <v>8.0000000000000002E-3</v>
      </c>
    </row>
    <row r="42" spans="2:19" s="9" customFormat="1" x14ac:dyDescent="0.2">
      <c r="B42" s="9" t="s">
        <v>336</v>
      </c>
    </row>
    <row r="44" spans="2:19" x14ac:dyDescent="0.2">
      <c r="B44" s="2" t="s">
        <v>337</v>
      </c>
      <c r="H44" s="2" t="s">
        <v>28</v>
      </c>
      <c r="J44" s="85">
        <v>7.7000000000000002E-3</v>
      </c>
      <c r="S44" s="2" t="s">
        <v>344</v>
      </c>
    </row>
    <row r="45" spans="2:19" x14ac:dyDescent="0.2">
      <c r="B45" s="2" t="s">
        <v>338</v>
      </c>
      <c r="H45" s="2" t="s">
        <v>28</v>
      </c>
      <c r="J45" s="80">
        <f>(4/5)*J44+(1/5)*J49</f>
        <v>9.0000000000000011E-3</v>
      </c>
    </row>
    <row r="46" spans="2:19" x14ac:dyDescent="0.2">
      <c r="B46" s="2" t="s">
        <v>339</v>
      </c>
      <c r="H46" s="2" t="s">
        <v>28</v>
      </c>
      <c r="J46" s="80">
        <f>(3/5)*J44+(2/5)*J49</f>
        <v>1.03E-2</v>
      </c>
    </row>
    <row r="47" spans="2:19" x14ac:dyDescent="0.2">
      <c r="B47" s="2" t="s">
        <v>340</v>
      </c>
      <c r="H47" s="2" t="s">
        <v>28</v>
      </c>
      <c r="J47" s="80">
        <f>(2/5)*J44+(3/5)*J49</f>
        <v>1.1599999999999999E-2</v>
      </c>
    </row>
    <row r="48" spans="2:19" x14ac:dyDescent="0.2">
      <c r="B48" s="2" t="s">
        <v>341</v>
      </c>
      <c r="H48" s="2" t="s">
        <v>28</v>
      </c>
      <c r="J48" s="80">
        <f>(1/5)*J44+(4/5)*J49</f>
        <v>1.2900000000000002E-2</v>
      </c>
    </row>
    <row r="49" spans="2:19" x14ac:dyDescent="0.2">
      <c r="B49" s="2" t="s">
        <v>342</v>
      </c>
      <c r="H49" s="2" t="s">
        <v>28</v>
      </c>
      <c r="J49" s="85">
        <v>1.4200000000000001E-2</v>
      </c>
      <c r="S49" s="2" t="s">
        <v>344</v>
      </c>
    </row>
    <row r="51" spans="2:19" x14ac:dyDescent="0.2">
      <c r="B51" s="2" t="s">
        <v>96</v>
      </c>
      <c r="H51" s="2" t="s">
        <v>28</v>
      </c>
      <c r="J51" s="86">
        <f>((1+J45)*(1+J46)*(1+J47)*(1+J48)*(1+J49))^(1/5)-1</f>
        <v>1.1598329375890337E-2</v>
      </c>
    </row>
    <row r="52" spans="2:19" s="10" customFormat="1" x14ac:dyDescent="0.2">
      <c r="J52" s="87"/>
    </row>
    <row r="53" spans="2:19" x14ac:dyDescent="0.2">
      <c r="B53" s="2" t="s">
        <v>343</v>
      </c>
      <c r="H53" s="2" t="s">
        <v>28</v>
      </c>
      <c r="J53" s="86">
        <f>ROUND(J51,3)</f>
        <v>1.2E-2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
  <sheetViews>
    <sheetView showGridLines="0" workbookViewId="0"/>
  </sheetViews>
  <sheetFormatPr defaultRowHeight="15" x14ac:dyDescent="0.25"/>
  <cols>
    <col min="1" max="16384" width="9.140625" style="8"/>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FFFFCC"/>
  </sheetPr>
  <dimension ref="A1:R56"/>
  <sheetViews>
    <sheetView showGridLines="0" zoomScale="85" zoomScaleNormal="85" workbookViewId="0">
      <pane ySplit="8" topLeftCell="A9" activePane="bottomLeft" state="frozen"/>
      <selection pane="bottomLeft"/>
    </sheetView>
  </sheetViews>
  <sheetFormatPr defaultRowHeight="12.75" customHeight="1" x14ac:dyDescent="0.2"/>
  <cols>
    <col min="1" max="1" width="2.7109375" style="105" customWidth="1"/>
    <col min="2" max="2" width="86" style="105" customWidth="1"/>
    <col min="3" max="3" width="2.7109375" style="105" customWidth="1"/>
    <col min="4" max="4" width="17" style="105" customWidth="1"/>
    <col min="5" max="7" width="2.7109375" style="105" customWidth="1"/>
    <col min="8" max="8" width="14" style="105" customWidth="1"/>
    <col min="9" max="9" width="2.7109375" style="105" customWidth="1"/>
    <col min="10" max="10" width="15.7109375" style="122" customWidth="1"/>
    <col min="11" max="11" width="2.42578125" style="122" customWidth="1"/>
    <col min="12" max="18" width="14.7109375" style="122" customWidth="1"/>
    <col min="19" max="16384" width="9.140625" style="105"/>
  </cols>
  <sheetData>
    <row r="1" spans="2:18" ht="12.75" customHeight="1" x14ac:dyDescent="0.2">
      <c r="B1" s="2" t="s">
        <v>389</v>
      </c>
    </row>
    <row r="3" spans="2:18" s="14" customFormat="1" ht="18" customHeight="1" x14ac:dyDescent="0.25">
      <c r="B3" s="13" t="s">
        <v>27</v>
      </c>
      <c r="J3" s="25"/>
      <c r="K3" s="25"/>
      <c r="L3" s="25"/>
      <c r="M3" s="25"/>
      <c r="N3" s="25"/>
      <c r="O3" s="25"/>
      <c r="P3" s="25"/>
      <c r="Q3" s="25"/>
      <c r="R3" s="25"/>
    </row>
    <row r="4" spans="2:18" s="2" customFormat="1" ht="12.75" customHeight="1" x14ac:dyDescent="0.2">
      <c r="J4" s="26"/>
      <c r="K4" s="26"/>
      <c r="L4" s="26"/>
      <c r="M4" s="26"/>
      <c r="N4" s="26"/>
      <c r="O4" s="26"/>
      <c r="P4" s="26"/>
      <c r="Q4" s="26"/>
      <c r="R4" s="26"/>
    </row>
    <row r="5" spans="2:18" s="2" customFormat="1" ht="12.75" customHeight="1" x14ac:dyDescent="0.2">
      <c r="B5" s="23" t="s">
        <v>287</v>
      </c>
      <c r="J5" s="26"/>
      <c r="K5" s="26"/>
      <c r="L5" s="26"/>
      <c r="M5" s="26"/>
      <c r="N5" s="26"/>
      <c r="O5" s="26"/>
      <c r="P5" s="26"/>
      <c r="Q5" s="26"/>
      <c r="R5" s="26"/>
    </row>
    <row r="6" spans="2:18" s="2" customFormat="1" ht="12.75" customHeight="1" x14ac:dyDescent="0.2">
      <c r="B6" s="23" t="s">
        <v>376</v>
      </c>
      <c r="J6" s="26"/>
      <c r="K6" s="26"/>
      <c r="L6" s="26"/>
      <c r="M6" s="26"/>
      <c r="N6" s="26"/>
      <c r="O6" s="26"/>
      <c r="P6" s="26"/>
      <c r="Q6" s="26"/>
      <c r="R6" s="26"/>
    </row>
    <row r="7" spans="2:18" s="2" customFormat="1" ht="12.75" customHeight="1" x14ac:dyDescent="0.2">
      <c r="B7" s="23"/>
      <c r="J7" s="26"/>
      <c r="K7" s="26"/>
      <c r="L7" s="26"/>
      <c r="M7" s="26"/>
      <c r="N7" s="26"/>
      <c r="O7" s="26"/>
      <c r="P7" s="26"/>
      <c r="Q7" s="26"/>
      <c r="R7" s="26"/>
    </row>
    <row r="8" spans="2:18" s="9" customFormat="1" ht="12.75" customHeight="1" x14ac:dyDescent="0.2">
      <c r="D8" s="9" t="s">
        <v>39</v>
      </c>
      <c r="H8" s="9" t="s">
        <v>1</v>
      </c>
      <c r="J8" s="27" t="s">
        <v>11</v>
      </c>
      <c r="K8" s="27"/>
      <c r="L8" s="27"/>
      <c r="M8" s="27"/>
      <c r="N8" s="27"/>
      <c r="O8" s="27"/>
      <c r="P8" s="27"/>
      <c r="Q8" s="27"/>
      <c r="R8" s="27"/>
    </row>
    <row r="9" spans="2:18" s="2" customFormat="1" ht="12.75" customHeight="1" x14ac:dyDescent="0.2">
      <c r="J9" s="26"/>
      <c r="K9" s="26"/>
      <c r="L9" s="26"/>
      <c r="M9" s="26"/>
      <c r="N9" s="26"/>
      <c r="O9" s="26"/>
      <c r="P9" s="26"/>
      <c r="Q9" s="26"/>
      <c r="R9" s="26"/>
    </row>
    <row r="10" spans="2:18" s="2" customFormat="1" ht="12.75" customHeight="1" x14ac:dyDescent="0.2">
      <c r="J10" s="26"/>
      <c r="K10" s="26"/>
      <c r="L10" s="26"/>
      <c r="M10" s="26"/>
      <c r="N10" s="26"/>
      <c r="O10" s="26"/>
      <c r="P10" s="26"/>
      <c r="Q10" s="26"/>
      <c r="R10" s="26"/>
    </row>
    <row r="11" spans="2:18" s="9" customFormat="1" ht="12.75" customHeight="1" x14ac:dyDescent="0.2">
      <c r="B11" s="9" t="s">
        <v>60</v>
      </c>
      <c r="J11" s="27"/>
      <c r="K11" s="27"/>
      <c r="L11" s="27"/>
      <c r="M11" s="27"/>
      <c r="N11" s="27"/>
      <c r="O11" s="27"/>
      <c r="P11" s="27"/>
      <c r="Q11" s="27"/>
      <c r="R11" s="27"/>
    </row>
    <row r="13" spans="2:18" ht="12.75" customHeight="1" x14ac:dyDescent="0.2">
      <c r="L13" s="122" t="s">
        <v>107</v>
      </c>
      <c r="M13" s="122" t="s">
        <v>108</v>
      </c>
      <c r="N13" s="122" t="s">
        <v>109</v>
      </c>
      <c r="O13" s="122" t="s">
        <v>110</v>
      </c>
    </row>
    <row r="14" spans="2:18" ht="12.75" customHeight="1" x14ac:dyDescent="0.2">
      <c r="D14" s="105" t="s">
        <v>106</v>
      </c>
      <c r="L14" s="123">
        <f>'WACC en CPI'!M39</f>
        <v>7.0657723519999882E-2</v>
      </c>
      <c r="M14" s="123">
        <f>'WACC en CPI'!N39</f>
        <v>4.6586240000000112E-2</v>
      </c>
      <c r="N14" s="123">
        <f>'WACC en CPI'!O39</f>
        <v>1.8080000000000096E-2</v>
      </c>
      <c r="O14" s="123">
        <f>'WACC en CPI'!P39</f>
        <v>8.0000000000000002E-3</v>
      </c>
    </row>
    <row r="17" spans="2:18" s="9" customFormat="1" ht="12.75" customHeight="1" x14ac:dyDescent="0.2">
      <c r="B17" s="9" t="s">
        <v>120</v>
      </c>
      <c r="J17" s="27"/>
      <c r="K17" s="27"/>
      <c r="L17" s="27"/>
      <c r="M17" s="27"/>
      <c r="N17" s="27"/>
      <c r="O17" s="27"/>
      <c r="P17" s="27"/>
      <c r="Q17" s="27"/>
      <c r="R17" s="27"/>
    </row>
    <row r="19" spans="2:18" ht="12.75" customHeight="1" x14ac:dyDescent="0.2">
      <c r="B19" s="28" t="s">
        <v>155</v>
      </c>
      <c r="C19" s="2"/>
      <c r="D19" s="2"/>
      <c r="E19" s="2"/>
      <c r="F19" s="2"/>
      <c r="G19" s="2"/>
      <c r="H19" s="2"/>
      <c r="I19" s="2"/>
      <c r="J19" s="26"/>
      <c r="K19" s="26"/>
      <c r="L19" s="26"/>
      <c r="M19" s="26"/>
      <c r="N19" s="26"/>
      <c r="O19" s="26"/>
      <c r="P19" s="2"/>
      <c r="Q19" s="2"/>
      <c r="R19" s="105"/>
    </row>
    <row r="20" spans="2:18" ht="12.75" customHeight="1" x14ac:dyDescent="0.2">
      <c r="B20" s="29" t="s">
        <v>119</v>
      </c>
      <c r="C20" s="2"/>
      <c r="D20" s="2"/>
      <c r="E20" s="2"/>
      <c r="F20" s="2"/>
      <c r="G20" s="2"/>
      <c r="H20" s="2"/>
      <c r="I20" s="2"/>
      <c r="J20" s="26"/>
      <c r="K20" s="26"/>
      <c r="L20" s="26"/>
      <c r="M20" s="74"/>
      <c r="N20" s="26"/>
      <c r="O20" s="26"/>
      <c r="P20" s="2"/>
      <c r="Q20" s="2"/>
      <c r="R20" s="105"/>
    </row>
    <row r="21" spans="2:18" ht="12.75" customHeight="1" x14ac:dyDescent="0.2">
      <c r="B21" s="2"/>
      <c r="C21" s="2"/>
      <c r="D21" s="2"/>
      <c r="E21" s="2"/>
      <c r="F21" s="2"/>
      <c r="G21" s="2"/>
      <c r="H21" s="2"/>
      <c r="I21" s="2"/>
      <c r="J21" s="26"/>
      <c r="K21" s="26"/>
      <c r="L21" s="75">
        <v>2012</v>
      </c>
      <c r="M21" s="75">
        <v>2013</v>
      </c>
      <c r="N21" s="75">
        <v>2014</v>
      </c>
      <c r="O21" s="75">
        <v>2015</v>
      </c>
      <c r="P21" s="2"/>
      <c r="Q21" s="2"/>
      <c r="R21" s="105"/>
    </row>
    <row r="22" spans="2:18" ht="12.75" customHeight="1" x14ac:dyDescent="0.2">
      <c r="B22" s="2" t="s">
        <v>259</v>
      </c>
      <c r="C22" s="2"/>
      <c r="D22" s="2"/>
      <c r="E22" s="2"/>
      <c r="F22" s="2"/>
      <c r="G22" s="2"/>
      <c r="H22" s="2" t="s">
        <v>262</v>
      </c>
      <c r="I22" s="2"/>
      <c r="J22" s="26"/>
      <c r="K22" s="26"/>
      <c r="L22" s="58">
        <f>'Import kosten 2012-2015'!J17-'Import kosten 2012-2015'!J20</f>
        <v>252766039.75590461</v>
      </c>
      <c r="M22" s="58">
        <f>'Import kosten 2012-2015'!J26-'Import kosten 2012-2015'!J33</f>
        <v>270466429.88769585</v>
      </c>
      <c r="N22" s="58">
        <f>'Import kosten 2012-2015'!J43-'Import kosten 2012-2015'!J50</f>
        <v>265210240.69115961</v>
      </c>
      <c r="O22" s="58">
        <f>'Import kosten 2012-2015'!J60-'Import kosten 2012-2015'!J67</f>
        <v>278448677.14132053</v>
      </c>
      <c r="P22" s="2"/>
      <c r="Q22" s="2"/>
      <c r="R22" s="105"/>
    </row>
    <row r="23" spans="2:18" ht="12.75" customHeight="1" x14ac:dyDescent="0.2">
      <c r="B23" s="20" t="s">
        <v>263</v>
      </c>
      <c r="C23" s="2"/>
      <c r="D23" s="2" t="s">
        <v>265</v>
      </c>
      <c r="E23" s="2"/>
      <c r="F23" s="2"/>
      <c r="G23" s="2"/>
      <c r="H23" s="2" t="s">
        <v>262</v>
      </c>
      <c r="I23" s="2"/>
      <c r="J23" s="26"/>
      <c r="K23" s="26"/>
      <c r="L23" s="44">
        <f>'Import kosten 2012-2015'!J18</f>
        <v>582917325.63469565</v>
      </c>
      <c r="M23" s="44">
        <f>'Import kosten 2012-2015'!J36</f>
        <v>606176957.70780957</v>
      </c>
      <c r="N23" s="30"/>
      <c r="O23" s="30"/>
      <c r="P23" s="2"/>
      <c r="Q23" s="26"/>
      <c r="R23" s="105"/>
    </row>
    <row r="24" spans="2:18" ht="12.75" customHeight="1" x14ac:dyDescent="0.2">
      <c r="B24" s="20" t="s">
        <v>263</v>
      </c>
      <c r="C24" s="2"/>
      <c r="D24" s="2" t="s">
        <v>264</v>
      </c>
      <c r="E24" s="2"/>
      <c r="F24" s="2"/>
      <c r="G24" s="2"/>
      <c r="H24" s="2" t="s">
        <v>262</v>
      </c>
      <c r="I24" s="2"/>
      <c r="J24" s="26"/>
      <c r="K24" s="26"/>
      <c r="L24" s="30"/>
      <c r="M24" s="44">
        <f>'Import kosten 2012-2015'!J37</f>
        <v>529339297.94675165</v>
      </c>
      <c r="N24" s="44">
        <f>'Import kosten 2012-2015'!J53</f>
        <v>551587179.14141059</v>
      </c>
      <c r="O24" s="30"/>
      <c r="P24" s="2"/>
      <c r="Q24" s="2"/>
      <c r="R24" s="105"/>
    </row>
    <row r="25" spans="2:18" ht="12.75" customHeight="1" x14ac:dyDescent="0.2">
      <c r="B25" s="20" t="s">
        <v>267</v>
      </c>
      <c r="C25" s="2"/>
      <c r="D25" s="2" t="s">
        <v>266</v>
      </c>
      <c r="E25" s="2"/>
      <c r="F25" s="2"/>
      <c r="G25" s="2"/>
      <c r="H25" s="2" t="s">
        <v>262</v>
      </c>
      <c r="I25" s="2"/>
      <c r="J25" s="26"/>
      <c r="K25" s="26"/>
      <c r="L25" s="30"/>
      <c r="M25" s="30"/>
      <c r="N25" s="44">
        <f>'Import kosten 2012-2015'!J54</f>
        <v>472432544.03145349</v>
      </c>
      <c r="O25" s="44">
        <f>'Import kosten 2012-2015'!J70</f>
        <v>482853310.27278399</v>
      </c>
      <c r="P25" s="2"/>
      <c r="Q25" s="2"/>
      <c r="R25" s="105"/>
    </row>
    <row r="26" spans="2:18" ht="12.75" customHeight="1" x14ac:dyDescent="0.2">
      <c r="B26" s="2"/>
      <c r="C26" s="2"/>
      <c r="D26" s="2"/>
      <c r="E26" s="2"/>
      <c r="F26" s="2"/>
      <c r="G26" s="2"/>
      <c r="H26" s="2"/>
      <c r="I26" s="2"/>
      <c r="J26" s="26"/>
      <c r="K26" s="26"/>
      <c r="L26" s="31"/>
      <c r="M26" s="31"/>
      <c r="N26" s="31"/>
      <c r="O26" s="31"/>
      <c r="P26" s="2"/>
      <c r="Q26" s="2"/>
      <c r="R26" s="105"/>
    </row>
    <row r="27" spans="2:18" ht="12.75" customHeight="1" x14ac:dyDescent="0.2">
      <c r="B27" s="2" t="s">
        <v>121</v>
      </c>
      <c r="C27" s="2"/>
      <c r="D27" s="2"/>
      <c r="E27" s="2"/>
      <c r="F27" s="2"/>
      <c r="G27" s="2"/>
      <c r="H27" s="2" t="s">
        <v>2</v>
      </c>
      <c r="I27" s="2"/>
      <c r="J27" s="26"/>
      <c r="K27" s="26"/>
      <c r="L27" s="58">
        <f>SUM(L22:L23)*(1+L14)</f>
        <v>894730849.57263231</v>
      </c>
      <c r="M27" s="58">
        <f>SUM(M22:M23)*(1+M14)</f>
        <v>917482906.84444284</v>
      </c>
      <c r="N27" s="30"/>
      <c r="O27" s="30"/>
      <c r="P27" s="2"/>
      <c r="Q27" s="2" t="s">
        <v>288</v>
      </c>
      <c r="R27" s="105"/>
    </row>
    <row r="28" spans="2:18" ht="12.75" customHeight="1" x14ac:dyDescent="0.2">
      <c r="B28" s="2" t="s">
        <v>122</v>
      </c>
      <c r="C28" s="2"/>
      <c r="D28" s="2"/>
      <c r="E28" s="2"/>
      <c r="F28" s="2"/>
      <c r="G28" s="2"/>
      <c r="H28" s="2" t="s">
        <v>2</v>
      </c>
      <c r="I28" s="2"/>
      <c r="J28" s="26"/>
      <c r="K28" s="26"/>
      <c r="L28" s="30"/>
      <c r="M28" s="58">
        <f>SUM(M22:M22,M24)*(1+M14)</f>
        <v>837065669.4247179</v>
      </c>
      <c r="N28" s="58">
        <f>SUM(N22:N22,N24)*(1+N14)</f>
        <v>831565117.18314314</v>
      </c>
      <c r="O28" s="30"/>
      <c r="P28" s="2"/>
      <c r="Q28" s="2"/>
      <c r="R28" s="105"/>
    </row>
    <row r="29" spans="2:18" ht="12.75" customHeight="1" x14ac:dyDescent="0.2">
      <c r="B29" s="2" t="s">
        <v>123</v>
      </c>
      <c r="C29" s="2"/>
      <c r="D29" s="2"/>
      <c r="E29" s="2"/>
      <c r="F29" s="2"/>
      <c r="G29" s="2"/>
      <c r="H29" s="2" t="s">
        <v>2</v>
      </c>
      <c r="I29" s="2"/>
      <c r="J29" s="26"/>
      <c r="K29" s="26"/>
      <c r="L29" s="30"/>
      <c r="M29" s="30"/>
      <c r="N29" s="58">
        <f>SUM(N22:N22,N25)*(1+N14)</f>
        <v>750979366.27039802</v>
      </c>
      <c r="O29" s="58">
        <f>SUM(O22:O22,O25)*(1+O14)</f>
        <v>767392403.31341732</v>
      </c>
      <c r="P29" s="2"/>
      <c r="Q29" s="2"/>
      <c r="R29" s="105"/>
    </row>
    <row r="30" spans="2:18" ht="12.75" customHeight="1" x14ac:dyDescent="0.2">
      <c r="B30" s="2" t="s">
        <v>258</v>
      </c>
      <c r="C30" s="2"/>
      <c r="D30" s="2"/>
      <c r="E30" s="2"/>
      <c r="F30" s="2"/>
      <c r="G30" s="2"/>
      <c r="H30" s="2" t="s">
        <v>12</v>
      </c>
      <c r="I30" s="2"/>
      <c r="J30" s="26"/>
      <c r="K30" s="26"/>
      <c r="L30" s="44">
        <f>'Import SO en BI'!J17</f>
        <v>733117589.21783102</v>
      </c>
      <c r="M30" s="44">
        <f>'Import SO en BI'!J18</f>
        <v>732381801.02754593</v>
      </c>
      <c r="N30" s="44">
        <f>'Import SO en BI'!J19</f>
        <v>727145195.62046373</v>
      </c>
      <c r="O30" s="44">
        <f>'Import SO en BI'!J20</f>
        <v>726451687.13143194</v>
      </c>
      <c r="P30" s="2"/>
      <c r="Q30" s="2"/>
      <c r="R30" s="105"/>
    </row>
    <row r="31" spans="2:18" ht="12.75" customHeight="1" x14ac:dyDescent="0.2">
      <c r="B31" s="2" t="s">
        <v>111</v>
      </c>
      <c r="C31" s="2"/>
      <c r="D31" s="2"/>
      <c r="E31" s="2"/>
      <c r="F31" s="2"/>
      <c r="G31" s="2"/>
      <c r="H31" s="2" t="s">
        <v>28</v>
      </c>
      <c r="I31" s="2"/>
      <c r="J31" s="26"/>
      <c r="K31" s="26"/>
      <c r="L31" s="17"/>
      <c r="M31" s="76">
        <f>1-(M27/M30)/(L27/L30)</f>
        <v>-2.6459138527593851E-2</v>
      </c>
      <c r="N31" s="76">
        <f>1-(N28/N30)/(M28/M30)</f>
        <v>-5.8304049177015926E-4</v>
      </c>
      <c r="O31" s="76">
        <f>1-(O29/O30)/(N29/N30)</f>
        <v>-2.283102630370637E-2</v>
      </c>
      <c r="P31" s="2"/>
      <c r="Q31" s="2" t="s">
        <v>290</v>
      </c>
      <c r="R31" s="105"/>
    </row>
    <row r="32" spans="2:18" ht="12.75" customHeight="1" x14ac:dyDescent="0.2">
      <c r="B32" s="2"/>
      <c r="C32" s="2"/>
      <c r="D32" s="2"/>
      <c r="E32" s="2"/>
      <c r="F32" s="2"/>
      <c r="G32" s="2"/>
      <c r="H32" s="2"/>
      <c r="I32" s="2"/>
      <c r="J32" s="26"/>
      <c r="K32" s="26"/>
      <c r="L32" s="26"/>
      <c r="M32" s="26"/>
      <c r="N32" s="26"/>
      <c r="O32" s="26"/>
      <c r="P32" s="26"/>
      <c r="Q32" s="26"/>
    </row>
    <row r="33" spans="1:18" ht="12.75" customHeight="1" x14ac:dyDescent="0.2">
      <c r="A33" s="124"/>
      <c r="B33" s="2"/>
      <c r="C33" s="2"/>
      <c r="D33" s="2"/>
      <c r="E33" s="2"/>
      <c r="F33" s="2"/>
      <c r="G33" s="2"/>
      <c r="H33" s="2"/>
      <c r="I33" s="2"/>
      <c r="J33" s="26"/>
      <c r="K33" s="26"/>
      <c r="L33" s="26"/>
      <c r="M33" s="26"/>
      <c r="N33" s="26"/>
      <c r="O33" s="26"/>
      <c r="P33" s="26"/>
      <c r="Q33" s="26"/>
    </row>
    <row r="34" spans="1:18" s="9" customFormat="1" ht="12.75" customHeight="1" x14ac:dyDescent="0.2">
      <c r="B34" s="9" t="s">
        <v>124</v>
      </c>
      <c r="J34" s="27"/>
      <c r="K34" s="27"/>
      <c r="L34" s="27"/>
      <c r="M34" s="27"/>
      <c r="N34" s="27"/>
      <c r="O34" s="27"/>
      <c r="P34" s="27"/>
      <c r="Q34" s="27"/>
      <c r="R34" s="27"/>
    </row>
    <row r="35" spans="1:18" ht="12.75" customHeight="1" x14ac:dyDescent="0.2">
      <c r="B35" s="2"/>
      <c r="C35" s="2"/>
      <c r="D35" s="2"/>
      <c r="E35" s="2"/>
      <c r="F35" s="2"/>
      <c r="G35" s="2"/>
      <c r="H35" s="2"/>
      <c r="I35" s="2"/>
      <c r="J35" s="26"/>
      <c r="K35" s="26"/>
      <c r="L35" s="26"/>
      <c r="M35" s="26"/>
      <c r="N35" s="26"/>
      <c r="O35" s="26"/>
      <c r="P35" s="26"/>
      <c r="Q35" s="26"/>
    </row>
    <row r="36" spans="1:18" ht="12.75" customHeight="1" x14ac:dyDescent="0.2">
      <c r="A36" s="124"/>
      <c r="B36" s="28" t="s">
        <v>270</v>
      </c>
      <c r="C36" s="2"/>
      <c r="D36" s="2"/>
      <c r="E36" s="2"/>
      <c r="F36" s="2"/>
      <c r="G36" s="2"/>
      <c r="H36" s="2"/>
      <c r="I36" s="2"/>
      <c r="J36" s="26"/>
      <c r="K36" s="26"/>
      <c r="L36" s="26"/>
      <c r="M36" s="26"/>
      <c r="N36" s="26"/>
      <c r="O36" s="26"/>
      <c r="P36" s="26"/>
      <c r="Q36" s="26"/>
    </row>
    <row r="37" spans="1:18" ht="12.75" customHeight="1" x14ac:dyDescent="0.2">
      <c r="A37" s="124"/>
      <c r="B37" s="28" t="s">
        <v>269</v>
      </c>
      <c r="C37" s="2"/>
      <c r="D37" s="2"/>
      <c r="E37" s="2"/>
      <c r="F37" s="2"/>
      <c r="G37" s="2"/>
      <c r="H37" s="2"/>
      <c r="I37" s="2"/>
      <c r="J37" s="26"/>
      <c r="K37" s="26"/>
      <c r="L37" s="26"/>
      <c r="M37" s="26"/>
      <c r="N37" s="26"/>
      <c r="O37" s="26"/>
      <c r="P37" s="26"/>
      <c r="Q37" s="26"/>
    </row>
    <row r="38" spans="1:18" ht="12.75" customHeight="1" x14ac:dyDescent="0.2">
      <c r="A38" s="124"/>
      <c r="B38" s="28" t="s">
        <v>268</v>
      </c>
      <c r="C38" s="2"/>
      <c r="D38" s="2"/>
      <c r="E38" s="2"/>
      <c r="F38" s="2"/>
      <c r="G38" s="2"/>
      <c r="H38" s="2"/>
      <c r="I38" s="2"/>
      <c r="J38" s="26"/>
      <c r="K38" s="26"/>
      <c r="L38" s="26"/>
      <c r="M38" s="26"/>
      <c r="N38" s="26"/>
      <c r="O38" s="26"/>
      <c r="P38" s="26"/>
      <c r="Q38" s="26"/>
    </row>
    <row r="39" spans="1:18" ht="12.75" customHeight="1" x14ac:dyDescent="0.2">
      <c r="A39" s="124"/>
      <c r="B39" s="2"/>
      <c r="C39" s="2"/>
      <c r="D39" s="2"/>
      <c r="E39" s="2"/>
      <c r="F39" s="2"/>
      <c r="G39" s="2"/>
      <c r="H39" s="2"/>
      <c r="I39" s="2"/>
      <c r="J39" s="26"/>
      <c r="K39" s="26"/>
      <c r="L39" s="26"/>
      <c r="M39" s="26"/>
      <c r="N39" s="26"/>
      <c r="O39" s="26"/>
      <c r="P39" s="26"/>
      <c r="Q39" s="26"/>
    </row>
    <row r="40" spans="1:18" ht="12.75" customHeight="1" x14ac:dyDescent="0.2">
      <c r="A40" s="124"/>
      <c r="B40" s="2"/>
      <c r="C40" s="2"/>
      <c r="D40" s="2"/>
      <c r="E40" s="2"/>
      <c r="F40" s="2"/>
      <c r="G40" s="2"/>
      <c r="H40" s="2"/>
      <c r="I40" s="2"/>
      <c r="J40" s="26" t="s">
        <v>129</v>
      </c>
      <c r="K40" s="26"/>
      <c r="L40" s="77" t="s">
        <v>130</v>
      </c>
      <c r="M40" s="26"/>
      <c r="N40" s="26"/>
      <c r="O40" s="26"/>
      <c r="P40" s="26"/>
      <c r="Q40" s="2" t="s">
        <v>290</v>
      </c>
    </row>
    <row r="41" spans="1:18" ht="12.75" customHeight="1" x14ac:dyDescent="0.2">
      <c r="A41" s="124"/>
      <c r="B41" s="2" t="s">
        <v>112</v>
      </c>
      <c r="C41" s="2"/>
      <c r="D41" s="2" t="s">
        <v>261</v>
      </c>
      <c r="E41" s="2"/>
      <c r="F41" s="2"/>
      <c r="G41" s="2"/>
      <c r="H41" s="2" t="s">
        <v>28</v>
      </c>
      <c r="I41" s="2"/>
      <c r="J41" s="78">
        <v>3.4336984622197176E-3</v>
      </c>
      <c r="K41" s="26"/>
      <c r="L41" s="79">
        <f t="shared" ref="L41:L50" si="0">J41+1</f>
        <v>1.0034336984622196</v>
      </c>
      <c r="M41" s="26"/>
      <c r="N41" s="26"/>
      <c r="O41" s="26"/>
      <c r="P41" s="26"/>
      <c r="Q41" s="2" t="s">
        <v>367</v>
      </c>
    </row>
    <row r="42" spans="1:18" ht="12.75" customHeight="1" x14ac:dyDescent="0.2">
      <c r="A42" s="124"/>
      <c r="B42" s="2" t="s">
        <v>113</v>
      </c>
      <c r="C42" s="2"/>
      <c r="D42" s="2" t="s">
        <v>261</v>
      </c>
      <c r="E42" s="2"/>
      <c r="F42" s="2"/>
      <c r="G42" s="2"/>
      <c r="H42" s="2" t="s">
        <v>28</v>
      </c>
      <c r="I42" s="2"/>
      <c r="J42" s="78">
        <v>-9.6159535007804657E-3</v>
      </c>
      <c r="K42" s="26"/>
      <c r="L42" s="79">
        <f t="shared" si="0"/>
        <v>0.99038404649921952</v>
      </c>
      <c r="M42" s="26"/>
      <c r="N42" s="26"/>
      <c r="O42" s="26"/>
      <c r="P42" s="26"/>
      <c r="Q42" s="2" t="s">
        <v>367</v>
      </c>
    </row>
    <row r="43" spans="1:18" ht="12.75" customHeight="1" x14ac:dyDescent="0.2">
      <c r="A43" s="124"/>
      <c r="B43" s="2" t="s">
        <v>114</v>
      </c>
      <c r="C43" s="2"/>
      <c r="D43" s="2" t="s">
        <v>261</v>
      </c>
      <c r="E43" s="2"/>
      <c r="F43" s="2"/>
      <c r="G43" s="2"/>
      <c r="H43" s="2" t="s">
        <v>28</v>
      </c>
      <c r="I43" s="2"/>
      <c r="J43" s="78">
        <v>5.669638437281856E-3</v>
      </c>
      <c r="K43" s="26"/>
      <c r="L43" s="79">
        <f t="shared" si="0"/>
        <v>1.0056696384372819</v>
      </c>
      <c r="M43" s="26"/>
      <c r="N43" s="26"/>
      <c r="O43" s="26"/>
      <c r="P43" s="26"/>
      <c r="Q43" s="2" t="s">
        <v>367</v>
      </c>
    </row>
    <row r="44" spans="1:18" ht="12.75" customHeight="1" x14ac:dyDescent="0.2">
      <c r="A44" s="124"/>
      <c r="B44" s="2" t="s">
        <v>115</v>
      </c>
      <c r="C44" s="2"/>
      <c r="D44" s="2" t="s">
        <v>261</v>
      </c>
      <c r="E44" s="2"/>
      <c r="F44" s="2"/>
      <c r="G44" s="2"/>
      <c r="H44" s="2" t="s">
        <v>28</v>
      </c>
      <c r="I44" s="2"/>
      <c r="J44" s="78">
        <v>2.2718773518675534E-2</v>
      </c>
      <c r="K44" s="26"/>
      <c r="L44" s="79">
        <f t="shared" si="0"/>
        <v>1.0227187735186756</v>
      </c>
      <c r="M44" s="26"/>
      <c r="N44" s="26"/>
      <c r="O44" s="26"/>
      <c r="P44" s="26"/>
      <c r="Q44" s="2" t="s">
        <v>367</v>
      </c>
    </row>
    <row r="45" spans="1:18" ht="12.75" customHeight="1" x14ac:dyDescent="0.2">
      <c r="A45" s="124"/>
      <c r="B45" s="2" t="s">
        <v>116</v>
      </c>
      <c r="C45" s="2"/>
      <c r="D45" s="2" t="s">
        <v>261</v>
      </c>
      <c r="E45" s="2"/>
      <c r="F45" s="2"/>
      <c r="G45" s="2"/>
      <c r="H45" s="2" t="s">
        <v>28</v>
      </c>
      <c r="I45" s="2"/>
      <c r="J45" s="78">
        <v>4.0933998445390918E-2</v>
      </c>
      <c r="K45" s="26"/>
      <c r="L45" s="79">
        <f t="shared" si="0"/>
        <v>1.0409339984453909</v>
      </c>
      <c r="M45" s="26"/>
      <c r="N45" s="26"/>
      <c r="O45" s="26"/>
      <c r="P45" s="26"/>
      <c r="Q45" s="2" t="s">
        <v>367</v>
      </c>
    </row>
    <row r="46" spans="1:18" ht="12.75" customHeight="1" x14ac:dyDescent="0.2">
      <c r="A46" s="124"/>
      <c r="B46" s="2" t="s">
        <v>117</v>
      </c>
      <c r="C46" s="2"/>
      <c r="D46" s="2" t="s">
        <v>261</v>
      </c>
      <c r="E46" s="2"/>
      <c r="F46" s="2"/>
      <c r="G46" s="2"/>
      <c r="H46" s="2" t="s">
        <v>28</v>
      </c>
      <c r="I46" s="2"/>
      <c r="J46" s="78">
        <v>-5.0751527634833593E-3</v>
      </c>
      <c r="K46" s="26"/>
      <c r="L46" s="79">
        <f t="shared" si="0"/>
        <v>0.99492484723651664</v>
      </c>
      <c r="M46" s="26"/>
      <c r="N46" s="26"/>
      <c r="O46" s="26"/>
      <c r="P46" s="26"/>
      <c r="Q46" s="2" t="s">
        <v>367</v>
      </c>
    </row>
    <row r="47" spans="1:18" ht="12.75" customHeight="1" x14ac:dyDescent="0.2">
      <c r="A47" s="124"/>
      <c r="B47" s="2" t="s">
        <v>118</v>
      </c>
      <c r="C47" s="2"/>
      <c r="D47" s="2" t="s">
        <v>261</v>
      </c>
      <c r="E47" s="2"/>
      <c r="F47" s="2"/>
      <c r="G47" s="2"/>
      <c r="H47" s="2" t="s">
        <v>28</v>
      </c>
      <c r="I47" s="2"/>
      <c r="J47" s="78">
        <v>-3.1143448211270464E-3</v>
      </c>
      <c r="K47" s="26"/>
      <c r="L47" s="79">
        <f t="shared" si="0"/>
        <v>0.99688565517887295</v>
      </c>
      <c r="M47" s="26"/>
      <c r="N47" s="26"/>
      <c r="O47" s="26"/>
      <c r="P47" s="26"/>
      <c r="Q47" s="2" t="s">
        <v>367</v>
      </c>
    </row>
    <row r="48" spans="1:18" ht="12.75" customHeight="1" x14ac:dyDescent="0.2">
      <c r="A48" s="124"/>
      <c r="B48" s="2" t="s">
        <v>125</v>
      </c>
      <c r="C48" s="2"/>
      <c r="D48" s="2" t="s">
        <v>260</v>
      </c>
      <c r="E48" s="2"/>
      <c r="F48" s="2"/>
      <c r="G48" s="2"/>
      <c r="H48" s="2" t="s">
        <v>28</v>
      </c>
      <c r="I48" s="2"/>
      <c r="J48" s="80">
        <f>M31</f>
        <v>-2.6459138527593851E-2</v>
      </c>
      <c r="K48" s="26"/>
      <c r="L48" s="79">
        <f t="shared" si="0"/>
        <v>0.97354086147240615</v>
      </c>
      <c r="M48" s="26"/>
      <c r="N48" s="26"/>
      <c r="O48" s="26"/>
      <c r="P48" s="26"/>
      <c r="Q48" s="2" t="s">
        <v>367</v>
      </c>
    </row>
    <row r="49" spans="1:18" ht="12.75" customHeight="1" x14ac:dyDescent="0.2">
      <c r="A49" s="124"/>
      <c r="B49" s="2" t="s">
        <v>126</v>
      </c>
      <c r="C49" s="2"/>
      <c r="D49" s="2" t="s">
        <v>260</v>
      </c>
      <c r="E49" s="2"/>
      <c r="F49" s="2"/>
      <c r="G49" s="2"/>
      <c r="H49" s="2" t="s">
        <v>28</v>
      </c>
      <c r="I49" s="2"/>
      <c r="J49" s="80">
        <f>N31</f>
        <v>-5.8304049177015926E-4</v>
      </c>
      <c r="K49" s="26"/>
      <c r="L49" s="79">
        <f t="shared" si="0"/>
        <v>0.99941695950822984</v>
      </c>
      <c r="M49" s="26"/>
      <c r="N49" s="26"/>
      <c r="O49" s="26"/>
      <c r="P49" s="26"/>
      <c r="Q49" s="26"/>
    </row>
    <row r="50" spans="1:18" ht="12.75" customHeight="1" x14ac:dyDescent="0.2">
      <c r="A50" s="124"/>
      <c r="B50" s="2" t="s">
        <v>127</v>
      </c>
      <c r="C50" s="2"/>
      <c r="D50" s="2" t="s">
        <v>260</v>
      </c>
      <c r="E50" s="2"/>
      <c r="F50" s="2"/>
      <c r="G50" s="2"/>
      <c r="H50" s="2" t="s">
        <v>28</v>
      </c>
      <c r="I50" s="2"/>
      <c r="J50" s="80">
        <f>O31</f>
        <v>-2.283102630370637E-2</v>
      </c>
      <c r="K50" s="26"/>
      <c r="L50" s="79">
        <f t="shared" si="0"/>
        <v>0.97716897369629363</v>
      </c>
      <c r="M50" s="26"/>
      <c r="N50" s="26"/>
      <c r="O50" s="26"/>
      <c r="P50" s="26"/>
      <c r="Q50" s="26"/>
    </row>
    <row r="51" spans="1:18" ht="12.75" customHeight="1" x14ac:dyDescent="0.2">
      <c r="A51" s="124"/>
      <c r="B51" s="2"/>
      <c r="C51" s="2"/>
      <c r="D51" s="2"/>
      <c r="E51" s="2"/>
      <c r="F51" s="2"/>
      <c r="G51" s="2"/>
      <c r="H51" s="2"/>
      <c r="I51" s="2"/>
      <c r="J51" s="26"/>
      <c r="K51" s="26"/>
      <c r="L51" s="26"/>
      <c r="M51" s="26"/>
      <c r="N51" s="26"/>
      <c r="O51" s="26"/>
      <c r="P51" s="26"/>
      <c r="Q51" s="26"/>
    </row>
    <row r="52" spans="1:18" ht="12.75" customHeight="1" x14ac:dyDescent="0.2">
      <c r="A52" s="124"/>
      <c r="B52" s="2" t="s">
        <v>128</v>
      </c>
      <c r="C52" s="2"/>
      <c r="D52" s="2"/>
      <c r="E52" s="2"/>
      <c r="F52" s="2"/>
      <c r="G52" s="2"/>
      <c r="H52" s="2"/>
      <c r="I52" s="2"/>
      <c r="J52" s="26"/>
      <c r="K52" s="26"/>
      <c r="L52" s="81">
        <f>GEOMEAN(L41:L50)-1</f>
        <v>3.3007719701627636E-4</v>
      </c>
      <c r="M52" s="2"/>
      <c r="N52" s="2"/>
      <c r="O52" s="2"/>
      <c r="P52" s="2"/>
      <c r="Q52" s="2" t="s">
        <v>291</v>
      </c>
      <c r="R52" s="105"/>
    </row>
    <row r="53" spans="1:18" ht="12.75" customHeight="1" x14ac:dyDescent="0.2">
      <c r="A53" s="124"/>
      <c r="B53" s="2"/>
      <c r="C53" s="2"/>
      <c r="D53" s="2"/>
      <c r="E53" s="2"/>
      <c r="F53" s="2"/>
      <c r="G53" s="2"/>
      <c r="H53" s="2"/>
      <c r="I53" s="2"/>
      <c r="J53" s="26"/>
      <c r="K53" s="26"/>
      <c r="L53" s="26"/>
      <c r="M53" s="26"/>
      <c r="N53" s="26"/>
      <c r="O53" s="26"/>
      <c r="P53" s="26"/>
      <c r="Q53" s="26"/>
    </row>
    <row r="54" spans="1:18" ht="12.75" customHeight="1" x14ac:dyDescent="0.2">
      <c r="A54" s="124"/>
      <c r="L54" s="125"/>
    </row>
    <row r="56" spans="1:18" ht="12.75" customHeight="1" x14ac:dyDescent="0.2">
      <c r="L56" s="126"/>
      <c r="M56" s="126"/>
      <c r="N56" s="126"/>
      <c r="O56" s="126"/>
      <c r="P56" s="126"/>
      <c r="Q56" s="126"/>
      <c r="R56" s="12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FFFFCC"/>
  </sheetPr>
  <dimension ref="A1:M148"/>
  <sheetViews>
    <sheetView showGridLines="0" zoomScale="85" zoomScaleNormal="85" workbookViewId="0">
      <pane xSplit="6" ySplit="7" topLeftCell="G8"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2:10" x14ac:dyDescent="0.2">
      <c r="B1" s="2" t="s">
        <v>389</v>
      </c>
    </row>
    <row r="2" spans="2:10" ht="14.25" x14ac:dyDescent="0.2">
      <c r="B2" s="105"/>
      <c r="C2" s="105"/>
      <c r="D2" s="105"/>
      <c r="E2" s="105"/>
    </row>
    <row r="3" spans="2:10" s="14" customFormat="1" ht="18" customHeight="1" x14ac:dyDescent="0.25">
      <c r="B3" s="13" t="s">
        <v>271</v>
      </c>
      <c r="C3" s="13"/>
      <c r="D3" s="13"/>
      <c r="E3" s="13"/>
    </row>
    <row r="5" spans="2:10" x14ac:dyDescent="0.2">
      <c r="B5" s="2" t="s">
        <v>377</v>
      </c>
    </row>
    <row r="7" spans="2:10" s="9" customFormat="1" x14ac:dyDescent="0.2">
      <c r="D7" s="9" t="s">
        <v>39</v>
      </c>
      <c r="H7" s="9" t="s">
        <v>1</v>
      </c>
      <c r="J7" s="9" t="s">
        <v>11</v>
      </c>
    </row>
    <row r="10" spans="2:10" s="1" customFormat="1" x14ac:dyDescent="0.2">
      <c r="B10" s="9" t="s">
        <v>0</v>
      </c>
      <c r="C10" s="9"/>
      <c r="D10" s="9"/>
      <c r="E10" s="9"/>
    </row>
    <row r="12" spans="2:10" x14ac:dyDescent="0.2">
      <c r="B12" s="28" t="s">
        <v>277</v>
      </c>
    </row>
    <row r="13" spans="2:10" x14ac:dyDescent="0.2">
      <c r="B13" s="28"/>
    </row>
    <row r="15" spans="2:10" x14ac:dyDescent="0.2">
      <c r="B15" s="4" t="s">
        <v>188</v>
      </c>
    </row>
    <row r="16" spans="2:10" x14ac:dyDescent="0.2">
      <c r="B16" s="15" t="s">
        <v>189</v>
      </c>
    </row>
    <row r="17" spans="1:13" x14ac:dyDescent="0.2">
      <c r="B17" s="2" t="s">
        <v>190</v>
      </c>
      <c r="D17" s="2" t="s">
        <v>196</v>
      </c>
      <c r="H17" s="2" t="s">
        <v>191</v>
      </c>
      <c r="J17" s="57">
        <v>113506886.52573574</v>
      </c>
      <c r="M17" s="15" t="s">
        <v>334</v>
      </c>
    </row>
    <row r="18" spans="1:13" x14ac:dyDescent="0.2">
      <c r="B18" s="2" t="s">
        <v>192</v>
      </c>
      <c r="D18" s="2" t="s">
        <v>197</v>
      </c>
      <c r="H18" s="2" t="s">
        <v>58</v>
      </c>
      <c r="J18" s="57">
        <v>138677829.01957732</v>
      </c>
      <c r="M18" s="15"/>
    </row>
    <row r="19" spans="1:13" x14ac:dyDescent="0.2">
      <c r="B19" s="2" t="s">
        <v>193</v>
      </c>
      <c r="D19" s="2" t="s">
        <v>198</v>
      </c>
      <c r="H19" s="2" t="s">
        <v>31</v>
      </c>
      <c r="J19" s="57">
        <v>152887601.83881867</v>
      </c>
      <c r="M19" s="15"/>
    </row>
    <row r="20" spans="1:13" x14ac:dyDescent="0.2">
      <c r="B20" s="2" t="s">
        <v>194</v>
      </c>
      <c r="D20" s="2" t="s">
        <v>199</v>
      </c>
      <c r="H20" s="2" t="s">
        <v>32</v>
      </c>
      <c r="J20" s="57">
        <v>119792979.58368456</v>
      </c>
      <c r="M20" s="15"/>
    </row>
    <row r="21" spans="1:13" x14ac:dyDescent="0.2">
      <c r="B21" s="2" t="s">
        <v>195</v>
      </c>
      <c r="D21" s="2" t="s">
        <v>200</v>
      </c>
      <c r="H21" s="2" t="s">
        <v>33</v>
      </c>
      <c r="J21" s="57">
        <v>92687645.343245283</v>
      </c>
      <c r="M21" s="15"/>
    </row>
    <row r="23" spans="1:13" x14ac:dyDescent="0.2">
      <c r="B23" s="4" t="s">
        <v>204</v>
      </c>
    </row>
    <row r="24" spans="1:13" x14ac:dyDescent="0.2">
      <c r="B24" s="15" t="s">
        <v>205</v>
      </c>
    </row>
    <row r="25" spans="1:13" x14ac:dyDescent="0.2">
      <c r="B25" s="2" t="s">
        <v>206</v>
      </c>
      <c r="D25" s="2" t="s">
        <v>198</v>
      </c>
      <c r="H25" s="2" t="s">
        <v>31</v>
      </c>
      <c r="J25" s="57">
        <v>38500318.418933205</v>
      </c>
      <c r="M25" s="15" t="s">
        <v>378</v>
      </c>
    </row>
    <row r="26" spans="1:13" x14ac:dyDescent="0.2">
      <c r="B26" s="2" t="s">
        <v>207</v>
      </c>
      <c r="D26" s="2" t="s">
        <v>199</v>
      </c>
      <c r="H26" s="2" t="s">
        <v>32</v>
      </c>
      <c r="J26" s="57">
        <v>43309207.302762859</v>
      </c>
      <c r="M26" s="15"/>
    </row>
    <row r="27" spans="1:13" x14ac:dyDescent="0.2">
      <c r="B27" s="2" t="s">
        <v>208</v>
      </c>
      <c r="D27" s="2" t="s">
        <v>200</v>
      </c>
      <c r="H27" s="2" t="s">
        <v>33</v>
      </c>
      <c r="J27" s="57">
        <v>46606071.245815001</v>
      </c>
      <c r="M27" s="15"/>
    </row>
    <row r="30" spans="1:13" x14ac:dyDescent="0.2">
      <c r="B30" s="2" t="s">
        <v>27</v>
      </c>
      <c r="H30" s="2" t="s">
        <v>28</v>
      </c>
      <c r="J30" s="51">
        <f>Productiviteitsverandering!L52</f>
        <v>3.3007719701627636E-4</v>
      </c>
      <c r="L30" s="54"/>
    </row>
    <row r="31" spans="1:13" s="10" customFormat="1" x14ac:dyDescent="0.2">
      <c r="A31" s="2"/>
      <c r="J31" s="19"/>
    </row>
    <row r="32" spans="1:13" x14ac:dyDescent="0.2">
      <c r="B32" s="2" t="s">
        <v>217</v>
      </c>
      <c r="H32" s="2" t="s">
        <v>28</v>
      </c>
      <c r="J32" s="33">
        <f>'WACC en CPI'!L39</f>
        <v>9.8494824331520014E-2</v>
      </c>
    </row>
    <row r="33" spans="2:10" x14ac:dyDescent="0.2">
      <c r="B33" s="2" t="s">
        <v>216</v>
      </c>
      <c r="H33" s="2" t="s">
        <v>28</v>
      </c>
      <c r="J33" s="33">
        <f>'WACC en CPI'!M39</f>
        <v>7.0657723519999882E-2</v>
      </c>
    </row>
    <row r="34" spans="2:10" x14ac:dyDescent="0.2">
      <c r="B34" s="2" t="s">
        <v>35</v>
      </c>
      <c r="H34" s="2" t="s">
        <v>28</v>
      </c>
      <c r="J34" s="33">
        <f>'WACC en CPI'!N39</f>
        <v>4.6586240000000112E-2</v>
      </c>
    </row>
    <row r="35" spans="2:10" x14ac:dyDescent="0.2">
      <c r="B35" s="2" t="s">
        <v>36</v>
      </c>
      <c r="H35" s="2" t="s">
        <v>28</v>
      </c>
      <c r="J35" s="33">
        <f>'WACC en CPI'!O39</f>
        <v>1.8080000000000096E-2</v>
      </c>
    </row>
    <row r="36" spans="2:10" x14ac:dyDescent="0.2">
      <c r="B36" s="2" t="s">
        <v>37</v>
      </c>
      <c r="H36" s="2" t="s">
        <v>28</v>
      </c>
      <c r="J36" s="51">
        <f>'WACC en CPI'!P39</f>
        <v>8.0000000000000002E-3</v>
      </c>
    </row>
    <row r="37" spans="2:10" x14ac:dyDescent="0.2">
      <c r="J37" s="19"/>
    </row>
    <row r="39" spans="2:10" s="1" customFormat="1" x14ac:dyDescent="0.2">
      <c r="B39" s="9" t="s">
        <v>215</v>
      </c>
      <c r="C39" s="9"/>
      <c r="D39" s="9"/>
      <c r="E39" s="9"/>
    </row>
    <row r="41" spans="2:10" x14ac:dyDescent="0.2">
      <c r="B41" s="4" t="s">
        <v>201</v>
      </c>
    </row>
    <row r="42" spans="2:10" x14ac:dyDescent="0.2">
      <c r="B42" s="15" t="s">
        <v>202</v>
      </c>
    </row>
    <row r="43" spans="2:10" x14ac:dyDescent="0.2">
      <c r="B43" s="2" t="s">
        <v>190</v>
      </c>
      <c r="D43" s="2" t="s">
        <v>203</v>
      </c>
      <c r="H43" s="2" t="s">
        <v>2</v>
      </c>
      <c r="J43" s="6">
        <f>J17*(1+J32)*(1-$J$30)^5</f>
        <v>124481081.94967006</v>
      </c>
    </row>
    <row r="44" spans="2:10" x14ac:dyDescent="0.2">
      <c r="B44" s="2" t="s">
        <v>192</v>
      </c>
      <c r="D44" s="2" t="s">
        <v>203</v>
      </c>
      <c r="H44" s="2" t="s">
        <v>2</v>
      </c>
      <c r="J44" s="6">
        <f>J18*(1+J33)*(1-$J$30)^4</f>
        <v>148280550.94649324</v>
      </c>
    </row>
    <row r="45" spans="2:10" x14ac:dyDescent="0.2">
      <c r="B45" s="2" t="s">
        <v>193</v>
      </c>
      <c r="D45" s="2" t="s">
        <v>203</v>
      </c>
      <c r="H45" s="2" t="s">
        <v>2</v>
      </c>
      <c r="J45" s="6">
        <f>J19*(1+J34)*(1-$J$30)^3</f>
        <v>159851665.62845385</v>
      </c>
    </row>
    <row r="46" spans="2:10" x14ac:dyDescent="0.2">
      <c r="B46" s="2" t="s">
        <v>194</v>
      </c>
      <c r="D46" s="2" t="s">
        <v>203</v>
      </c>
      <c r="H46" s="2" t="s">
        <v>2</v>
      </c>
      <c r="J46" s="6">
        <f>J20*(1+J35)*(1-$J$30)^2</f>
        <v>121878338.28018083</v>
      </c>
    </row>
    <row r="47" spans="2:10" x14ac:dyDescent="0.2">
      <c r="B47" s="2" t="s">
        <v>195</v>
      </c>
      <c r="D47" s="2" t="s">
        <v>203</v>
      </c>
      <c r="H47" s="2" t="s">
        <v>2</v>
      </c>
      <c r="J47" s="6">
        <f>J21*(1+J36)*(1-$J$30)</f>
        <v>93398307.675192922</v>
      </c>
    </row>
    <row r="49" spans="2:13" x14ac:dyDescent="0.2">
      <c r="B49" s="2" t="s">
        <v>209</v>
      </c>
      <c r="D49" s="2" t="s">
        <v>203</v>
      </c>
      <c r="H49" s="2" t="s">
        <v>2</v>
      </c>
      <c r="J49" s="6">
        <f>AVERAGE(J43:J47)</f>
        <v>129577988.89599819</v>
      </c>
    </row>
    <row r="51" spans="2:13" x14ac:dyDescent="0.2">
      <c r="B51" s="4" t="s">
        <v>210</v>
      </c>
    </row>
    <row r="52" spans="2:13" x14ac:dyDescent="0.2">
      <c r="B52" s="15" t="s">
        <v>202</v>
      </c>
    </row>
    <row r="53" spans="2:13" x14ac:dyDescent="0.2">
      <c r="B53" s="2" t="s">
        <v>206</v>
      </c>
      <c r="D53" s="2" t="s">
        <v>203</v>
      </c>
      <c r="H53" s="2" t="s">
        <v>2</v>
      </c>
      <c r="J53" s="6">
        <f>J25*(1+J34)*(1-$J$30)^3</f>
        <v>40254016.365437597</v>
      </c>
    </row>
    <row r="54" spans="2:13" x14ac:dyDescent="0.2">
      <c r="B54" s="2" t="s">
        <v>207</v>
      </c>
      <c r="D54" s="2" t="s">
        <v>203</v>
      </c>
      <c r="H54" s="2" t="s">
        <v>2</v>
      </c>
      <c r="J54" s="6">
        <f>J26*(1+J35)*(1-$J$30)^2</f>
        <v>44063134.890181154</v>
      </c>
    </row>
    <row r="55" spans="2:13" x14ac:dyDescent="0.2">
      <c r="B55" s="2" t="s">
        <v>208</v>
      </c>
      <c r="D55" s="2" t="s">
        <v>203</v>
      </c>
      <c r="H55" s="2" t="s">
        <v>2</v>
      </c>
      <c r="J55" s="6">
        <f>J27*(1+J36)*(1-$J$30)</f>
        <v>46963413.145609871</v>
      </c>
    </row>
    <row r="57" spans="2:13" x14ac:dyDescent="0.2">
      <c r="B57" s="2" t="s">
        <v>211</v>
      </c>
      <c r="D57" s="2" t="s">
        <v>203</v>
      </c>
      <c r="H57" s="2" t="s">
        <v>2</v>
      </c>
      <c r="J57" s="6">
        <f>AVERAGE(J53:J55)</f>
        <v>43760188.133742876</v>
      </c>
    </row>
    <row r="60" spans="2:13" s="9" customFormat="1" x14ac:dyDescent="0.2">
      <c r="B60" s="9" t="s">
        <v>212</v>
      </c>
    </row>
    <row r="62" spans="2:13" x14ac:dyDescent="0.2">
      <c r="B62" s="15" t="s">
        <v>213</v>
      </c>
    </row>
    <row r="64" spans="2:13" x14ac:dyDescent="0.2">
      <c r="B64" s="2" t="s">
        <v>214</v>
      </c>
      <c r="D64" s="2" t="s">
        <v>203</v>
      </c>
      <c r="H64" s="2" t="s">
        <v>2</v>
      </c>
      <c r="J64" s="53">
        <f>J49-J57</f>
        <v>85817800.762255311</v>
      </c>
      <c r="M64" s="2" t="s">
        <v>292</v>
      </c>
    </row>
    <row r="147" spans="1:1" x14ac:dyDescent="0.2">
      <c r="A147" s="10"/>
    </row>
    <row r="148" spans="1:1" x14ac:dyDescent="0.2">
      <c r="A148"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FFFFCC"/>
  </sheetPr>
  <dimension ref="A1:T140"/>
  <sheetViews>
    <sheetView showGridLines="0" zoomScale="85" zoomScaleNormal="85" workbookViewId="0">
      <pane xSplit="6" ySplit="7" topLeftCell="G8"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2:10" x14ac:dyDescent="0.2">
      <c r="B1" s="2" t="s">
        <v>389</v>
      </c>
    </row>
    <row r="2" spans="2:10" ht="15" x14ac:dyDescent="0.25">
      <c r="B2"/>
      <c r="C2"/>
      <c r="D2"/>
      <c r="E2"/>
    </row>
    <row r="3" spans="2:10" s="14" customFormat="1" ht="18" customHeight="1" x14ac:dyDescent="0.25">
      <c r="B3" s="13" t="s">
        <v>272</v>
      </c>
      <c r="C3" s="13"/>
      <c r="D3" s="13"/>
      <c r="E3" s="13"/>
    </row>
    <row r="5" spans="2:10" x14ac:dyDescent="0.2">
      <c r="B5" s="2" t="s">
        <v>379</v>
      </c>
    </row>
    <row r="7" spans="2:10" s="9" customFormat="1" x14ac:dyDescent="0.2">
      <c r="D7" s="9" t="s">
        <v>39</v>
      </c>
      <c r="H7" s="9" t="s">
        <v>1</v>
      </c>
      <c r="J7" s="9" t="s">
        <v>11</v>
      </c>
    </row>
    <row r="10" spans="2:10" s="1" customFormat="1" x14ac:dyDescent="0.2">
      <c r="B10" s="9" t="s">
        <v>0</v>
      </c>
      <c r="C10" s="9"/>
      <c r="D10" s="9"/>
      <c r="E10" s="9"/>
    </row>
    <row r="12" spans="2:10" x14ac:dyDescent="0.2">
      <c r="B12" s="2" t="s">
        <v>219</v>
      </c>
      <c r="D12" s="20" t="s">
        <v>203</v>
      </c>
      <c r="H12" s="2" t="s">
        <v>2</v>
      </c>
      <c r="J12" s="5">
        <f>'Berekening surplus AD'!J64</f>
        <v>85817800.762255311</v>
      </c>
    </row>
    <row r="13" spans="2:10" x14ac:dyDescent="0.2">
      <c r="B13" s="2" t="s">
        <v>328</v>
      </c>
      <c r="H13" s="2" t="s">
        <v>28</v>
      </c>
      <c r="J13" s="51">
        <f>'WACC en CPI'!J15</f>
        <v>3.5999999999999997E-2</v>
      </c>
    </row>
    <row r="14" spans="2:10" x14ac:dyDescent="0.2">
      <c r="B14" s="2" t="s">
        <v>329</v>
      </c>
      <c r="J14" s="51">
        <f>'WACC en CPI'!J16</f>
        <v>0.03</v>
      </c>
    </row>
    <row r="15" spans="2:10" x14ac:dyDescent="0.2">
      <c r="B15" s="2" t="s">
        <v>221</v>
      </c>
      <c r="H15" s="2" t="s">
        <v>28</v>
      </c>
      <c r="J15" s="51">
        <f>Productiviteitsverandering!L52</f>
        <v>3.3007719701627636E-4</v>
      </c>
    </row>
    <row r="16" spans="2:10" x14ac:dyDescent="0.2">
      <c r="B16" s="2" t="s">
        <v>78</v>
      </c>
      <c r="H16" s="2" t="s">
        <v>28</v>
      </c>
      <c r="J16" s="48">
        <f>'WACC en CPI'!J30</f>
        <v>1.2E-2</v>
      </c>
    </row>
    <row r="18" spans="2:18" x14ac:dyDescent="0.2">
      <c r="B18" s="2" t="s">
        <v>220</v>
      </c>
      <c r="H18" s="2" t="s">
        <v>12</v>
      </c>
      <c r="J18" s="64">
        <v>39</v>
      </c>
    </row>
    <row r="21" spans="2:18" s="1" customFormat="1" x14ac:dyDescent="0.2">
      <c r="B21" s="9" t="s">
        <v>238</v>
      </c>
      <c r="C21" s="9"/>
      <c r="D21" s="9"/>
      <c r="E21" s="9"/>
    </row>
    <row r="23" spans="2:18" x14ac:dyDescent="0.2">
      <c r="B23" s="2" t="s">
        <v>223</v>
      </c>
      <c r="D23" s="20" t="s">
        <v>203</v>
      </c>
      <c r="H23" s="2" t="s">
        <v>2</v>
      </c>
      <c r="J23" s="12">
        <f>J12/J18</f>
        <v>2200456.4298014184</v>
      </c>
    </row>
    <row r="26" spans="2:18" s="1" customFormat="1" x14ac:dyDescent="0.2">
      <c r="B26" s="9" t="s">
        <v>222</v>
      </c>
      <c r="C26" s="9"/>
      <c r="D26" s="9"/>
      <c r="E26" s="9"/>
      <c r="L26" s="1">
        <v>2015</v>
      </c>
      <c r="M26" s="1">
        <v>2016</v>
      </c>
      <c r="N26" s="1">
        <v>2017</v>
      </c>
      <c r="O26" s="1">
        <v>2018</v>
      </c>
      <c r="P26" s="1">
        <v>2019</v>
      </c>
      <c r="Q26" s="1">
        <v>2020</v>
      </c>
      <c r="R26" s="1">
        <v>2021</v>
      </c>
    </row>
    <row r="28" spans="2:18" x14ac:dyDescent="0.2">
      <c r="B28" s="15" t="s">
        <v>240</v>
      </c>
    </row>
    <row r="30" spans="2:18" x14ac:dyDescent="0.2">
      <c r="B30" s="4" t="s">
        <v>226</v>
      </c>
    </row>
    <row r="31" spans="2:18" x14ac:dyDescent="0.2">
      <c r="B31" s="2" t="s">
        <v>227</v>
      </c>
      <c r="D31" s="20" t="s">
        <v>203</v>
      </c>
      <c r="H31" s="2" t="s">
        <v>2</v>
      </c>
      <c r="L31" s="56"/>
      <c r="M31" s="55">
        <f>L35</f>
        <v>84717572.547354609</v>
      </c>
      <c r="N31" s="55">
        <f t="shared" ref="N31:R31" si="0">M35</f>
        <v>82517116.117553204</v>
      </c>
      <c r="O31" s="55">
        <f t="shared" si="0"/>
        <v>80316659.6877518</v>
      </c>
      <c r="P31" s="55">
        <f t="shared" si="0"/>
        <v>78116203.257950395</v>
      </c>
      <c r="Q31" s="55">
        <f t="shared" si="0"/>
        <v>75915746.828148991</v>
      </c>
      <c r="R31" s="55">
        <f t="shared" si="0"/>
        <v>73715290.398347586</v>
      </c>
    </row>
    <row r="32" spans="2:18" x14ac:dyDescent="0.2">
      <c r="B32" s="2" t="s">
        <v>228</v>
      </c>
      <c r="D32" s="20" t="s">
        <v>203</v>
      </c>
      <c r="H32" s="2" t="s">
        <v>2</v>
      </c>
      <c r="L32" s="56"/>
      <c r="M32" s="12">
        <f>$J$23/2</f>
        <v>1100228.2149007092</v>
      </c>
      <c r="N32" s="12">
        <f t="shared" ref="N32:R32" si="1">$J$23/2</f>
        <v>1100228.2149007092</v>
      </c>
      <c r="O32" s="12">
        <f t="shared" si="1"/>
        <v>1100228.2149007092</v>
      </c>
      <c r="P32" s="12">
        <f t="shared" si="1"/>
        <v>1100228.2149007092</v>
      </c>
      <c r="Q32" s="12">
        <f t="shared" si="1"/>
        <v>1100228.2149007092</v>
      </c>
      <c r="R32" s="12">
        <f t="shared" si="1"/>
        <v>1100228.2149007092</v>
      </c>
    </row>
    <row r="33" spans="2:18" x14ac:dyDescent="0.2">
      <c r="B33" s="2" t="s">
        <v>229</v>
      </c>
      <c r="D33" s="20" t="s">
        <v>203</v>
      </c>
      <c r="H33" s="2" t="s">
        <v>2</v>
      </c>
      <c r="L33" s="55">
        <f>$J$12</f>
        <v>85817800.762255311</v>
      </c>
      <c r="M33" s="56"/>
      <c r="N33" s="56"/>
      <c r="O33" s="56"/>
      <c r="P33" s="56"/>
      <c r="Q33" s="56"/>
      <c r="R33" s="56"/>
    </row>
    <row r="34" spans="2:18" x14ac:dyDescent="0.2">
      <c r="B34" s="2" t="s">
        <v>230</v>
      </c>
      <c r="D34" s="20" t="s">
        <v>203</v>
      </c>
      <c r="H34" s="2" t="s">
        <v>2</v>
      </c>
      <c r="L34" s="12">
        <f>$J$23/2</f>
        <v>1100228.2149007092</v>
      </c>
      <c r="M34" s="12">
        <f t="shared" ref="M34:R34" si="2">$J$23/2</f>
        <v>1100228.2149007092</v>
      </c>
      <c r="N34" s="12">
        <f t="shared" si="2"/>
        <v>1100228.2149007092</v>
      </c>
      <c r="O34" s="12">
        <f t="shared" si="2"/>
        <v>1100228.2149007092</v>
      </c>
      <c r="P34" s="12">
        <f t="shared" si="2"/>
        <v>1100228.2149007092</v>
      </c>
      <c r="Q34" s="12">
        <f t="shared" si="2"/>
        <v>1100228.2149007092</v>
      </c>
      <c r="R34" s="12">
        <f t="shared" si="2"/>
        <v>1100228.2149007092</v>
      </c>
    </row>
    <row r="35" spans="2:18" x14ac:dyDescent="0.2">
      <c r="B35" s="2" t="s">
        <v>231</v>
      </c>
      <c r="D35" s="20" t="s">
        <v>203</v>
      </c>
      <c r="H35" s="2" t="s">
        <v>2</v>
      </c>
      <c r="L35" s="12">
        <f>L33-L34</f>
        <v>84717572.547354609</v>
      </c>
      <c r="M35" s="12">
        <f t="shared" ref="M35:R35" si="3">M31-M32-M34</f>
        <v>82517116.117553204</v>
      </c>
      <c r="N35" s="12">
        <f t="shared" si="3"/>
        <v>80316659.6877518</v>
      </c>
      <c r="O35" s="12">
        <f t="shared" si="3"/>
        <v>78116203.257950395</v>
      </c>
      <c r="P35" s="12">
        <f t="shared" si="3"/>
        <v>75915746.828148991</v>
      </c>
      <c r="Q35" s="12">
        <f t="shared" si="3"/>
        <v>73715290.398347586</v>
      </c>
      <c r="R35" s="12">
        <f t="shared" si="3"/>
        <v>71514833.968546182</v>
      </c>
    </row>
    <row r="37" spans="2:18" x14ac:dyDescent="0.2">
      <c r="B37" s="4" t="s">
        <v>232</v>
      </c>
    </row>
    <row r="38" spans="2:18" x14ac:dyDescent="0.2">
      <c r="B38" s="2" t="s">
        <v>227</v>
      </c>
      <c r="D38" s="20" t="s">
        <v>203</v>
      </c>
      <c r="H38" s="2" t="s">
        <v>2</v>
      </c>
      <c r="M38" s="56"/>
      <c r="N38" s="55">
        <f>M42</f>
        <v>84717572.547354609</v>
      </c>
      <c r="O38" s="55">
        <f t="shared" ref="O38:R38" si="4">N42</f>
        <v>82517116.117553204</v>
      </c>
      <c r="P38" s="55">
        <f t="shared" si="4"/>
        <v>80316659.6877518</v>
      </c>
      <c r="Q38" s="55">
        <f t="shared" si="4"/>
        <v>78116203.257950395</v>
      </c>
      <c r="R38" s="55">
        <f t="shared" si="4"/>
        <v>75915746.828148991</v>
      </c>
    </row>
    <row r="39" spans="2:18" x14ac:dyDescent="0.2">
      <c r="B39" s="2" t="s">
        <v>228</v>
      </c>
      <c r="D39" s="20" t="s">
        <v>203</v>
      </c>
      <c r="H39" s="2" t="s">
        <v>2</v>
      </c>
      <c r="M39" s="56"/>
      <c r="N39" s="12">
        <f>$J$23/2</f>
        <v>1100228.2149007092</v>
      </c>
      <c r="O39" s="12">
        <f t="shared" ref="O39:R39" si="5">$J$23/2</f>
        <v>1100228.2149007092</v>
      </c>
      <c r="P39" s="12">
        <f t="shared" si="5"/>
        <v>1100228.2149007092</v>
      </c>
      <c r="Q39" s="12">
        <f t="shared" si="5"/>
        <v>1100228.2149007092</v>
      </c>
      <c r="R39" s="12">
        <f t="shared" si="5"/>
        <v>1100228.2149007092</v>
      </c>
    </row>
    <row r="40" spans="2:18" x14ac:dyDescent="0.2">
      <c r="B40" s="2" t="s">
        <v>229</v>
      </c>
      <c r="D40" s="20" t="s">
        <v>203</v>
      </c>
      <c r="H40" s="2" t="s">
        <v>2</v>
      </c>
      <c r="M40" s="55">
        <f>$J$12</f>
        <v>85817800.762255311</v>
      </c>
      <c r="N40" s="56"/>
      <c r="O40" s="56"/>
      <c r="P40" s="56"/>
      <c r="Q40" s="56"/>
      <c r="R40" s="56"/>
    </row>
    <row r="41" spans="2:18" x14ac:dyDescent="0.2">
      <c r="B41" s="2" t="s">
        <v>230</v>
      </c>
      <c r="D41" s="20" t="s">
        <v>203</v>
      </c>
      <c r="H41" s="2" t="s">
        <v>2</v>
      </c>
      <c r="M41" s="12">
        <f>$J$23/2</f>
        <v>1100228.2149007092</v>
      </c>
      <c r="N41" s="12">
        <f t="shared" ref="N41:R41" si="6">$J$23/2</f>
        <v>1100228.2149007092</v>
      </c>
      <c r="O41" s="12">
        <f t="shared" si="6"/>
        <v>1100228.2149007092</v>
      </c>
      <c r="P41" s="12">
        <f t="shared" si="6"/>
        <v>1100228.2149007092</v>
      </c>
      <c r="Q41" s="12">
        <f t="shared" si="6"/>
        <v>1100228.2149007092</v>
      </c>
      <c r="R41" s="12">
        <f t="shared" si="6"/>
        <v>1100228.2149007092</v>
      </c>
    </row>
    <row r="42" spans="2:18" x14ac:dyDescent="0.2">
      <c r="B42" s="2" t="s">
        <v>231</v>
      </c>
      <c r="D42" s="20" t="s">
        <v>203</v>
      </c>
      <c r="H42" s="2" t="s">
        <v>2</v>
      </c>
      <c r="M42" s="12">
        <f>M40-M41</f>
        <v>84717572.547354609</v>
      </c>
      <c r="N42" s="12">
        <f>N38-N39-N41</f>
        <v>82517116.117553204</v>
      </c>
      <c r="O42" s="12">
        <f t="shared" ref="O42:R42" si="7">O38-O39-O41</f>
        <v>80316659.6877518</v>
      </c>
      <c r="P42" s="12">
        <f t="shared" si="7"/>
        <v>78116203.257950395</v>
      </c>
      <c r="Q42" s="12">
        <f t="shared" si="7"/>
        <v>75915746.828148991</v>
      </c>
      <c r="R42" s="12">
        <f t="shared" si="7"/>
        <v>73715290.398347586</v>
      </c>
    </row>
    <row r="44" spans="2:18" x14ac:dyDescent="0.2">
      <c r="B44" s="4" t="s">
        <v>233</v>
      </c>
    </row>
    <row r="45" spans="2:18" x14ac:dyDescent="0.2">
      <c r="B45" s="2" t="s">
        <v>227</v>
      </c>
      <c r="D45" s="20" t="s">
        <v>203</v>
      </c>
      <c r="H45" s="2" t="s">
        <v>2</v>
      </c>
      <c r="N45" s="56"/>
      <c r="O45" s="55">
        <f>N49</f>
        <v>84717572.547354609</v>
      </c>
      <c r="P45" s="55">
        <f t="shared" ref="P45:R45" si="8">O49</f>
        <v>82517116.117553204</v>
      </c>
      <c r="Q45" s="55">
        <f t="shared" si="8"/>
        <v>80316659.6877518</v>
      </c>
      <c r="R45" s="55">
        <f t="shared" si="8"/>
        <v>78116203.257950395</v>
      </c>
    </row>
    <row r="46" spans="2:18" x14ac:dyDescent="0.2">
      <c r="B46" s="2" t="s">
        <v>228</v>
      </c>
      <c r="D46" s="20" t="s">
        <v>203</v>
      </c>
      <c r="H46" s="2" t="s">
        <v>2</v>
      </c>
      <c r="N46" s="56"/>
      <c r="O46" s="12">
        <f>$J$23/2</f>
        <v>1100228.2149007092</v>
      </c>
      <c r="P46" s="12">
        <f t="shared" ref="P46:R46" si="9">$J$23/2</f>
        <v>1100228.2149007092</v>
      </c>
      <c r="Q46" s="12">
        <f t="shared" si="9"/>
        <v>1100228.2149007092</v>
      </c>
      <c r="R46" s="12">
        <f t="shared" si="9"/>
        <v>1100228.2149007092</v>
      </c>
    </row>
    <row r="47" spans="2:18" x14ac:dyDescent="0.2">
      <c r="B47" s="2" t="s">
        <v>229</v>
      </c>
      <c r="D47" s="20" t="s">
        <v>203</v>
      </c>
      <c r="H47" s="2" t="s">
        <v>2</v>
      </c>
      <c r="N47" s="55">
        <f>$J$12</f>
        <v>85817800.762255311</v>
      </c>
      <c r="O47" s="56"/>
      <c r="P47" s="56"/>
      <c r="Q47" s="56"/>
      <c r="R47" s="56"/>
    </row>
    <row r="48" spans="2:18" x14ac:dyDescent="0.2">
      <c r="B48" s="2" t="s">
        <v>230</v>
      </c>
      <c r="D48" s="20" t="s">
        <v>203</v>
      </c>
      <c r="H48" s="2" t="s">
        <v>2</v>
      </c>
      <c r="N48" s="12">
        <f>$J$23/2</f>
        <v>1100228.2149007092</v>
      </c>
      <c r="O48" s="12">
        <f t="shared" ref="O48:R48" si="10">$J$23/2</f>
        <v>1100228.2149007092</v>
      </c>
      <c r="P48" s="12">
        <f t="shared" si="10"/>
        <v>1100228.2149007092</v>
      </c>
      <c r="Q48" s="12">
        <f t="shared" si="10"/>
        <v>1100228.2149007092</v>
      </c>
      <c r="R48" s="12">
        <f t="shared" si="10"/>
        <v>1100228.2149007092</v>
      </c>
    </row>
    <row r="49" spans="2:18" x14ac:dyDescent="0.2">
      <c r="B49" s="2" t="s">
        <v>231</v>
      </c>
      <c r="D49" s="20" t="s">
        <v>203</v>
      </c>
      <c r="H49" s="2" t="s">
        <v>2</v>
      </c>
      <c r="N49" s="12">
        <f>N47-N48</f>
        <v>84717572.547354609</v>
      </c>
      <c r="O49" s="12">
        <f>O45-O46-O48</f>
        <v>82517116.117553204</v>
      </c>
      <c r="P49" s="12">
        <f t="shared" ref="P49:R49" si="11">P45-P46-P48</f>
        <v>80316659.6877518</v>
      </c>
      <c r="Q49" s="12">
        <f t="shared" si="11"/>
        <v>78116203.257950395</v>
      </c>
      <c r="R49" s="12">
        <f t="shared" si="11"/>
        <v>75915746.828148991</v>
      </c>
    </row>
    <row r="51" spans="2:18" x14ac:dyDescent="0.2">
      <c r="B51" s="4" t="s">
        <v>234</v>
      </c>
    </row>
    <row r="52" spans="2:18" x14ac:dyDescent="0.2">
      <c r="B52" s="2" t="s">
        <v>227</v>
      </c>
      <c r="D52" s="20" t="s">
        <v>203</v>
      </c>
      <c r="H52" s="2" t="s">
        <v>2</v>
      </c>
      <c r="O52" s="56"/>
      <c r="P52" s="55">
        <f>O56</f>
        <v>84717572.547354609</v>
      </c>
      <c r="Q52" s="55">
        <f t="shared" ref="Q52:R52" si="12">P56</f>
        <v>82517116.117553204</v>
      </c>
      <c r="R52" s="55">
        <f t="shared" si="12"/>
        <v>80316659.6877518</v>
      </c>
    </row>
    <row r="53" spans="2:18" x14ac:dyDescent="0.2">
      <c r="B53" s="2" t="s">
        <v>228</v>
      </c>
      <c r="D53" s="20" t="s">
        <v>203</v>
      </c>
      <c r="H53" s="2" t="s">
        <v>2</v>
      </c>
      <c r="O53" s="56"/>
      <c r="P53" s="12">
        <f>$J$23/2</f>
        <v>1100228.2149007092</v>
      </c>
      <c r="Q53" s="12">
        <f t="shared" ref="Q53:R53" si="13">$J$23/2</f>
        <v>1100228.2149007092</v>
      </c>
      <c r="R53" s="12">
        <f t="shared" si="13"/>
        <v>1100228.2149007092</v>
      </c>
    </row>
    <row r="54" spans="2:18" x14ac:dyDescent="0.2">
      <c r="B54" s="2" t="s">
        <v>229</v>
      </c>
      <c r="D54" s="20" t="s">
        <v>203</v>
      </c>
      <c r="H54" s="2" t="s">
        <v>2</v>
      </c>
      <c r="O54" s="55">
        <f>$J$12</f>
        <v>85817800.762255311</v>
      </c>
      <c r="P54" s="56"/>
      <c r="Q54" s="56"/>
      <c r="R54" s="56"/>
    </row>
    <row r="55" spans="2:18" x14ac:dyDescent="0.2">
      <c r="B55" s="2" t="s">
        <v>230</v>
      </c>
      <c r="D55" s="20" t="s">
        <v>203</v>
      </c>
      <c r="H55" s="2" t="s">
        <v>2</v>
      </c>
      <c r="O55" s="12">
        <f>$J$23/2</f>
        <v>1100228.2149007092</v>
      </c>
      <c r="P55" s="12">
        <f t="shared" ref="P55:R55" si="14">$J$23/2</f>
        <v>1100228.2149007092</v>
      </c>
      <c r="Q55" s="12">
        <f t="shared" si="14"/>
        <v>1100228.2149007092</v>
      </c>
      <c r="R55" s="12">
        <f t="shared" si="14"/>
        <v>1100228.2149007092</v>
      </c>
    </row>
    <row r="56" spans="2:18" x14ac:dyDescent="0.2">
      <c r="B56" s="2" t="s">
        <v>231</v>
      </c>
      <c r="D56" s="20" t="s">
        <v>203</v>
      </c>
      <c r="H56" s="2" t="s">
        <v>2</v>
      </c>
      <c r="O56" s="12">
        <f>O54-O55</f>
        <v>84717572.547354609</v>
      </c>
      <c r="P56" s="12">
        <f>P52-P53-P55</f>
        <v>82517116.117553204</v>
      </c>
      <c r="Q56" s="12">
        <f t="shared" ref="Q56:R56" si="15">Q52-Q53-Q55</f>
        <v>80316659.6877518</v>
      </c>
      <c r="R56" s="12">
        <f t="shared" si="15"/>
        <v>78116203.257950395</v>
      </c>
    </row>
    <row r="58" spans="2:18" x14ac:dyDescent="0.2">
      <c r="B58" s="4" t="s">
        <v>235</v>
      </c>
    </row>
    <row r="59" spans="2:18" x14ac:dyDescent="0.2">
      <c r="B59" s="2" t="s">
        <v>227</v>
      </c>
      <c r="D59" s="20" t="s">
        <v>203</v>
      </c>
      <c r="H59" s="2" t="s">
        <v>2</v>
      </c>
      <c r="P59" s="56"/>
      <c r="Q59" s="55">
        <f>P63</f>
        <v>84717572.547354609</v>
      </c>
      <c r="R59" s="55">
        <f t="shared" ref="R59" si="16">Q63</f>
        <v>82517116.117553204</v>
      </c>
    </row>
    <row r="60" spans="2:18" x14ac:dyDescent="0.2">
      <c r="B60" s="2" t="s">
        <v>228</v>
      </c>
      <c r="D60" s="20" t="s">
        <v>203</v>
      </c>
      <c r="H60" s="2" t="s">
        <v>2</v>
      </c>
      <c r="P60" s="56"/>
      <c r="Q60" s="12">
        <f>$J$23/2</f>
        <v>1100228.2149007092</v>
      </c>
      <c r="R60" s="12">
        <f>$J$23/2</f>
        <v>1100228.2149007092</v>
      </c>
    </row>
    <row r="61" spans="2:18" x14ac:dyDescent="0.2">
      <c r="B61" s="2" t="s">
        <v>229</v>
      </c>
      <c r="D61" s="20" t="s">
        <v>203</v>
      </c>
      <c r="H61" s="2" t="s">
        <v>2</v>
      </c>
      <c r="P61" s="55">
        <f>$J$12</f>
        <v>85817800.762255311</v>
      </c>
      <c r="Q61" s="56"/>
      <c r="R61" s="56"/>
    </row>
    <row r="62" spans="2:18" x14ac:dyDescent="0.2">
      <c r="B62" s="2" t="s">
        <v>230</v>
      </c>
      <c r="D62" s="20" t="s">
        <v>203</v>
      </c>
      <c r="H62" s="2" t="s">
        <v>2</v>
      </c>
      <c r="P62" s="12">
        <f>$J$23/2</f>
        <v>1100228.2149007092</v>
      </c>
      <c r="Q62" s="12">
        <f t="shared" ref="Q62:R62" si="17">$J$23/2</f>
        <v>1100228.2149007092</v>
      </c>
      <c r="R62" s="12">
        <f t="shared" si="17"/>
        <v>1100228.2149007092</v>
      </c>
    </row>
    <row r="63" spans="2:18" x14ac:dyDescent="0.2">
      <c r="B63" s="2" t="s">
        <v>231</v>
      </c>
      <c r="D63" s="20" t="s">
        <v>203</v>
      </c>
      <c r="H63" s="2" t="s">
        <v>2</v>
      </c>
      <c r="P63" s="12">
        <f>P61-P62</f>
        <v>84717572.547354609</v>
      </c>
      <c r="Q63" s="12">
        <f>Q59-Q60-Q62</f>
        <v>82517116.117553204</v>
      </c>
      <c r="R63" s="12">
        <f t="shared" ref="R63" si="18">R59-R60-R62</f>
        <v>80316659.6877518</v>
      </c>
    </row>
    <row r="65" spans="2:18" x14ac:dyDescent="0.2">
      <c r="B65" s="4" t="s">
        <v>236</v>
      </c>
    </row>
    <row r="66" spans="2:18" x14ac:dyDescent="0.2">
      <c r="B66" s="2" t="s">
        <v>227</v>
      </c>
      <c r="D66" s="20" t="s">
        <v>203</v>
      </c>
      <c r="H66" s="2" t="s">
        <v>2</v>
      </c>
      <c r="Q66" s="56"/>
      <c r="R66" s="55">
        <f>Q70</f>
        <v>84717572.547354609</v>
      </c>
    </row>
    <row r="67" spans="2:18" x14ac:dyDescent="0.2">
      <c r="B67" s="2" t="s">
        <v>228</v>
      </c>
      <c r="D67" s="20" t="s">
        <v>203</v>
      </c>
      <c r="H67" s="2" t="s">
        <v>2</v>
      </c>
      <c r="Q67" s="56"/>
      <c r="R67" s="12">
        <f>$J$23/2</f>
        <v>1100228.2149007092</v>
      </c>
    </row>
    <row r="68" spans="2:18" x14ac:dyDescent="0.2">
      <c r="B68" s="2" t="s">
        <v>229</v>
      </c>
      <c r="D68" s="20" t="s">
        <v>203</v>
      </c>
      <c r="H68" s="2" t="s">
        <v>2</v>
      </c>
      <c r="Q68" s="55">
        <f>$J$12</f>
        <v>85817800.762255311</v>
      </c>
      <c r="R68" s="56"/>
    </row>
    <row r="69" spans="2:18" x14ac:dyDescent="0.2">
      <c r="B69" s="2" t="s">
        <v>230</v>
      </c>
      <c r="D69" s="20" t="s">
        <v>203</v>
      </c>
      <c r="H69" s="2" t="s">
        <v>2</v>
      </c>
      <c r="Q69" s="12">
        <f>$J$23/2</f>
        <v>1100228.2149007092</v>
      </c>
      <c r="R69" s="12">
        <f>$J$23/2</f>
        <v>1100228.2149007092</v>
      </c>
    </row>
    <row r="70" spans="2:18" x14ac:dyDescent="0.2">
      <c r="B70" s="2" t="s">
        <v>231</v>
      </c>
      <c r="D70" s="20" t="s">
        <v>203</v>
      </c>
      <c r="H70" s="2" t="s">
        <v>2</v>
      </c>
      <c r="Q70" s="12">
        <f>Q68-Q69</f>
        <v>84717572.547354609</v>
      </c>
      <c r="R70" s="12">
        <f>R66-R67-R69</f>
        <v>82517116.117553204</v>
      </c>
    </row>
    <row r="72" spans="2:18" x14ac:dyDescent="0.2">
      <c r="B72" s="4" t="s">
        <v>237</v>
      </c>
    </row>
    <row r="73" spans="2:18" x14ac:dyDescent="0.2">
      <c r="B73" s="2" t="s">
        <v>227</v>
      </c>
      <c r="D73" s="20" t="s">
        <v>203</v>
      </c>
      <c r="H73" s="2" t="s">
        <v>2</v>
      </c>
      <c r="R73" s="56"/>
    </row>
    <row r="74" spans="2:18" x14ac:dyDescent="0.2">
      <c r="B74" s="2" t="s">
        <v>228</v>
      </c>
      <c r="D74" s="20" t="s">
        <v>203</v>
      </c>
      <c r="H74" s="2" t="s">
        <v>2</v>
      </c>
      <c r="R74" s="56"/>
    </row>
    <row r="75" spans="2:18" x14ac:dyDescent="0.2">
      <c r="B75" s="2" t="s">
        <v>229</v>
      </c>
      <c r="D75" s="20" t="s">
        <v>203</v>
      </c>
      <c r="H75" s="2" t="s">
        <v>2</v>
      </c>
      <c r="R75" s="55">
        <f>$J$12</f>
        <v>85817800.762255311</v>
      </c>
    </row>
    <row r="76" spans="2:18" x14ac:dyDescent="0.2">
      <c r="B76" s="2" t="s">
        <v>230</v>
      </c>
      <c r="D76" s="20" t="s">
        <v>203</v>
      </c>
      <c r="H76" s="2" t="s">
        <v>2</v>
      </c>
      <c r="R76" s="12">
        <f>$J$23/2</f>
        <v>1100228.2149007092</v>
      </c>
    </row>
    <row r="77" spans="2:18" x14ac:dyDescent="0.2">
      <c r="B77" s="2" t="s">
        <v>231</v>
      </c>
      <c r="D77" s="20" t="s">
        <v>203</v>
      </c>
      <c r="H77" s="2" t="s">
        <v>2</v>
      </c>
      <c r="R77" s="12">
        <f>R75-R76</f>
        <v>84717572.547354609</v>
      </c>
    </row>
    <row r="80" spans="2:18" x14ac:dyDescent="0.2">
      <c r="L80" s="2">
        <v>2015</v>
      </c>
      <c r="M80" s="2">
        <v>2016</v>
      </c>
      <c r="N80" s="2">
        <v>2017</v>
      </c>
      <c r="O80" s="2">
        <v>2018</v>
      </c>
      <c r="P80" s="2">
        <v>2019</v>
      </c>
      <c r="Q80" s="2">
        <v>2020</v>
      </c>
      <c r="R80" s="2">
        <v>2021</v>
      </c>
    </row>
    <row r="81" spans="2:20" x14ac:dyDescent="0.2">
      <c r="B81" s="2" t="s">
        <v>224</v>
      </c>
      <c r="L81" s="12">
        <f t="shared" ref="L81:R81" si="19">L35+L42+L49+L56+L63+L70+L77</f>
        <v>84717572.547354609</v>
      </c>
      <c r="M81" s="12">
        <f t="shared" si="19"/>
        <v>167234688.66490781</v>
      </c>
      <c r="N81" s="12">
        <f t="shared" si="19"/>
        <v>247551348.35265961</v>
      </c>
      <c r="O81" s="12">
        <f t="shared" si="19"/>
        <v>325667551.61061001</v>
      </c>
      <c r="P81" s="12">
        <f t="shared" si="19"/>
        <v>401583298.43875897</v>
      </c>
      <c r="Q81" s="12">
        <f t="shared" si="19"/>
        <v>475298588.83710659</v>
      </c>
      <c r="R81" s="12">
        <f t="shared" si="19"/>
        <v>546813422.80565274</v>
      </c>
    </row>
    <row r="82" spans="2:20" x14ac:dyDescent="0.2">
      <c r="B82" s="2" t="s">
        <v>225</v>
      </c>
      <c r="L82" s="12">
        <f t="shared" ref="L82:R82" si="20">L32+L34+L39+L41+L46+L48+L53+L55+L60+L62+L67+L69+L74+L76</f>
        <v>1100228.2149007092</v>
      </c>
      <c r="M82" s="12">
        <f t="shared" si="20"/>
        <v>3300684.6447021277</v>
      </c>
      <c r="N82" s="12">
        <f t="shared" si="20"/>
        <v>5501141.0745035466</v>
      </c>
      <c r="O82" s="12">
        <f t="shared" si="20"/>
        <v>7701597.504304966</v>
      </c>
      <c r="P82" s="12">
        <f t="shared" si="20"/>
        <v>9902053.9341063853</v>
      </c>
      <c r="Q82" s="12">
        <f t="shared" si="20"/>
        <v>12102510.363907805</v>
      </c>
      <c r="R82" s="12">
        <f t="shared" si="20"/>
        <v>14302966.793709224</v>
      </c>
    </row>
    <row r="83" spans="2:20" x14ac:dyDescent="0.2">
      <c r="B83" s="2" t="s">
        <v>239</v>
      </c>
      <c r="D83" s="20" t="s">
        <v>380</v>
      </c>
      <c r="H83" s="2" t="s">
        <v>2</v>
      </c>
      <c r="M83" s="12">
        <f t="shared" ref="M83" si="21">$J$13*M81+M82</f>
        <v>9321133.4366388079</v>
      </c>
      <c r="R83" s="12">
        <f>$J$14*R81+R82</f>
        <v>30707369.477878805</v>
      </c>
    </row>
    <row r="85" spans="2:20" x14ac:dyDescent="0.2">
      <c r="B85" s="2" t="s">
        <v>278</v>
      </c>
      <c r="D85" s="2" t="s">
        <v>242</v>
      </c>
      <c r="H85" s="2" t="s">
        <v>241</v>
      </c>
      <c r="L85" s="36"/>
      <c r="M85" s="53">
        <f>M83</f>
        <v>9321133.4366388079</v>
      </c>
      <c r="R85" s="53">
        <f>R83*(1-$J$15)^5*(1+$J$16)^5</f>
        <v>32540805.961958211</v>
      </c>
      <c r="T85" s="2" t="s">
        <v>293</v>
      </c>
    </row>
    <row r="89" spans="2:20" x14ac:dyDescent="0.2">
      <c r="L89" s="7"/>
      <c r="M89" s="7"/>
      <c r="N89" s="7"/>
      <c r="O89" s="7"/>
      <c r="P89" s="7"/>
      <c r="Q89" s="7"/>
      <c r="R89" s="7"/>
    </row>
    <row r="139" spans="1:1" x14ac:dyDescent="0.2">
      <c r="A139" s="10"/>
    </row>
    <row r="140" spans="1:1" x14ac:dyDescent="0.2">
      <c r="A140"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8A14CAD9EF79488FBAC36D414928E5" ma:contentTypeVersion="0" ma:contentTypeDescription="Een nieuw document maken." ma:contentTypeScope="" ma:versionID="ee063234523cdb246465f867c3bd00d1">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5AA8B6-3412-4213-988D-1025C7D2D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F35D131-11BC-479B-A2C4-E0C37DA0BB8A}">
  <ds:schemaRefs>
    <ds:schemaRef ds:uri="http://schemas.microsoft.com/sharepoint/v3/contenttype/forms"/>
  </ds:schemaRefs>
</ds:datastoreItem>
</file>

<file path=customXml/itemProps3.xml><?xml version="1.0" encoding="utf-8"?>
<ds:datastoreItem xmlns:ds="http://schemas.openxmlformats.org/officeDocument/2006/customXml" ds:itemID="{71BCBAA1-C8B5-457C-9F92-12620689720C}">
  <ds:schemaRefs>
    <ds:schemaRef ds:uri="http://www.w3.org/XML/1998/namespace"/>
    <ds:schemaRef ds:uri="http://purl.org/dc/elements/1.1/"/>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460</vt:i4>
      </vt:variant>
    </vt:vector>
  </HeadingPairs>
  <TitlesOfParts>
    <vt:vector size="475" baseType="lpstr">
      <vt:lpstr>Toelichting</vt:lpstr>
      <vt:lpstr>Import gegevens --&gt;</vt:lpstr>
      <vt:lpstr>Import kosten 2012-2015</vt:lpstr>
      <vt:lpstr>Import SO en BI</vt:lpstr>
      <vt:lpstr>WACC en CPI</vt:lpstr>
      <vt:lpstr>Berekeningen --&gt;</vt:lpstr>
      <vt:lpstr>Productiviteitsverandering</vt:lpstr>
      <vt:lpstr>Berekening surplus AD</vt:lpstr>
      <vt:lpstr>Berekening extra KK AD</vt:lpstr>
      <vt:lpstr>Totale kosten TD maatstaf</vt:lpstr>
      <vt:lpstr>Totale kosten AD maatstaf</vt:lpstr>
      <vt:lpstr>Totale kosten EHD maatstaf</vt:lpstr>
      <vt:lpstr>Toetsen toepassing one-off</vt:lpstr>
      <vt:lpstr>X-factor + TI-bedragen</vt:lpstr>
      <vt:lpstr>Bijlage 1</vt:lpstr>
      <vt:lpstr>cogas_2012_Total_Cost_Imp_1</vt:lpstr>
      <vt:lpstr>cogas_2012_Total_Cost_Imp_2</vt:lpstr>
      <vt:lpstr>cogas_2013_Total_Cost_Imp_1</vt:lpstr>
      <vt:lpstr>cogas_2013_Total_Cost_Imp_10</vt:lpstr>
      <vt:lpstr>cogas_2013_Total_Cost_Imp_11</vt:lpstr>
      <vt:lpstr>cogas_2013_Total_Cost_Imp_12</vt:lpstr>
      <vt:lpstr>cogas_2013_Total_Cost_Imp_13</vt:lpstr>
      <vt:lpstr>cogas_2013_Total_Cost_Imp_14</vt:lpstr>
      <vt:lpstr>cogas_2013_Total_Cost_Imp_15</vt:lpstr>
      <vt:lpstr>cogas_2013_Total_Cost_Imp_16</vt:lpstr>
      <vt:lpstr>cogas_2013_Total_Cost_Imp_2</vt:lpstr>
      <vt:lpstr>cogas_2013_Total_Cost_Imp_3</vt:lpstr>
      <vt:lpstr>cogas_2013_Total_Cost_Imp_4</vt:lpstr>
      <vt:lpstr>cogas_2013_Total_Cost_Imp_5</vt:lpstr>
      <vt:lpstr>cogas_2013_Total_Cost_Imp_6</vt:lpstr>
      <vt:lpstr>cogas_2013_Total_Cost_Imp_7</vt:lpstr>
      <vt:lpstr>cogas_2013_Total_Cost_Imp_8</vt:lpstr>
      <vt:lpstr>cogas_2013_Total_Cost_Imp_9</vt:lpstr>
      <vt:lpstr>cogas_2014_Total_Cost_Imp_1</vt:lpstr>
      <vt:lpstr>cogas_2014_Total_Cost_Imp_10</vt:lpstr>
      <vt:lpstr>cogas_2014_Total_Cost_Imp_11</vt:lpstr>
      <vt:lpstr>cogas_2014_Total_Cost_Imp_12</vt:lpstr>
      <vt:lpstr>cogas_2014_Total_Cost_Imp_13</vt:lpstr>
      <vt:lpstr>cogas_2014_Total_Cost_Imp_14</vt:lpstr>
      <vt:lpstr>cogas_2014_Total_Cost_Imp_15</vt:lpstr>
      <vt:lpstr>cogas_2014_Total_Cost_Imp_16</vt:lpstr>
      <vt:lpstr>cogas_2014_Total_Cost_Imp_2</vt:lpstr>
      <vt:lpstr>cogas_2014_Total_Cost_Imp_3</vt:lpstr>
      <vt:lpstr>cogas_2014_Total_Cost_Imp_4</vt:lpstr>
      <vt:lpstr>cogas_2014_Total_Cost_Imp_5</vt:lpstr>
      <vt:lpstr>cogas_2014_Total_Cost_Imp_6</vt:lpstr>
      <vt:lpstr>cogas_2014_Total_Cost_Imp_7</vt:lpstr>
      <vt:lpstr>cogas_2014_Total_Cost_Imp_8</vt:lpstr>
      <vt:lpstr>cogas_2014_Total_Cost_Imp_9</vt:lpstr>
      <vt:lpstr>cogas_2015_Total_Cost_Imp_1</vt:lpstr>
      <vt:lpstr>cogas_2015_Total_Cost_Imp_10</vt:lpstr>
      <vt:lpstr>cogas_2015_Total_Cost_Imp_11</vt:lpstr>
      <vt:lpstr>cogas_2015_Total_Cost_Imp_12</vt:lpstr>
      <vt:lpstr>cogas_2015_Total_Cost_Imp_13</vt:lpstr>
      <vt:lpstr>cogas_2015_Total_Cost_Imp_14</vt:lpstr>
      <vt:lpstr>cogas_2015_Total_Cost_Imp_15</vt:lpstr>
      <vt:lpstr>cogas_2015_Total_Cost_Imp_2</vt:lpstr>
      <vt:lpstr>cogas_2015_Total_Cost_Imp_3</vt:lpstr>
      <vt:lpstr>cogas_2015_Total_Cost_Imp_4</vt:lpstr>
      <vt:lpstr>cogas_2015_Total_Cost_Imp_5</vt:lpstr>
      <vt:lpstr>cogas_2015_Total_Cost_Imp_6</vt:lpstr>
      <vt:lpstr>cogas_2015_Total_Cost_Imp_7</vt:lpstr>
      <vt:lpstr>cogas_2015_Total_Cost_Imp_8</vt:lpstr>
      <vt:lpstr>cogas_2015_Total_Cost_Imp_9</vt:lpstr>
      <vt:lpstr>cogas_BI_AD_2016_SO_Imp</vt:lpstr>
      <vt:lpstr>cogas_BI_TD_2016_SO_Imp</vt:lpstr>
      <vt:lpstr>cogas_OUT_AD_2016_SO_Imp</vt:lpstr>
      <vt:lpstr>cogas_OUT_TD_2016_SO_Imp</vt:lpstr>
      <vt:lpstr>cogas_TOT_EAV_2013_SO_Imp</vt:lpstr>
      <vt:lpstr>cogas_TOT_EAV_2014_SO_Imp</vt:lpstr>
      <vt:lpstr>cogas_TOT_EAV_2015_SO_Imp</vt:lpstr>
      <vt:lpstr>enduris_2012_Total_Cost_Imp_1</vt:lpstr>
      <vt:lpstr>enduris_2012_Total_Cost_Imp_2</vt:lpstr>
      <vt:lpstr>enduris_2013_Total_Cost_Imp_1</vt:lpstr>
      <vt:lpstr>enduris_2013_Total_Cost_Imp_10</vt:lpstr>
      <vt:lpstr>enduris_2013_Total_Cost_Imp_11</vt:lpstr>
      <vt:lpstr>enduris_2013_Total_Cost_Imp_12</vt:lpstr>
      <vt:lpstr>enduris_2013_Total_Cost_Imp_13</vt:lpstr>
      <vt:lpstr>enduris_2013_Total_Cost_Imp_14</vt:lpstr>
      <vt:lpstr>enduris_2013_Total_Cost_Imp_15</vt:lpstr>
      <vt:lpstr>enduris_2013_Total_Cost_Imp_16</vt:lpstr>
      <vt:lpstr>enduris_2013_Total_Cost_Imp_2</vt:lpstr>
      <vt:lpstr>enduris_2013_Total_Cost_Imp_3</vt:lpstr>
      <vt:lpstr>enduris_2013_Total_Cost_Imp_4</vt:lpstr>
      <vt:lpstr>enduris_2013_Total_Cost_Imp_5</vt:lpstr>
      <vt:lpstr>enduris_2013_Total_Cost_Imp_6</vt:lpstr>
      <vt:lpstr>enduris_2013_Total_Cost_Imp_7</vt:lpstr>
      <vt:lpstr>enduris_2013_Total_Cost_Imp_8</vt:lpstr>
      <vt:lpstr>enduris_2013_Total_Cost_Imp_9</vt:lpstr>
      <vt:lpstr>enduris_2014_Total_Cost_Imp_1</vt:lpstr>
      <vt:lpstr>enduris_2014_Total_Cost_Imp_10</vt:lpstr>
      <vt:lpstr>enduris_2014_Total_Cost_Imp_11</vt:lpstr>
      <vt:lpstr>enduris_2014_Total_Cost_Imp_12</vt:lpstr>
      <vt:lpstr>enduris_2014_Total_Cost_Imp_13</vt:lpstr>
      <vt:lpstr>enduris_2014_Total_Cost_Imp_14</vt:lpstr>
      <vt:lpstr>enduris_2014_Total_Cost_Imp_15</vt:lpstr>
      <vt:lpstr>enduris_2014_Total_Cost_Imp_16</vt:lpstr>
      <vt:lpstr>enduris_2014_Total_Cost_Imp_2</vt:lpstr>
      <vt:lpstr>enduris_2014_Total_Cost_Imp_3</vt:lpstr>
      <vt:lpstr>enduris_2014_Total_Cost_Imp_4</vt:lpstr>
      <vt:lpstr>enduris_2014_Total_Cost_Imp_5</vt:lpstr>
      <vt:lpstr>enduris_2014_Total_Cost_Imp_6</vt:lpstr>
      <vt:lpstr>enduris_2014_Total_Cost_Imp_7</vt:lpstr>
      <vt:lpstr>enduris_2014_Total_Cost_Imp_8</vt:lpstr>
      <vt:lpstr>enduris_2014_Total_Cost_Imp_9</vt:lpstr>
      <vt:lpstr>enduris_2015_Total_Cost_Imp_1</vt:lpstr>
      <vt:lpstr>enduris_2015_Total_Cost_Imp_10</vt:lpstr>
      <vt:lpstr>enduris_2015_Total_Cost_Imp_11</vt:lpstr>
      <vt:lpstr>enduris_2015_Total_Cost_Imp_12</vt:lpstr>
      <vt:lpstr>enduris_2015_Total_Cost_Imp_13</vt:lpstr>
      <vt:lpstr>enduris_2015_Total_Cost_Imp_14</vt:lpstr>
      <vt:lpstr>enduris_2015_Total_Cost_Imp_15</vt:lpstr>
      <vt:lpstr>enduris_2015_Total_Cost_Imp_2</vt:lpstr>
      <vt:lpstr>enduris_2015_Total_Cost_Imp_3</vt:lpstr>
      <vt:lpstr>enduris_2015_Total_Cost_Imp_4</vt:lpstr>
      <vt:lpstr>enduris_2015_Total_Cost_Imp_5</vt:lpstr>
      <vt:lpstr>enduris_2015_Total_Cost_Imp_6</vt:lpstr>
      <vt:lpstr>enduris_2015_Total_Cost_Imp_7</vt:lpstr>
      <vt:lpstr>enduris_2015_Total_Cost_Imp_8</vt:lpstr>
      <vt:lpstr>enduris_2015_Total_Cost_Imp_9</vt:lpstr>
      <vt:lpstr>enduris_BI_AD_2016_SO_Imp</vt:lpstr>
      <vt:lpstr>enduris_BI_TD_2016_SO_Imp</vt:lpstr>
      <vt:lpstr>enduris_EHD_BI_SO_Imp</vt:lpstr>
      <vt:lpstr>enduris_EHD_Out_SO_Imp</vt:lpstr>
      <vt:lpstr>enduris_OUT_AD_2016_SO_Imp</vt:lpstr>
      <vt:lpstr>enduris_OUT_TD_2016_SO_Imp</vt:lpstr>
      <vt:lpstr>enduris_TOT_EAV_2013_SO_Imp</vt:lpstr>
      <vt:lpstr>enduris_TOT_EAV_2014_SO_Imp</vt:lpstr>
      <vt:lpstr>enduris_TOT_EAV_2015_SO_Imp</vt:lpstr>
      <vt:lpstr>enexis_2012_Total_Cost_Imp_1</vt:lpstr>
      <vt:lpstr>enexis_2012_Total_Cost_Imp_2</vt:lpstr>
      <vt:lpstr>enexis_2013_Total_Cost_Imp_1</vt:lpstr>
      <vt:lpstr>enexis_2013_Total_Cost_Imp_10</vt:lpstr>
      <vt:lpstr>enexis_2013_Total_Cost_Imp_11</vt:lpstr>
      <vt:lpstr>enexis_2013_Total_Cost_Imp_12</vt:lpstr>
      <vt:lpstr>enexis_2013_Total_Cost_Imp_13</vt:lpstr>
      <vt:lpstr>enexis_2013_Total_Cost_Imp_14</vt:lpstr>
      <vt:lpstr>enexis_2013_Total_Cost_Imp_15</vt:lpstr>
      <vt:lpstr>enexis_2013_Total_Cost_Imp_16</vt:lpstr>
      <vt:lpstr>enexis_2013_Total_Cost_Imp_2</vt:lpstr>
      <vt:lpstr>enexis_2013_Total_Cost_Imp_3</vt:lpstr>
      <vt:lpstr>enexis_2013_Total_Cost_Imp_4</vt:lpstr>
      <vt:lpstr>enexis_2013_Total_Cost_Imp_5</vt:lpstr>
      <vt:lpstr>enexis_2013_Total_Cost_Imp_6</vt:lpstr>
      <vt:lpstr>enexis_2013_Total_Cost_Imp_7</vt:lpstr>
      <vt:lpstr>enexis_2013_Total_Cost_Imp_8</vt:lpstr>
      <vt:lpstr>enexis_2013_Total_Cost_Imp_9</vt:lpstr>
      <vt:lpstr>enexis_2014_Total_Cost_Imp_1</vt:lpstr>
      <vt:lpstr>enexis_2014_Total_Cost_Imp_10</vt:lpstr>
      <vt:lpstr>enexis_2014_Total_Cost_Imp_11</vt:lpstr>
      <vt:lpstr>enexis_2014_Total_Cost_Imp_12</vt:lpstr>
      <vt:lpstr>enexis_2014_Total_Cost_Imp_13</vt:lpstr>
      <vt:lpstr>enexis_2014_Total_Cost_Imp_14</vt:lpstr>
      <vt:lpstr>enexis_2014_Total_Cost_Imp_15</vt:lpstr>
      <vt:lpstr>enexis_2014_Total_Cost_Imp_16</vt:lpstr>
      <vt:lpstr>enexis_2014_Total_Cost_Imp_2</vt:lpstr>
      <vt:lpstr>enexis_2014_Total_Cost_Imp_3</vt:lpstr>
      <vt:lpstr>enexis_2014_Total_Cost_Imp_4</vt:lpstr>
      <vt:lpstr>enexis_2014_Total_Cost_Imp_5</vt:lpstr>
      <vt:lpstr>enexis_2014_Total_Cost_Imp_6</vt:lpstr>
      <vt:lpstr>enexis_2014_Total_Cost_Imp_7</vt:lpstr>
      <vt:lpstr>enexis_2014_Total_Cost_Imp_8</vt:lpstr>
      <vt:lpstr>enexis_2014_Total_Cost_Imp_9</vt:lpstr>
      <vt:lpstr>enexis_2015_Total_Cost_Imp_1</vt:lpstr>
      <vt:lpstr>enexis_2015_Total_Cost_Imp_10</vt:lpstr>
      <vt:lpstr>enexis_2015_Total_Cost_Imp_11</vt:lpstr>
      <vt:lpstr>enexis_2015_Total_Cost_Imp_12</vt:lpstr>
      <vt:lpstr>enexis_2015_Total_Cost_Imp_13</vt:lpstr>
      <vt:lpstr>enexis_2015_Total_Cost_Imp_14</vt:lpstr>
      <vt:lpstr>enexis_2015_Total_Cost_Imp_15</vt:lpstr>
      <vt:lpstr>enexis_2015_Total_Cost_Imp_2</vt:lpstr>
      <vt:lpstr>enexis_2015_Total_Cost_Imp_3</vt:lpstr>
      <vt:lpstr>enexis_2015_Total_Cost_Imp_4</vt:lpstr>
      <vt:lpstr>enexis_2015_Total_Cost_Imp_5</vt:lpstr>
      <vt:lpstr>enexis_2015_Total_Cost_Imp_6</vt:lpstr>
      <vt:lpstr>enexis_2015_Total_Cost_Imp_7</vt:lpstr>
      <vt:lpstr>enexis_2015_Total_Cost_Imp_8</vt:lpstr>
      <vt:lpstr>enexis_2015_Total_Cost_Imp_9</vt:lpstr>
      <vt:lpstr>enexis_BI_AD_2016_SO_Imp</vt:lpstr>
      <vt:lpstr>enexis_BI_TD_2016_SO_Imp</vt:lpstr>
      <vt:lpstr>enexis_EHD_BI_SO_Imp</vt:lpstr>
      <vt:lpstr>enexis_EHD_Out_SO_Imp</vt:lpstr>
      <vt:lpstr>enexis_OUT_AD_2016_SO_Imp</vt:lpstr>
      <vt:lpstr>enexis_OUT_TD_2016_SO_Imp</vt:lpstr>
      <vt:lpstr>enexis_TOT_EAV_2013_SO_Imp</vt:lpstr>
      <vt:lpstr>enexis_TOT_EAV_2014_SO_Imp</vt:lpstr>
      <vt:lpstr>enexis_TOT_EAV_2015_SO_Imp</vt:lpstr>
      <vt:lpstr>liander_2012_Total_Cost_Imp_1</vt:lpstr>
      <vt:lpstr>liander_2012_Total_Cost_Imp_2</vt:lpstr>
      <vt:lpstr>liander_2013_Total_Cost_Imp_1</vt:lpstr>
      <vt:lpstr>liander_2013_Total_Cost_Imp_10</vt:lpstr>
      <vt:lpstr>liander_2013_Total_Cost_Imp_11</vt:lpstr>
      <vt:lpstr>liander_2013_Total_Cost_Imp_12</vt:lpstr>
      <vt:lpstr>liander_2013_Total_Cost_Imp_13</vt:lpstr>
      <vt:lpstr>liander_2013_Total_Cost_Imp_14</vt:lpstr>
      <vt:lpstr>liander_2013_Total_Cost_Imp_15</vt:lpstr>
      <vt:lpstr>liander_2013_Total_Cost_Imp_16</vt:lpstr>
      <vt:lpstr>liander_2013_Total_Cost_Imp_2</vt:lpstr>
      <vt:lpstr>liander_2013_Total_Cost_Imp_3</vt:lpstr>
      <vt:lpstr>liander_2013_Total_Cost_Imp_4</vt:lpstr>
      <vt:lpstr>liander_2013_Total_Cost_Imp_5</vt:lpstr>
      <vt:lpstr>liander_2013_Total_Cost_Imp_6</vt:lpstr>
      <vt:lpstr>liander_2013_Total_Cost_Imp_7</vt:lpstr>
      <vt:lpstr>liander_2013_Total_Cost_Imp_8</vt:lpstr>
      <vt:lpstr>liander_2013_Total_Cost_Imp_9</vt:lpstr>
      <vt:lpstr>liander_2014_Total_Cost_Imp_1</vt:lpstr>
      <vt:lpstr>liander_2014_Total_Cost_Imp_10</vt:lpstr>
      <vt:lpstr>liander_2014_Total_Cost_Imp_11</vt:lpstr>
      <vt:lpstr>liander_2014_Total_Cost_Imp_12</vt:lpstr>
      <vt:lpstr>liander_2014_Total_Cost_Imp_13</vt:lpstr>
      <vt:lpstr>liander_2014_Total_Cost_Imp_14</vt:lpstr>
      <vt:lpstr>liander_2014_Total_Cost_Imp_15</vt:lpstr>
      <vt:lpstr>liander_2014_Total_Cost_Imp_16</vt:lpstr>
      <vt:lpstr>liander_2014_Total_Cost_Imp_2</vt:lpstr>
      <vt:lpstr>liander_2014_Total_Cost_Imp_3</vt:lpstr>
      <vt:lpstr>liander_2014_Total_Cost_Imp_4</vt:lpstr>
      <vt:lpstr>liander_2014_Total_Cost_Imp_5</vt:lpstr>
      <vt:lpstr>liander_2014_Total_Cost_Imp_6</vt:lpstr>
      <vt:lpstr>liander_2014_Total_Cost_Imp_7</vt:lpstr>
      <vt:lpstr>liander_2014_Total_Cost_Imp_8</vt:lpstr>
      <vt:lpstr>liander_2014_Total_Cost_Imp_9</vt:lpstr>
      <vt:lpstr>liander_2015_Total_Cost_Imp_1</vt:lpstr>
      <vt:lpstr>liander_2015_Total_Cost_Imp_10</vt:lpstr>
      <vt:lpstr>liander_2015_Total_Cost_Imp_11</vt:lpstr>
      <vt:lpstr>liander_2015_Total_Cost_Imp_12</vt:lpstr>
      <vt:lpstr>liander_2015_Total_Cost_Imp_13</vt:lpstr>
      <vt:lpstr>liander_2015_Total_Cost_Imp_14</vt:lpstr>
      <vt:lpstr>liander_2015_Total_Cost_Imp_15</vt:lpstr>
      <vt:lpstr>liander_2015_Total_Cost_Imp_2</vt:lpstr>
      <vt:lpstr>liander_2015_Total_Cost_Imp_3</vt:lpstr>
      <vt:lpstr>liander_2015_Total_Cost_Imp_4</vt:lpstr>
      <vt:lpstr>liander_2015_Total_Cost_Imp_5</vt:lpstr>
      <vt:lpstr>liander_2015_Total_Cost_Imp_6</vt:lpstr>
      <vt:lpstr>liander_2015_Total_Cost_Imp_7</vt:lpstr>
      <vt:lpstr>liander_2015_Total_Cost_Imp_8</vt:lpstr>
      <vt:lpstr>liander_2015_Total_Cost_Imp_9</vt:lpstr>
      <vt:lpstr>liander_BI_AD_2016_SO_Imp</vt:lpstr>
      <vt:lpstr>liander_BI_TD_2016_SO_Imp</vt:lpstr>
      <vt:lpstr>liander_EHD_BI_SO_Imp</vt:lpstr>
      <vt:lpstr>liander_EHD_Out_SO_Imp</vt:lpstr>
      <vt:lpstr>liander_OUT_AD_2016_SO_Imp</vt:lpstr>
      <vt:lpstr>liander_OUT_TD_2016_SO_Imp</vt:lpstr>
      <vt:lpstr>liander_TOT_EAV_2013_SO_Imp</vt:lpstr>
      <vt:lpstr>liander_TOT_EAV_2014_SO_Imp</vt:lpstr>
      <vt:lpstr>liander_TOT_EAV_2015_SO_Imp</vt:lpstr>
      <vt:lpstr>Out_TD_2012_SO_Imp</vt:lpstr>
      <vt:lpstr>Out_TD_2013_SO_Imp</vt:lpstr>
      <vt:lpstr>Out_TD_2014_SO_Imp</vt:lpstr>
      <vt:lpstr>Out_TD_2015_SO_Imp</vt:lpstr>
      <vt:lpstr>rendo_2012_Total_Cost_Imp_1</vt:lpstr>
      <vt:lpstr>rendo_2012_Total_Cost_Imp_2</vt:lpstr>
      <vt:lpstr>rendo_2013_Total_Cost_Imp_1</vt:lpstr>
      <vt:lpstr>rendo_2013_Total_Cost_Imp_10</vt:lpstr>
      <vt:lpstr>rendo_2013_Total_Cost_Imp_11</vt:lpstr>
      <vt:lpstr>rendo_2013_Total_Cost_Imp_12</vt:lpstr>
      <vt:lpstr>rendo_2013_Total_Cost_Imp_13</vt:lpstr>
      <vt:lpstr>rendo_2013_Total_Cost_Imp_14</vt:lpstr>
      <vt:lpstr>rendo_2013_Total_Cost_Imp_15</vt:lpstr>
      <vt:lpstr>rendo_2013_Total_Cost_Imp_16</vt:lpstr>
      <vt:lpstr>rendo_2013_Total_Cost_Imp_2</vt:lpstr>
      <vt:lpstr>rendo_2013_Total_Cost_Imp_3</vt:lpstr>
      <vt:lpstr>rendo_2013_Total_Cost_Imp_4</vt:lpstr>
      <vt:lpstr>rendo_2013_Total_Cost_Imp_5</vt:lpstr>
      <vt:lpstr>rendo_2013_Total_Cost_Imp_6</vt:lpstr>
      <vt:lpstr>rendo_2013_Total_Cost_Imp_7</vt:lpstr>
      <vt:lpstr>rendo_2013_Total_Cost_Imp_8</vt:lpstr>
      <vt:lpstr>rendo_2013_Total_Cost_Imp_9</vt:lpstr>
      <vt:lpstr>rendo_2014_Total_Cost_Imp_1</vt:lpstr>
      <vt:lpstr>rendo_2014_Total_Cost_Imp_10</vt:lpstr>
      <vt:lpstr>rendo_2014_Total_Cost_Imp_11</vt:lpstr>
      <vt:lpstr>rendo_2014_Total_Cost_Imp_12</vt:lpstr>
      <vt:lpstr>rendo_2014_Total_Cost_Imp_13</vt:lpstr>
      <vt:lpstr>rendo_2014_Total_Cost_Imp_14</vt:lpstr>
      <vt:lpstr>rendo_2014_Total_Cost_Imp_15</vt:lpstr>
      <vt:lpstr>rendo_2014_Total_Cost_Imp_16</vt:lpstr>
      <vt:lpstr>rendo_2014_Total_Cost_Imp_2</vt:lpstr>
      <vt:lpstr>rendo_2014_Total_Cost_Imp_3</vt:lpstr>
      <vt:lpstr>rendo_2014_Total_Cost_Imp_4</vt:lpstr>
      <vt:lpstr>rendo_2014_Total_Cost_Imp_5</vt:lpstr>
      <vt:lpstr>rendo_2014_Total_Cost_Imp_6</vt:lpstr>
      <vt:lpstr>rendo_2014_Total_Cost_Imp_7</vt:lpstr>
      <vt:lpstr>rendo_2014_Total_Cost_Imp_8</vt:lpstr>
      <vt:lpstr>rendo_2014_Total_Cost_Imp_9</vt:lpstr>
      <vt:lpstr>rendo_2015_Total_Cost_Imp_1</vt:lpstr>
      <vt:lpstr>rendo_2015_Total_Cost_Imp_10</vt:lpstr>
      <vt:lpstr>rendo_2015_Total_Cost_Imp_11</vt:lpstr>
      <vt:lpstr>rendo_2015_Total_Cost_Imp_12</vt:lpstr>
      <vt:lpstr>rendo_2015_Total_Cost_Imp_13</vt:lpstr>
      <vt:lpstr>rendo_2015_Total_Cost_Imp_14</vt:lpstr>
      <vt:lpstr>rendo_2015_Total_Cost_Imp_15</vt:lpstr>
      <vt:lpstr>rendo_2015_Total_Cost_Imp_2</vt:lpstr>
      <vt:lpstr>rendo_2015_Total_Cost_Imp_3</vt:lpstr>
      <vt:lpstr>rendo_2015_Total_Cost_Imp_4</vt:lpstr>
      <vt:lpstr>rendo_2015_Total_Cost_Imp_5</vt:lpstr>
      <vt:lpstr>rendo_2015_Total_Cost_Imp_6</vt:lpstr>
      <vt:lpstr>rendo_2015_Total_Cost_Imp_7</vt:lpstr>
      <vt:lpstr>rendo_2015_Total_Cost_Imp_8</vt:lpstr>
      <vt:lpstr>rendo_2015_Total_Cost_Imp_9</vt:lpstr>
      <vt:lpstr>rendo_BI_AD_2016_SO_Imp</vt:lpstr>
      <vt:lpstr>rendo_BI_TD_2016_SO_Imp</vt:lpstr>
      <vt:lpstr>rendo_OUT_AD_2016_SO_Imp</vt:lpstr>
      <vt:lpstr>rendo_OUT_TD_2016_SO_Imp</vt:lpstr>
      <vt:lpstr>rendo_TOT_EAV_2013_SO_Imp</vt:lpstr>
      <vt:lpstr>rendo_TOT_EAV_2014_SO_Imp</vt:lpstr>
      <vt:lpstr>rendo_TOT_EAV_2015_SO_Imp</vt:lpstr>
      <vt:lpstr>Savings_2012_Total_Cost_Imp</vt:lpstr>
      <vt:lpstr>Savings_2013_Total_Cost_Imp</vt:lpstr>
      <vt:lpstr>Savings_2014_Total_Cost_Imp</vt:lpstr>
      <vt:lpstr>Savings_2015_Total_Cost_Imp</vt:lpstr>
      <vt:lpstr>stedin_2012_Total_Cost_Imp_1</vt:lpstr>
      <vt:lpstr>stedin_2012_Total_Cost_Imp_2</vt:lpstr>
      <vt:lpstr>stedin_2013_Total_Cost_Imp_1</vt:lpstr>
      <vt:lpstr>stedin_2013_Total_Cost_Imp_10</vt:lpstr>
      <vt:lpstr>stedin_2013_Total_Cost_Imp_11</vt:lpstr>
      <vt:lpstr>stedin_2013_Total_Cost_Imp_12</vt:lpstr>
      <vt:lpstr>stedin_2013_Total_Cost_Imp_13</vt:lpstr>
      <vt:lpstr>stedin_2013_Total_Cost_Imp_14</vt:lpstr>
      <vt:lpstr>stedin_2013_Total_Cost_Imp_15</vt:lpstr>
      <vt:lpstr>stedin_2013_Total_Cost_Imp_16</vt:lpstr>
      <vt:lpstr>stedin_2013_Total_Cost_Imp_2</vt:lpstr>
      <vt:lpstr>stedin_2013_Total_Cost_Imp_3</vt:lpstr>
      <vt:lpstr>stedin_2013_Total_Cost_Imp_4</vt:lpstr>
      <vt:lpstr>stedin_2013_Total_Cost_Imp_5</vt:lpstr>
      <vt:lpstr>stedin_2013_Total_Cost_Imp_6</vt:lpstr>
      <vt:lpstr>stedin_2013_Total_Cost_Imp_7</vt:lpstr>
      <vt:lpstr>stedin_2013_Total_Cost_Imp_8</vt:lpstr>
      <vt:lpstr>stedin_2013_Total_Cost_Imp_9</vt:lpstr>
      <vt:lpstr>stedin_2014_Total_Cost_Imp_1</vt:lpstr>
      <vt:lpstr>stedin_2014_Total_Cost_Imp_10</vt:lpstr>
      <vt:lpstr>stedin_2014_Total_Cost_Imp_11</vt:lpstr>
      <vt:lpstr>stedin_2014_Total_Cost_Imp_12</vt:lpstr>
      <vt:lpstr>stedin_2014_Total_Cost_Imp_13</vt:lpstr>
      <vt:lpstr>stedin_2014_Total_Cost_Imp_14</vt:lpstr>
      <vt:lpstr>stedin_2014_Total_Cost_Imp_15</vt:lpstr>
      <vt:lpstr>stedin_2014_Total_Cost_Imp_16</vt:lpstr>
      <vt:lpstr>stedin_2014_Total_Cost_Imp_2</vt:lpstr>
      <vt:lpstr>stedin_2014_Total_Cost_Imp_3</vt:lpstr>
      <vt:lpstr>stedin_2014_Total_Cost_Imp_4</vt:lpstr>
      <vt:lpstr>stedin_2014_Total_Cost_Imp_5</vt:lpstr>
      <vt:lpstr>stedin_2014_Total_Cost_Imp_6</vt:lpstr>
      <vt:lpstr>stedin_2014_Total_Cost_Imp_7</vt:lpstr>
      <vt:lpstr>stedin_2014_Total_Cost_Imp_8</vt:lpstr>
      <vt:lpstr>stedin_2014_Total_Cost_Imp_9</vt:lpstr>
      <vt:lpstr>stedin_2015_Total_Cost_Imp_1</vt:lpstr>
      <vt:lpstr>stedin_2015_Total_Cost_Imp_10</vt:lpstr>
      <vt:lpstr>stedin_2015_Total_Cost_Imp_11</vt:lpstr>
      <vt:lpstr>stedin_2015_Total_Cost_Imp_12</vt:lpstr>
      <vt:lpstr>stedin_2015_Total_Cost_Imp_13</vt:lpstr>
      <vt:lpstr>stedin_2015_Total_Cost_Imp_14</vt:lpstr>
      <vt:lpstr>stedin_2015_Total_Cost_Imp_15</vt:lpstr>
      <vt:lpstr>stedin_2015_Total_Cost_Imp_2</vt:lpstr>
      <vt:lpstr>stedin_2015_Total_Cost_Imp_3</vt:lpstr>
      <vt:lpstr>stedin_2015_Total_Cost_Imp_4</vt:lpstr>
      <vt:lpstr>stedin_2015_Total_Cost_Imp_5</vt:lpstr>
      <vt:lpstr>stedin_2015_Total_Cost_Imp_6</vt:lpstr>
      <vt:lpstr>stedin_2015_Total_Cost_Imp_7</vt:lpstr>
      <vt:lpstr>stedin_2015_Total_Cost_Imp_8</vt:lpstr>
      <vt:lpstr>stedin_2015_Total_Cost_Imp_9</vt:lpstr>
      <vt:lpstr>stedin_BI_AD_2016_SO_Imp</vt:lpstr>
      <vt:lpstr>stedin_BI_TD_2016_SO_Imp</vt:lpstr>
      <vt:lpstr>stedin_OUT_AD_2016_SO_Imp</vt:lpstr>
      <vt:lpstr>stedin_OUT_TD_2016_SO_Imp</vt:lpstr>
      <vt:lpstr>stedin_TOT_EAV_2013_SO_Imp</vt:lpstr>
      <vt:lpstr>stedin_TOT_EAV_2014_SO_Imp</vt:lpstr>
      <vt:lpstr>stedin_TOT_EAV_2015_SO_Imp</vt:lpstr>
      <vt:lpstr>westland_2012_Total_Cost_Imp_1</vt:lpstr>
      <vt:lpstr>westland_2012_Total_Cost_Imp_2</vt:lpstr>
      <vt:lpstr>westland_2013_Total_Cost_Imp_1</vt:lpstr>
      <vt:lpstr>westland_2013_Total_Cost_Imp_10</vt:lpstr>
      <vt:lpstr>westland_2013_Total_Cost_Imp_11</vt:lpstr>
      <vt:lpstr>westland_2013_Total_Cost_Imp_12</vt:lpstr>
      <vt:lpstr>westland_2013_Total_Cost_Imp_13</vt:lpstr>
      <vt:lpstr>westland_2013_Total_Cost_Imp_14</vt:lpstr>
      <vt:lpstr>westland_2013_Total_Cost_Imp_15</vt:lpstr>
      <vt:lpstr>westland_2013_Total_Cost_Imp_16</vt:lpstr>
      <vt:lpstr>westland_2013_Total_Cost_Imp_2</vt:lpstr>
      <vt:lpstr>westland_2013_Total_Cost_Imp_3</vt:lpstr>
      <vt:lpstr>westland_2013_Total_Cost_Imp_4</vt:lpstr>
      <vt:lpstr>westland_2013_Total_Cost_Imp_5</vt:lpstr>
      <vt:lpstr>westland_2013_Total_Cost_Imp_6</vt:lpstr>
      <vt:lpstr>westland_2013_Total_Cost_Imp_7</vt:lpstr>
      <vt:lpstr>westland_2013_Total_Cost_Imp_8</vt:lpstr>
      <vt:lpstr>westland_2013_Total_Cost_Imp_9</vt:lpstr>
      <vt:lpstr>westland_2014_Total_Cost_Imp_1</vt:lpstr>
      <vt:lpstr>westland_2014_Total_Cost_Imp_10</vt:lpstr>
      <vt:lpstr>westland_2014_Total_Cost_Imp_11</vt:lpstr>
      <vt:lpstr>westland_2014_Total_Cost_Imp_12</vt:lpstr>
      <vt:lpstr>westland_2014_Total_Cost_Imp_13</vt:lpstr>
      <vt:lpstr>westland_2014_Total_Cost_Imp_14</vt:lpstr>
      <vt:lpstr>westland_2014_Total_Cost_Imp_15</vt:lpstr>
      <vt:lpstr>westland_2014_Total_Cost_Imp_16</vt:lpstr>
      <vt:lpstr>westland_2014_Total_Cost_Imp_2</vt:lpstr>
      <vt:lpstr>westland_2014_Total_Cost_Imp_3</vt:lpstr>
      <vt:lpstr>westland_2014_Total_Cost_Imp_4</vt:lpstr>
      <vt:lpstr>westland_2014_Total_Cost_Imp_5</vt:lpstr>
      <vt:lpstr>westland_2014_Total_Cost_Imp_6</vt:lpstr>
      <vt:lpstr>westland_2014_Total_Cost_Imp_7</vt:lpstr>
      <vt:lpstr>westland_2014_Total_Cost_Imp_8</vt:lpstr>
      <vt:lpstr>westland_2014_Total_Cost_Imp_9</vt:lpstr>
      <vt:lpstr>westland_2015_Total_Cost_Imp_1</vt:lpstr>
      <vt:lpstr>westland_2015_Total_Cost_Imp_10</vt:lpstr>
      <vt:lpstr>westland_2015_Total_Cost_Imp_11</vt:lpstr>
      <vt:lpstr>westland_2015_Total_Cost_Imp_12</vt:lpstr>
      <vt:lpstr>westland_2015_Total_Cost_Imp_13</vt:lpstr>
      <vt:lpstr>westland_2015_Total_Cost_Imp_14</vt:lpstr>
      <vt:lpstr>westland_2015_Total_Cost_Imp_15</vt:lpstr>
      <vt:lpstr>westland_2015_Total_Cost_Imp_2</vt:lpstr>
      <vt:lpstr>westland_2015_Total_Cost_Imp_3</vt:lpstr>
      <vt:lpstr>westland_2015_Total_Cost_Imp_4</vt:lpstr>
      <vt:lpstr>westland_2015_Total_Cost_Imp_5</vt:lpstr>
      <vt:lpstr>westland_2015_Total_Cost_Imp_6</vt:lpstr>
      <vt:lpstr>westland_2015_Total_Cost_Imp_7</vt:lpstr>
      <vt:lpstr>westland_2015_Total_Cost_Imp_8</vt:lpstr>
      <vt:lpstr>westland_2015_Total_Cost_Imp_9</vt:lpstr>
      <vt:lpstr>westland_BI_AD_2016_SO_Imp</vt:lpstr>
      <vt:lpstr>westland_BI_TD_2016_SO_Imp</vt:lpstr>
      <vt:lpstr>westland_OUT_AD_2016_SO_Imp</vt:lpstr>
      <vt:lpstr>westland_OUT_TD_2016_SO_Imp</vt:lpstr>
      <vt:lpstr>westland_TOT_EAV_2013_SO_Imp</vt:lpstr>
      <vt:lpstr>westland_TOT_EAV_2014_SO_Imp</vt:lpstr>
      <vt:lpstr>westland_TOT_EAV_2015_SO_Imp</vt:lpstr>
      <vt:lpstr>zebra_2012_Total_Cost_Imp_1</vt:lpstr>
      <vt:lpstr>zebra_2012_Total_Cost_Imp_2</vt:lpstr>
      <vt:lpstr>zebra_2013_Total_Cost_Imp_1</vt:lpstr>
      <vt:lpstr>zebra_2013_Total_Cost_Imp_10</vt:lpstr>
      <vt:lpstr>zebra_2013_Total_Cost_Imp_11</vt:lpstr>
      <vt:lpstr>zebra_2013_Total_Cost_Imp_12</vt:lpstr>
      <vt:lpstr>zebra_2013_Total_Cost_Imp_13</vt:lpstr>
      <vt:lpstr>zebra_2013_Total_Cost_Imp_14</vt:lpstr>
      <vt:lpstr>zebra_2013_Total_Cost_Imp_15</vt:lpstr>
      <vt:lpstr>zebra_2013_Total_Cost_Imp_16</vt:lpstr>
      <vt:lpstr>zebra_2013_Total_Cost_Imp_2</vt:lpstr>
      <vt:lpstr>zebra_2013_Total_Cost_Imp_3</vt:lpstr>
      <vt:lpstr>zebra_2013_Total_Cost_Imp_4</vt:lpstr>
      <vt:lpstr>zebra_2013_Total_Cost_Imp_5</vt:lpstr>
      <vt:lpstr>zebra_2013_Total_Cost_Imp_6</vt:lpstr>
      <vt:lpstr>zebra_2013_Total_Cost_Imp_7</vt:lpstr>
      <vt:lpstr>zebra_2013_Total_Cost_Imp_8</vt:lpstr>
      <vt:lpstr>zebra_2013_Total_Cost_Imp_9</vt:lpstr>
      <vt:lpstr>zebra_2014_Total_Cost_Imp_1</vt:lpstr>
      <vt:lpstr>zebra_2014_Total_Cost_Imp_10</vt:lpstr>
      <vt:lpstr>zebra_2014_Total_Cost_Imp_11</vt:lpstr>
      <vt:lpstr>zebra_2014_Total_Cost_Imp_12</vt:lpstr>
      <vt:lpstr>zebra_2014_Total_Cost_Imp_13</vt:lpstr>
      <vt:lpstr>zebra_2014_Total_Cost_Imp_14</vt:lpstr>
      <vt:lpstr>zebra_2014_Total_Cost_Imp_15</vt:lpstr>
      <vt:lpstr>zebra_2014_Total_Cost_Imp_16</vt:lpstr>
      <vt:lpstr>zebra_2014_Total_Cost_Imp_2</vt:lpstr>
      <vt:lpstr>zebra_2014_Total_Cost_Imp_3</vt:lpstr>
      <vt:lpstr>zebra_2014_Total_Cost_Imp_4</vt:lpstr>
      <vt:lpstr>zebra_2014_Total_Cost_Imp_5</vt:lpstr>
      <vt:lpstr>zebra_2014_Total_Cost_Imp_6</vt:lpstr>
      <vt:lpstr>zebra_2014_Total_Cost_Imp_7</vt:lpstr>
      <vt:lpstr>zebra_2014_Total_Cost_Imp_8</vt:lpstr>
      <vt:lpstr>zebra_2014_Total_Cost_Imp_9</vt:lpstr>
      <vt:lpstr>zebra_2015_Total_Cost_Imp_1</vt:lpstr>
      <vt:lpstr>zebra_2015_Total_Cost_Imp_10</vt:lpstr>
      <vt:lpstr>zebra_2015_Total_Cost_Imp_11</vt:lpstr>
      <vt:lpstr>zebra_2015_Total_Cost_Imp_12</vt:lpstr>
      <vt:lpstr>zebra_2015_Total_Cost_Imp_13</vt:lpstr>
      <vt:lpstr>zebra_2015_Total_Cost_Imp_14</vt:lpstr>
      <vt:lpstr>zebra_2015_Total_Cost_Imp_15</vt:lpstr>
      <vt:lpstr>zebra_2015_Total_Cost_Imp_2</vt:lpstr>
      <vt:lpstr>zebra_2015_Total_Cost_Imp_3</vt:lpstr>
      <vt:lpstr>zebra_2015_Total_Cost_Imp_4</vt:lpstr>
      <vt:lpstr>zebra_2015_Total_Cost_Imp_5</vt:lpstr>
      <vt:lpstr>zebra_2015_Total_Cost_Imp_6</vt:lpstr>
      <vt:lpstr>zebra_2015_Total_Cost_Imp_7</vt:lpstr>
      <vt:lpstr>zebra_2015_Total_Cost_Imp_8</vt:lpstr>
      <vt:lpstr>zebra_2015_Total_Cost_Imp_9</vt:lpstr>
      <vt:lpstr>zebra_EHD_BI_SO_Imp</vt:lpstr>
      <vt:lpstr>zebra_EHD_Out_SO_Imp</vt:lpstr>
      <vt:lpstr>zebra_TOT_EAV_2013_SO_Imp</vt:lpstr>
      <vt:lpstr>zebra_TOT_EAV_2014_SO_Imp</vt:lpstr>
      <vt:lpstr>zebra_TOT_EAV_2015_SO_Imp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Langen, Vincent van</dc:creator>
  <cp:lastModifiedBy>Thomeer, Gijs</cp:lastModifiedBy>
  <cp:lastPrinted>2016-09-07T14:42:44Z</cp:lastPrinted>
  <dcterms:created xsi:type="dcterms:W3CDTF">2015-11-25T09:31:40Z</dcterms:created>
  <dcterms:modified xsi:type="dcterms:W3CDTF">2019-06-20T07:41:43Z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0x010100AA8A14CAD9EF79488FBAC36D414928E5</vt:lpwstr>
  </property>
</Properties>
</file>