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bookViews>
  <sheets>
    <sheet name="Title page" sheetId="9" r:id="rId1"/>
    <sheet name="Explanation" sheetId="10" r:id="rId2"/>
    <sheet name="Sources and applications" sheetId="11" r:id="rId3"/>
    <sheet name="Tariff as of July 1, 2019" sheetId="21" r:id="rId4"/>
    <sheet name="Input --&gt;" sheetId="13" r:id="rId5"/>
    <sheet name="Input production data" sheetId="18" r:id="rId6"/>
    <sheet name="Input fuel invoice data" sheetId="24" r:id="rId7"/>
    <sheet name="Calculations --&gt;" sheetId="15" r:id="rId8"/>
    <sheet name="Monthly fuel price" sheetId="22" r:id="rId9"/>
    <sheet name="Fuel price correction" sheetId="26" r:id="rId10"/>
    <sheet name="New estimated production price" sheetId="25" r:id="rId11"/>
  </sheets>
  <calcPr calcId="145621"/>
</workbook>
</file>

<file path=xl/calcChain.xml><?xml version="1.0" encoding="utf-8"?>
<calcChain xmlns="http://schemas.openxmlformats.org/spreadsheetml/2006/main">
  <c r="H18" i="21" l="1"/>
  <c r="H17" i="21"/>
  <c r="H18" i="25"/>
  <c r="H20" i="26"/>
  <c r="H28" i="26"/>
  <c r="H19" i="21" l="1"/>
  <c r="H26" i="21"/>
  <c r="N39" i="26"/>
  <c r="M39" i="26"/>
  <c r="L39" i="26"/>
  <c r="K39" i="26"/>
  <c r="J39" i="26"/>
  <c r="H36" i="26"/>
  <c r="M55" i="26" s="1"/>
  <c r="H35" i="26"/>
  <c r="K55" i="26" s="1"/>
  <c r="H32" i="26"/>
  <c r="O44" i="26" s="1"/>
  <c r="H31" i="26"/>
  <c r="O43" i="26" s="1"/>
  <c r="H27" i="26"/>
  <c r="H29" i="26" s="1"/>
  <c r="H24" i="26"/>
  <c r="K44" i="26" s="1"/>
  <c r="H23" i="26"/>
  <c r="K43" i="26" s="1"/>
  <c r="H19" i="26"/>
  <c r="H21" i="26" s="1"/>
  <c r="H16" i="26"/>
  <c r="O39" i="26"/>
  <c r="H25" i="25"/>
  <c r="H22" i="25"/>
  <c r="H21" i="25"/>
  <c r="H17" i="25"/>
  <c r="H19" i="25" s="1"/>
  <c r="J17" i="22"/>
  <c r="J18" i="22"/>
  <c r="J19" i="22"/>
  <c r="J20" i="22"/>
  <c r="J21" i="22"/>
  <c r="J22" i="22"/>
  <c r="J23" i="22"/>
  <c r="J24" i="22"/>
  <c r="J25" i="22"/>
  <c r="J26" i="22"/>
  <c r="J27" i="22"/>
  <c r="J28" i="22"/>
  <c r="J29" i="22"/>
  <c r="J30" i="22"/>
  <c r="J31" i="22"/>
  <c r="J32" i="22"/>
  <c r="J16" i="22"/>
  <c r="I17" i="22"/>
  <c r="I18" i="22"/>
  <c r="I19" i="22"/>
  <c r="I20" i="22"/>
  <c r="I21" i="22"/>
  <c r="I22" i="22"/>
  <c r="I23" i="22"/>
  <c r="I24" i="22"/>
  <c r="I25" i="22"/>
  <c r="I26" i="22"/>
  <c r="I27" i="22"/>
  <c r="I28" i="22"/>
  <c r="I29" i="22"/>
  <c r="I30" i="22"/>
  <c r="I31" i="22"/>
  <c r="I32" i="22"/>
  <c r="I16" i="22"/>
  <c r="L16" i="22" s="1"/>
  <c r="J47" i="26" s="1"/>
  <c r="B30" i="22"/>
  <c r="B31" i="22"/>
  <c r="B32" i="22"/>
  <c r="B17" i="22"/>
  <c r="B18" i="22"/>
  <c r="B19" i="22"/>
  <c r="B20" i="22"/>
  <c r="B21" i="22"/>
  <c r="B22" i="22"/>
  <c r="B23" i="22"/>
  <c r="B24" i="22"/>
  <c r="B25" i="22"/>
  <c r="B26" i="22"/>
  <c r="B27" i="22"/>
  <c r="B28" i="22"/>
  <c r="B29" i="22"/>
  <c r="B16" i="22"/>
  <c r="L28" i="22" l="1"/>
  <c r="N47" i="26" s="1"/>
  <c r="L32" i="22"/>
  <c r="O47" i="26" s="1"/>
  <c r="L19" i="22"/>
  <c r="K47" i="26" s="1"/>
  <c r="L27" i="22"/>
  <c r="M47" i="26" s="1"/>
  <c r="L23" i="22"/>
  <c r="L47" i="26" s="1"/>
  <c r="L44" i="26"/>
  <c r="L43" i="26"/>
  <c r="J43" i="26"/>
  <c r="J55" i="26"/>
  <c r="N55" i="26"/>
  <c r="M44" i="26"/>
  <c r="M43" i="26"/>
  <c r="O55" i="26"/>
  <c r="J44" i="26"/>
  <c r="N44" i="26"/>
  <c r="N43" i="26"/>
  <c r="L55" i="26"/>
  <c r="H21" i="21" l="1"/>
  <c r="H30" i="25"/>
  <c r="B32" i="10"/>
  <c r="H31" i="25" l="1"/>
  <c r="K45" i="26"/>
  <c r="K49" i="26" s="1"/>
  <c r="K50" i="26" s="1"/>
  <c r="K54" i="26" s="1"/>
  <c r="K56" i="26" s="1"/>
  <c r="K58" i="26" s="1"/>
  <c r="J45" i="26"/>
  <c r="N45" i="26"/>
  <c r="N49" i="26" s="1"/>
  <c r="N50" i="26" s="1"/>
  <c r="N54" i="26" s="1"/>
  <c r="N56" i="26" s="1"/>
  <c r="N58" i="26" s="1"/>
  <c r="M45" i="26"/>
  <c r="M49" i="26" s="1"/>
  <c r="M50" i="26" s="1"/>
  <c r="M54" i="26" s="1"/>
  <c r="M56" i="26" s="1"/>
  <c r="M58" i="26" s="1"/>
  <c r="O45" i="26"/>
  <c r="O49" i="26" s="1"/>
  <c r="O50" i="26" s="1"/>
  <c r="O54" i="26" s="1"/>
  <c r="O56" i="26" s="1"/>
  <c r="O58" i="26" s="1"/>
  <c r="L45" i="26"/>
  <c r="L49" i="26" s="1"/>
  <c r="L50" i="26" s="1"/>
  <c r="L54" i="26" s="1"/>
  <c r="L56" i="26" s="1"/>
  <c r="L58" i="26" s="1"/>
  <c r="B20" i="10"/>
  <c r="B27" i="10" s="1"/>
  <c r="H13" i="21" l="1"/>
  <c r="J49" i="26"/>
  <c r="J50" i="26" s="1"/>
  <c r="J54" i="26" s="1"/>
  <c r="H60" i="26"/>
  <c r="B21" i="10"/>
  <c r="J56" i="26" l="1"/>
  <c r="J58" i="26" s="1"/>
  <c r="H59" i="26" s="1"/>
  <c r="B22" i="10"/>
  <c r="B26" i="10" s="1"/>
  <c r="H62" i="26" l="1"/>
  <c r="H16" i="21" l="1"/>
  <c r="H22" i="21" s="1"/>
  <c r="H25" i="21" l="1"/>
  <c r="H27" i="21" l="1"/>
</calcChain>
</file>

<file path=xl/comments1.xml><?xml version="1.0" encoding="utf-8"?>
<comments xmlns="http://schemas.openxmlformats.org/spreadsheetml/2006/main">
  <authors>
    <author>Auteur</author>
  </authors>
  <commentList>
    <comment ref="B26" authorId="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sharedStrings.xml><?xml version="1.0" encoding="utf-8"?>
<sst xmlns="http://schemas.openxmlformats.org/spreadsheetml/2006/main" count="438" uniqueCount="218">
  <si>
    <t>Data</t>
  </si>
  <si>
    <t>Input --&gt;</t>
  </si>
  <si>
    <t>Input data on production</t>
  </si>
  <si>
    <t xml:space="preserve">Description data </t>
  </si>
  <si>
    <t>Description</t>
  </si>
  <si>
    <t>Unit</t>
  </si>
  <si>
    <t>Constant</t>
  </si>
  <si>
    <t>Source</t>
  </si>
  <si>
    <t>Remark</t>
  </si>
  <si>
    <t>Parameters on production and distribution SEC (based on tariff decision 2018 and 2019)</t>
  </si>
  <si>
    <t>Data on production of electricity in 2018 (based on full year)</t>
  </si>
  <si>
    <t>kWh</t>
  </si>
  <si>
    <t>USD/kWh</t>
  </si>
  <si>
    <t>liters/kWh</t>
  </si>
  <si>
    <t>USD/liter</t>
  </si>
  <si>
    <t>Production price electriciy - fuel part</t>
  </si>
  <si>
    <t>%</t>
  </si>
  <si>
    <t>Total expected production volume 2018</t>
  </si>
  <si>
    <t>Production price electricity excl fuel</t>
  </si>
  <si>
    <t>Total expected production volume 2019</t>
  </si>
  <si>
    <t>Production price electricity 2019</t>
  </si>
  <si>
    <t>Realized production by SEC</t>
  </si>
  <si>
    <t>[1]</t>
  </si>
  <si>
    <t>[2]</t>
  </si>
  <si>
    <t>[3]</t>
  </si>
  <si>
    <t>Expected production volume by fuel 2018</t>
  </si>
  <si>
    <t>Expected production volume by solar 2018</t>
  </si>
  <si>
    <t>Expected production volume by fuel 2019</t>
  </si>
  <si>
    <t>Expected production volume by solar 2019</t>
  </si>
  <si>
    <t>Production price electricity - excl fuel</t>
  </si>
  <si>
    <t>Data on production of electricity in 2019 (based on full year)</t>
  </si>
  <si>
    <t>Rekenmodel SEC 2019</t>
  </si>
  <si>
    <t>Source overview and specifications</t>
  </si>
  <si>
    <t>List of sources</t>
  </si>
  <si>
    <t>On this sheet, an overview can be found in which the ACM describes the sources used for data and calculations in this file.</t>
  </si>
  <si>
    <t>Each input sheet contains a column 'Source', in which the sources are referred to by their shortened name. These sources are further explained in the table below.</t>
  </si>
  <si>
    <t>No</t>
  </si>
  <si>
    <t>Shortened name</t>
  </si>
  <si>
    <t>External file name</t>
  </si>
  <si>
    <t>Additional information on this source</t>
  </si>
  <si>
    <t>Case and/or document number ACM</t>
  </si>
  <si>
    <t>If applicable</t>
  </si>
  <si>
    <t>As referred to in Source column</t>
  </si>
  <si>
    <t>Exact file name</t>
  </si>
  <si>
    <t>Date received, email, file location</t>
  </si>
  <si>
    <t>Data on production price 2019</t>
  </si>
  <si>
    <t>In this sheet ACM imports the data from the tariff decisions for 2018 and 2019 and the realized production of Saba Electric for the period November 2018 to April 2019</t>
  </si>
  <si>
    <t>[4]</t>
  </si>
  <si>
    <t>new production 2016 - 2017-2018-2019</t>
  </si>
  <si>
    <t>Total production November</t>
  </si>
  <si>
    <t>Total production December</t>
  </si>
  <si>
    <t>Total production January</t>
  </si>
  <si>
    <t>Total production February</t>
  </si>
  <si>
    <t>Total production March</t>
  </si>
  <si>
    <t>Total production April</t>
  </si>
  <si>
    <t>Explanatory notes</t>
  </si>
  <si>
    <t>September_1 (14/09/2018)</t>
  </si>
  <si>
    <t>October_1 (02/10/2018)</t>
  </si>
  <si>
    <t>liter</t>
  </si>
  <si>
    <t>Period with uniform price level (invoice date)</t>
  </si>
  <si>
    <t>November_1 (14/11/2018)</t>
  </si>
  <si>
    <t>October_2 (02/10/2018)</t>
  </si>
  <si>
    <t>October_3 (12/10/2018)</t>
  </si>
  <si>
    <t>November_2 (14/11/2018)</t>
  </si>
  <si>
    <t>November_3 (15/11/2018)</t>
  </si>
  <si>
    <t>November_4 (26/11/2018)</t>
  </si>
  <si>
    <t>December_1 (10/12/2018)</t>
  </si>
  <si>
    <t>December_2 (10/12/2018)</t>
  </si>
  <si>
    <t>December_3 (11/12/2018)</t>
  </si>
  <si>
    <t>December_4 (28/12/2018)</t>
  </si>
  <si>
    <t>January_1 (08/01/2019)</t>
  </si>
  <si>
    <t>February_1 (01/02/2019)</t>
  </si>
  <si>
    <t>February_2 (01/02/2019)</t>
  </si>
  <si>
    <t>February_3 (26/02/2019)</t>
  </si>
  <si>
    <t>February_4 (27/02/2019)</t>
  </si>
  <si>
    <t>Fuel invoices - price</t>
  </si>
  <si>
    <t>Fuel invoices - volumes bought</t>
  </si>
  <si>
    <t>Fuel price for the period of September 1st 2018 to February 28th 2019_20190402_12145550</t>
  </si>
  <si>
    <t>[5]</t>
  </si>
  <si>
    <t>https://statline.cbs.nl/Statweb/publication/?DM=SLNL&amp;PA=84046NED&amp;D1=0%2D2&amp;D2=0&amp;D3=a&amp;D4=a&amp;VW=T</t>
  </si>
  <si>
    <t>Caribisch Nederland; consumentenprijsindex (CPI)</t>
  </si>
  <si>
    <t>Estimated inflation 2019</t>
  </si>
  <si>
    <t>The development of the CPI between Q3 2017 and Q3 2018 is used as the estimated inflation for 2019.</t>
  </si>
  <si>
    <t>CPI development Saba</t>
  </si>
  <si>
    <t>Calculation</t>
  </si>
  <si>
    <t>Description calculation</t>
  </si>
  <si>
    <t>Data on fuel invoices</t>
  </si>
  <si>
    <t>Fuel price 
(in USD/liter)</t>
  </si>
  <si>
    <t>Volume
(in liters)</t>
  </si>
  <si>
    <t>Weighted average fuel price
(in USD/liter)</t>
  </si>
  <si>
    <t>Calculation of monthly fuel price</t>
  </si>
  <si>
    <t>Input fuel prices and volumes</t>
  </si>
  <si>
    <t>Relevant data for calculation</t>
  </si>
  <si>
    <t>Estimated production price as of July 1, 2019</t>
  </si>
  <si>
    <t>Most recent fuel price</t>
  </si>
  <si>
    <t>USD</t>
  </si>
  <si>
    <t>Production price electricity 2019 (as of July 1)</t>
  </si>
  <si>
    <t>New estimation production price</t>
  </si>
  <si>
    <t>Total monthly production</t>
  </si>
  <si>
    <t>Nov 2018</t>
  </si>
  <si>
    <t>Dec 2018</t>
  </si>
  <si>
    <t>Jan 2019</t>
  </si>
  <si>
    <t>Feb 2019</t>
  </si>
  <si>
    <t>Mar 2019</t>
  </si>
  <si>
    <t>Apr 2019</t>
  </si>
  <si>
    <t>Calculation monthly production price</t>
  </si>
  <si>
    <t>Production price excluding fuel</t>
  </si>
  <si>
    <t>USD/liters</t>
  </si>
  <si>
    <t>Monthly fuel component</t>
  </si>
  <si>
    <t>Monthly production price</t>
  </si>
  <si>
    <t>Calculation monthly correction for fuel price difference</t>
  </si>
  <si>
    <t>Expected share of production by fuel</t>
  </si>
  <si>
    <t>Difference in production price</t>
  </si>
  <si>
    <t>Monthly correction for fuel price differences</t>
  </si>
  <si>
    <t>Correction for fuel price difference Nov - Dec 2018</t>
  </si>
  <si>
    <t>Correction for fuel price difference Jan - Apr 2019</t>
  </si>
  <si>
    <t>USD, pl 2018</t>
  </si>
  <si>
    <t>USD, pl 2019</t>
  </si>
  <si>
    <t>Total correction for fuel price differences</t>
  </si>
  <si>
    <t>Description result</t>
  </si>
  <si>
    <t>Calculation correction for fuel price differences</t>
  </si>
  <si>
    <t>Estimated production volume 2019</t>
  </si>
  <si>
    <t>Estimated production volume July to December 2019</t>
  </si>
  <si>
    <t>Add-on per kWh for fuel price correction</t>
  </si>
  <si>
    <t>Total fuel price correction</t>
  </si>
  <si>
    <t>The ACM assumes an even distribution of production between the first and second half of the year.</t>
  </si>
  <si>
    <t>Network loss</t>
  </si>
  <si>
    <t>Calculation fuel price correction</t>
  </si>
  <si>
    <t>The ACM calculates the fuel price correction by taking the difference between the estimated production price (based on an estimated fuel component) and the production price including the monthly adjusted fuel component.</t>
  </si>
  <si>
    <t>On this sheet, the ACM calculates the new production price of electricity for SEC, based on the most recent fuel invoice.</t>
  </si>
  <si>
    <t>Explanation to this file</t>
  </si>
  <si>
    <t>Legend for cell and tab colors</t>
  </si>
  <si>
    <t>Cell color numbers</t>
  </si>
  <si>
    <t>Exceptional cells</t>
  </si>
  <si>
    <t>Sheet colors</t>
  </si>
  <si>
    <t>Model sheets</t>
  </si>
  <si>
    <t>Explanatory sheets</t>
  </si>
  <si>
    <t>Explanation</t>
  </si>
  <si>
    <t>Optionally usage</t>
  </si>
  <si>
    <t>Result</t>
  </si>
  <si>
    <t>Sheet with result/output</t>
  </si>
  <si>
    <t>Sheet with input</t>
  </si>
  <si>
    <t>Sheet with calculations</t>
  </si>
  <si>
    <t>Sheet that is not yet up to date/work in progress</t>
  </si>
  <si>
    <t>Empty sheet used for indexing</t>
  </si>
  <si>
    <t>Standardized sheets with information on the file</t>
  </si>
  <si>
    <t>Data and input (source required)</t>
  </si>
  <si>
    <t>Value that is drawn from another sheet or cell without calculation</t>
  </si>
  <si>
    <t>Calculated value</t>
  </si>
  <si>
    <t>Result/calculated value that is referred to on another sheet</t>
  </si>
  <si>
    <t>Empty cell (not zero) used in a formula range</t>
  </si>
  <si>
    <t>Value or calculation that needs special attention or explanation</t>
  </si>
  <si>
    <t>Input or calculation that is not yet up to date, pro memori or work in progress</t>
  </si>
  <si>
    <t>Contains the outcome of a check calculation; result will not be used for further calculations</t>
  </si>
  <si>
    <t>A frame can be used to indicate that a certain field contains input, but this input is automatically loaded, for example by means of a macro (i.e. not to be entered manually)</t>
  </si>
  <si>
    <t>This color is only used for an information request: cells that must be entered by the recipient of the data request</t>
  </si>
  <si>
    <t>Title page</t>
  </si>
  <si>
    <t>About this file</t>
  </si>
  <si>
    <t>Case number</t>
  </si>
  <si>
    <t>Title</t>
  </si>
  <si>
    <t>Decision title</t>
  </si>
  <si>
    <t>Decision reference(s)</t>
  </si>
  <si>
    <t>Other remarks</t>
  </si>
  <si>
    <t>Status of this file</t>
  </si>
  <si>
    <t>Final version?</t>
  </si>
  <si>
    <t>Published?</t>
  </si>
  <si>
    <t>Is this file legally part of the decision(s) listed above?</t>
  </si>
  <si>
    <t>Contains business confidential information?</t>
  </si>
  <si>
    <t>Possibilities of objection and appeal are open against the decision which this file is a part of.</t>
  </si>
  <si>
    <t>For the calculation models, the ACM aims to make as simple, traceable calculations as possible and not use complicated functions or applications.</t>
  </si>
  <si>
    <t>Whenever made use of cell and rank names, macros or other special functions in Excel, their operation will be explained here.</t>
  </si>
  <si>
    <t>Explanation of specific Excel applications and other specific</t>
  </si>
  <si>
    <t>Distribution electricity production first/second half of the year</t>
  </si>
  <si>
    <t>Email SEC 02/04/2019</t>
  </si>
  <si>
    <t>Estimated production yield fuel</t>
  </si>
  <si>
    <t>Estimated production price electricity</t>
  </si>
  <si>
    <t>Realized production of electricity</t>
  </si>
  <si>
    <t>Estimated production of electricity in 2019</t>
  </si>
  <si>
    <t>Estimated production of electricity in 2018</t>
  </si>
  <si>
    <t>Network loss 2019</t>
  </si>
  <si>
    <t>Rekenmodel SEC variabel gebruikstarief juli dec 2018</t>
  </si>
  <si>
    <t>ACM/18/033308</t>
  </si>
  <si>
    <t>Data on production price Jul-Dec 2018</t>
  </si>
  <si>
    <t>The tariff decisions for July 2018 and January 2019 are used as the basis for the correction for the period November 2018 to April 2019.</t>
  </si>
  <si>
    <t>Based on the fuel invoice data, the ACM calculates the monthly weighted average fuel prices. These are used to calculate the monthly fuel component of the production price.</t>
  </si>
  <si>
    <t>The fuel pricing in month t-2 will be used to calculate the fuel component in month t.</t>
  </si>
  <si>
    <t>Explanation of the calculation</t>
  </si>
  <si>
    <t>1. The fuel component is updated. This means that the production price as set in the tariff decision in 2019 is updated to match the actual fuel prices more closely.</t>
  </si>
  <si>
    <t>2. The difference between the realized fuel component paid by the distributor and the estimated fuel component for November 2018 to April 2019, will be corrected in the tariff for July-December 2019.</t>
  </si>
  <si>
    <t>For both above mentioned corrections, other values and parameters will remain as were determined in the tariff decision for 2019.</t>
  </si>
  <si>
    <t>ACM/18/033334</t>
  </si>
  <si>
    <t>The monthly fuel prices are the basis for the correction of the fuel component of the tariffs and for the correction of the fuel price differences.</t>
  </si>
  <si>
    <t>Unless stated otherwise, the most recent fuel price in month t is the weighted average fuel price of month t-2.</t>
  </si>
  <si>
    <t>Email SEC 16/05/2019</t>
  </si>
  <si>
    <t>Invoice (09/05/2019)</t>
  </si>
  <si>
    <t xml:space="preserve">Updated estimation production price + add-on for fuel price difference </t>
  </si>
  <si>
    <t>ACM/19/035491</t>
  </si>
  <si>
    <t>This document contains the model that the Authority for Consumers &amp; Markets uses to calculate the adjustment of the variable usage tariff for electricity per July 1, 2019.</t>
  </si>
  <si>
    <t xml:space="preserve">The variable usage tariff is adapted by making two corrections: </t>
  </si>
  <si>
    <t>Calculation new variable usage tariff</t>
  </si>
  <si>
    <t>Calculation variable usage tariff</t>
  </si>
  <si>
    <t>Variable usage tariff (including corrections)</t>
  </si>
  <si>
    <t>Updated variable usage tariff for electricity as of July 1, 2019</t>
  </si>
  <si>
    <t>On this sheet, two corrections are applied to calculate the new variable usage tariff of SEC for the period July to December 2019</t>
  </si>
  <si>
    <t>Positive amount indicates the distributor has not been able to cover its purchase costs through the tariffs. This will be added to the usage tariff as of July 1, 2019.</t>
  </si>
  <si>
    <t>The variable usage tariff will be adjusted as of July 1, 2019 according to the new estimation of the production price.</t>
  </si>
  <si>
    <t>Decision setting the maximum variable usage tariff for electricity with effect from July 1st, 2019 for SEC</t>
  </si>
  <si>
    <t>Calculation variable usage tariff electricity SEC as of July 1, 2019</t>
  </si>
  <si>
    <t>Estimated production price electricity, as used for variable usage tariif per July 1, 2018</t>
  </si>
  <si>
    <t>Based on calculation of weighted average fuel price over month t-2</t>
  </si>
  <si>
    <t>Based on parameters from production price decisions and weighted average fuel price of month t-2</t>
  </si>
  <si>
    <t>Production price as used in decision on variable usage tariff</t>
  </si>
  <si>
    <t>Estimated production price electricity, as used for variable usage tariff per July 1, 2018</t>
  </si>
  <si>
    <t>Yes</t>
  </si>
  <si>
    <t>[6]</t>
  </si>
  <si>
    <t>Invoice fuel 9 may 2019</t>
  </si>
  <si>
    <t>Email SEC 28/05/2019</t>
  </si>
  <si>
    <t>ACM/UIT/513526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</si>
</sst>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0_ ;_ * \-#,##0.0000_ ;_ * &quot;-&quot;??_ ;_ @_ "/>
    <numFmt numFmtId="166" formatCode="_(* #,##0_);_(* \(#,##0\);_(* &quot;-&quot;??_);_(@_)"/>
    <numFmt numFmtId="167" formatCode="_ * #,##0.000_ ;_ * \-#,##0.000_ ;_ * &quot;-&quot;??_ ;_ @_ "/>
    <numFmt numFmtId="168" formatCode="_(* #,##0.00_);_(* \(#,##0.00\);_(* &quot;-&quot;??_);_(@_)"/>
  </numFmts>
  <fonts count="32"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3" fontId="5" fillId="13" borderId="0">
      <alignment vertical="top"/>
    </xf>
    <xf numFmtId="43" fontId="5" fillId="12" borderId="0">
      <alignment vertical="top"/>
    </xf>
    <xf numFmtId="43" fontId="5" fillId="10" borderId="0">
      <alignment vertical="top"/>
    </xf>
    <xf numFmtId="43" fontId="5" fillId="47" borderId="0">
      <alignment vertical="top"/>
    </xf>
    <xf numFmtId="43" fontId="5" fillId="8" borderId="0">
      <alignment vertical="top"/>
    </xf>
    <xf numFmtId="43" fontId="5" fillId="14" borderId="0">
      <alignment vertical="top"/>
    </xf>
    <xf numFmtId="49" fontId="11" fillId="0" borderId="0">
      <alignment vertical="top"/>
    </xf>
    <xf numFmtId="49" fontId="10" fillId="0" borderId="0">
      <alignment vertical="top"/>
    </xf>
    <xf numFmtId="0" fontId="17" fillId="16" borderId="3" applyNumberFormat="0" applyAlignment="0" applyProtection="0"/>
    <xf numFmtId="0" fontId="18" fillId="17" borderId="4" applyNumberFormat="0" applyAlignment="0" applyProtection="0"/>
    <xf numFmtId="0" fontId="19" fillId="17" borderId="3" applyNumberFormat="0" applyAlignment="0" applyProtection="0"/>
    <xf numFmtId="0" fontId="20" fillId="0" borderId="5" applyNumberFormat="0" applyFill="0" applyAlignment="0" applyProtection="0"/>
    <xf numFmtId="0" fontId="14" fillId="18" borderId="6" applyNumberFormat="0" applyAlignment="0" applyProtection="0"/>
    <xf numFmtId="0" fontId="16" fillId="19"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3" fontId="5" fillId="46" borderId="0">
      <alignment vertical="top"/>
    </xf>
    <xf numFmtId="0" fontId="31" fillId="0" borderId="0"/>
    <xf numFmtId="168" fontId="31" fillId="0" borderId="0" applyFont="0" applyFill="0" applyBorder="0" applyAlignment="0" applyProtection="0"/>
  </cellStyleXfs>
  <cellXfs count="71">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5" fillId="15" borderId="0" xfId="4" applyFill="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3" fontId="5" fillId="13" borderId="0" xfId="8">
      <alignment vertical="top"/>
    </xf>
    <xf numFmtId="9" fontId="5" fillId="0" borderId="0" xfId="4" applyNumberFormat="1">
      <alignment vertical="top"/>
    </xf>
    <xf numFmtId="43" fontId="5" fillId="12" borderId="0" xfId="63" applyFill="1">
      <alignment vertical="top"/>
    </xf>
    <xf numFmtId="43" fontId="5" fillId="14" borderId="0" xfId="63" applyFill="1">
      <alignment vertical="top"/>
    </xf>
    <xf numFmtId="43" fontId="5" fillId="10" borderId="0" xfId="10">
      <alignment vertical="top"/>
    </xf>
    <xf numFmtId="43" fontId="5" fillId="8" borderId="0" xfId="12">
      <alignment vertical="top"/>
    </xf>
    <xf numFmtId="43" fontId="5" fillId="47" borderId="0" xfId="11">
      <alignment vertical="top"/>
    </xf>
    <xf numFmtId="43"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3" fontId="5" fillId="46" borderId="0" xfId="65">
      <alignment vertical="top"/>
    </xf>
    <xf numFmtId="10" fontId="5" fillId="47" borderId="0" xfId="64" applyFill="1">
      <alignment vertical="top"/>
    </xf>
    <xf numFmtId="0" fontId="6" fillId="0" borderId="0" xfId="4" applyFont="1" applyAlignment="1">
      <alignment horizontal="left" vertical="top"/>
    </xf>
    <xf numFmtId="164" fontId="5" fillId="47" borderId="0" xfId="11" applyNumberFormat="1">
      <alignment vertical="top"/>
    </xf>
    <xf numFmtId="164" fontId="5" fillId="12" borderId="0" xfId="9" applyNumberFormat="1">
      <alignment vertical="top"/>
    </xf>
    <xf numFmtId="165" fontId="5" fillId="47" borderId="0" xfId="11" applyNumberFormat="1">
      <alignment vertical="top"/>
    </xf>
    <xf numFmtId="165" fontId="5" fillId="12" borderId="0" xfId="9" applyNumberFormat="1">
      <alignment vertical="top"/>
    </xf>
    <xf numFmtId="0" fontId="5" fillId="0" borderId="2" xfId="4" applyFont="1" applyBorder="1" applyAlignment="1">
      <alignment horizontal="left" vertical="top" wrapText="1"/>
    </xf>
    <xf numFmtId="166" fontId="5" fillId="47" borderId="0" xfId="11" applyNumberFormat="1">
      <alignment vertical="top"/>
    </xf>
    <xf numFmtId="43" fontId="5" fillId="14" borderId="0" xfId="13">
      <alignment vertical="top"/>
    </xf>
    <xf numFmtId="49" fontId="6" fillId="20" borderId="1" xfId="6" applyAlignment="1">
      <alignment vertical="top" wrapText="1"/>
    </xf>
    <xf numFmtId="167" fontId="5" fillId="14" borderId="0" xfId="13" applyNumberFormat="1">
      <alignment vertical="top"/>
    </xf>
    <xf numFmtId="165" fontId="5" fillId="14" borderId="0" xfId="13" applyNumberFormat="1">
      <alignment vertical="top"/>
    </xf>
    <xf numFmtId="164" fontId="5" fillId="14" borderId="0" xfId="13" applyNumberFormat="1">
      <alignment vertical="top"/>
    </xf>
    <xf numFmtId="165" fontId="5" fillId="13" borderId="0" xfId="8" applyNumberFormat="1">
      <alignment vertical="top"/>
    </xf>
    <xf numFmtId="49" fontId="5" fillId="0" borderId="0" xfId="7" applyFont="1">
      <alignment vertical="top"/>
    </xf>
    <xf numFmtId="10" fontId="5" fillId="14" borderId="0" xfId="64" applyFill="1">
      <alignment vertical="top"/>
    </xf>
    <xf numFmtId="9" fontId="5" fillId="12" borderId="0" xfId="64" applyNumberFormat="1" applyFill="1">
      <alignment vertical="top"/>
    </xf>
    <xf numFmtId="164" fontId="5" fillId="13" borderId="0" xfId="8" applyNumberFormat="1">
      <alignment vertical="top"/>
    </xf>
    <xf numFmtId="49" fontId="5" fillId="20" borderId="0" xfId="6" applyFont="1" applyBorder="1">
      <alignment vertical="top"/>
    </xf>
    <xf numFmtId="0" fontId="5" fillId="9" borderId="0" xfId="4" applyFont="1" applyFill="1">
      <alignment vertical="top"/>
    </xf>
    <xf numFmtId="0" fontId="5" fillId="12" borderId="0" xfId="4" applyFont="1" applyFill="1">
      <alignment vertical="top"/>
    </xf>
    <xf numFmtId="9" fontId="5" fillId="10" borderId="0" xfId="64" applyNumberFormat="1" applyFill="1">
      <alignment vertical="top"/>
    </xf>
    <xf numFmtId="167" fontId="5" fillId="47" borderId="0" xfId="11" applyNumberFormat="1">
      <alignment vertical="top"/>
    </xf>
    <xf numFmtId="0" fontId="5" fillId="0" borderId="0" xfId="4" applyBorder="1">
      <alignment vertical="top"/>
    </xf>
    <xf numFmtId="0" fontId="5" fillId="0" borderId="2" xfId="4" applyFont="1" applyBorder="1" applyAlignment="1">
      <alignment horizontal="left" vertical="top" wrapText="1"/>
    </xf>
    <xf numFmtId="0" fontId="5" fillId="0" borderId="2" xfId="4" applyFont="1" applyBorder="1" applyAlignment="1">
      <alignment horizontal="left" vertical="top" wrapText="1"/>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8">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65"/>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2" xfId="67"/>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Standaard" xfId="0" builtinId="0" customBuiltin="1"/>
    <cellStyle name="Standaard 2" xfId="66"/>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E1FFE1"/>
      <color rgb="FF99FF99"/>
      <color rgb="FFFFFFCC"/>
      <color rgb="FFCCC8D9"/>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D31"/>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156</v>
      </c>
    </row>
    <row r="6" spans="2:3" x14ac:dyDescent="0.2">
      <c r="B6" s="3"/>
    </row>
    <row r="13" spans="2:3" s="9" customFormat="1" x14ac:dyDescent="0.2">
      <c r="B13" s="9" t="s">
        <v>157</v>
      </c>
    </row>
    <row r="14" spans="2:3" s="10" customFormat="1" x14ac:dyDescent="0.2"/>
    <row r="15" spans="2:3" x14ac:dyDescent="0.2">
      <c r="B15" s="49" t="s">
        <v>158</v>
      </c>
      <c r="C15" s="67" t="s">
        <v>196</v>
      </c>
    </row>
    <row r="16" spans="2:3" x14ac:dyDescent="0.2">
      <c r="B16" s="49" t="s">
        <v>159</v>
      </c>
      <c r="C16" s="12" t="s">
        <v>207</v>
      </c>
    </row>
    <row r="17" spans="2:4" x14ac:dyDescent="0.2">
      <c r="B17" s="49" t="s">
        <v>160</v>
      </c>
      <c r="C17" s="68" t="s">
        <v>206</v>
      </c>
    </row>
    <row r="18" spans="2:4" x14ac:dyDescent="0.2">
      <c r="B18" s="49" t="s">
        <v>161</v>
      </c>
      <c r="C18" s="67" t="s">
        <v>217</v>
      </c>
    </row>
    <row r="19" spans="2:4" x14ac:dyDescent="0.2">
      <c r="B19" s="49" t="s">
        <v>162</v>
      </c>
      <c r="C19" s="12"/>
    </row>
    <row r="22" spans="2:4" s="9" customFormat="1" x14ac:dyDescent="0.2">
      <c r="B22" s="9" t="s">
        <v>163</v>
      </c>
    </row>
    <row r="24" spans="2:4" x14ac:dyDescent="0.2">
      <c r="B24" s="49" t="s">
        <v>164</v>
      </c>
      <c r="C24" s="12" t="s">
        <v>213</v>
      </c>
    </row>
    <row r="25" spans="2:4" x14ac:dyDescent="0.2">
      <c r="B25" s="41" t="s">
        <v>165</v>
      </c>
      <c r="C25" s="12" t="s">
        <v>213</v>
      </c>
    </row>
    <row r="26" spans="2:4" ht="25.5" x14ac:dyDescent="0.2">
      <c r="B26" s="11" t="s">
        <v>166</v>
      </c>
      <c r="C26" s="12" t="s">
        <v>213</v>
      </c>
    </row>
    <row r="27" spans="2:4" x14ac:dyDescent="0.2">
      <c r="B27" s="31" t="s">
        <v>167</v>
      </c>
      <c r="C27" s="12" t="s">
        <v>36</v>
      </c>
    </row>
    <row r="28" spans="2:4" x14ac:dyDescent="0.2">
      <c r="B28" s="49" t="s">
        <v>162</v>
      </c>
      <c r="C28" s="12"/>
    </row>
    <row r="30" spans="2:4" x14ac:dyDescent="0.2">
      <c r="B30" s="69" t="s">
        <v>168</v>
      </c>
      <c r="C30" s="70"/>
      <c r="D30" s="6"/>
    </row>
    <row r="31" spans="2:4" x14ac:dyDescent="0.2">
      <c r="B31" s="28"/>
      <c r="C31" s="28"/>
      <c r="D31" s="6"/>
    </row>
  </sheetData>
  <mergeCells count="1">
    <mergeCell ref="B30:C30"/>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Q62"/>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62.5703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5" width="13.7109375" style="2" customWidth="1"/>
    <col min="16" max="16" width="2.7109375" style="2" customWidth="1"/>
    <col min="17" max="25" width="12.5703125" style="2" customWidth="1"/>
    <col min="26" max="28" width="2.7109375" style="2" customWidth="1"/>
    <col min="29" max="43" width="13.7109375" style="2" customWidth="1"/>
    <col min="44" max="16384" width="9.140625" style="2"/>
  </cols>
  <sheetData>
    <row r="2" spans="2:17" s="22" customFormat="1" ht="18" x14ac:dyDescent="0.2">
      <c r="B2" s="22" t="s">
        <v>127</v>
      </c>
    </row>
    <row r="4" spans="2:17" x14ac:dyDescent="0.2">
      <c r="B4" s="29" t="s">
        <v>85</v>
      </c>
      <c r="C4" s="1"/>
      <c r="D4" s="1"/>
    </row>
    <row r="5" spans="2:17" x14ac:dyDescent="0.2">
      <c r="B5" s="25" t="s">
        <v>128</v>
      </c>
      <c r="C5" s="3"/>
      <c r="D5" s="3"/>
      <c r="H5" s="23"/>
    </row>
    <row r="6" spans="2:17" x14ac:dyDescent="0.2">
      <c r="B6" s="25"/>
      <c r="C6" s="3"/>
      <c r="D6" s="3"/>
      <c r="H6" s="23"/>
    </row>
    <row r="7" spans="2:17" x14ac:dyDescent="0.2">
      <c r="B7" s="30" t="s">
        <v>55</v>
      </c>
      <c r="C7" s="3"/>
      <c r="D7" s="3"/>
      <c r="H7" s="23"/>
    </row>
    <row r="8" spans="2:17" x14ac:dyDescent="0.2">
      <c r="B8" s="5" t="s">
        <v>192</v>
      </c>
      <c r="C8" s="3"/>
      <c r="D8" s="3"/>
    </row>
    <row r="9" spans="2:17" x14ac:dyDescent="0.2">
      <c r="B9" s="5"/>
      <c r="C9" s="3"/>
      <c r="D9" s="3"/>
    </row>
    <row r="11" spans="2:17" s="9" customFormat="1" x14ac:dyDescent="0.2">
      <c r="B11" s="9" t="s">
        <v>4</v>
      </c>
      <c r="F11" s="9" t="s">
        <v>5</v>
      </c>
      <c r="H11" s="9" t="s">
        <v>6</v>
      </c>
      <c r="J11" s="9" t="s">
        <v>99</v>
      </c>
      <c r="K11" s="9" t="s">
        <v>100</v>
      </c>
      <c r="L11" s="9" t="s">
        <v>101</v>
      </c>
      <c r="M11" s="9" t="s">
        <v>102</v>
      </c>
      <c r="N11" s="9" t="s">
        <v>103</v>
      </c>
      <c r="O11" s="9" t="s">
        <v>104</v>
      </c>
      <c r="Q11" s="9" t="s">
        <v>8</v>
      </c>
    </row>
    <row r="14" spans="2:17" s="9" customFormat="1" x14ac:dyDescent="0.2">
      <c r="B14" s="9" t="s">
        <v>92</v>
      </c>
    </row>
    <row r="16" spans="2:17" x14ac:dyDescent="0.2">
      <c r="B16" s="57" t="s">
        <v>81</v>
      </c>
      <c r="F16" s="2" t="s">
        <v>16</v>
      </c>
      <c r="H16" s="58">
        <f>'Input fuel invoice data'!H14</f>
        <v>4.3999999999999997E-2</v>
      </c>
    </row>
    <row r="18" spans="2:8" x14ac:dyDescent="0.2">
      <c r="B18" s="1" t="s">
        <v>178</v>
      </c>
    </row>
    <row r="19" spans="2:8" x14ac:dyDescent="0.2">
      <c r="B19" s="2" t="s">
        <v>25</v>
      </c>
      <c r="F19" s="2" t="s">
        <v>11</v>
      </c>
      <c r="H19" s="55">
        <f>'Input production data'!H17</f>
        <v>9464730</v>
      </c>
    </row>
    <row r="20" spans="2:8" x14ac:dyDescent="0.2">
      <c r="B20" s="2" t="s">
        <v>26</v>
      </c>
      <c r="F20" s="2" t="s">
        <v>11</v>
      </c>
      <c r="H20" s="55">
        <f>'Input production data'!H18</f>
        <v>0</v>
      </c>
    </row>
    <row r="21" spans="2:8" x14ac:dyDescent="0.2">
      <c r="B21" s="2" t="s">
        <v>17</v>
      </c>
      <c r="F21" s="2" t="s">
        <v>11</v>
      </c>
      <c r="H21" s="46">
        <f>H19+H20</f>
        <v>9464730</v>
      </c>
    </row>
    <row r="23" spans="2:8" x14ac:dyDescent="0.2">
      <c r="B23" s="2" t="s">
        <v>29</v>
      </c>
      <c r="F23" s="2" t="s">
        <v>12</v>
      </c>
      <c r="H23" s="54">
        <f>'Input production data'!H21</f>
        <v>0.13520921740758499</v>
      </c>
    </row>
    <row r="24" spans="2:8" x14ac:dyDescent="0.2">
      <c r="B24" s="2" t="s">
        <v>174</v>
      </c>
      <c r="F24" s="2" t="s">
        <v>13</v>
      </c>
      <c r="H24" s="53">
        <f>'Input production data'!H22</f>
        <v>0.27553723200554597</v>
      </c>
    </row>
    <row r="26" spans="2:8" x14ac:dyDescent="0.2">
      <c r="B26" s="1" t="s">
        <v>177</v>
      </c>
    </row>
    <row r="27" spans="2:8" x14ac:dyDescent="0.2">
      <c r="B27" s="2" t="s">
        <v>27</v>
      </c>
      <c r="F27" s="2" t="s">
        <v>11</v>
      </c>
      <c r="H27" s="55">
        <f>'Input production data'!H26</f>
        <v>6036643</v>
      </c>
    </row>
    <row r="28" spans="2:8" x14ac:dyDescent="0.2">
      <c r="B28" s="2" t="s">
        <v>28</v>
      </c>
      <c r="F28" s="2" t="s">
        <v>11</v>
      </c>
      <c r="H28" s="55">
        <f>'Input production data'!H27</f>
        <v>2961915</v>
      </c>
    </row>
    <row r="29" spans="2:8" x14ac:dyDescent="0.2">
      <c r="B29" s="2" t="s">
        <v>19</v>
      </c>
      <c r="F29" s="2" t="s">
        <v>11</v>
      </c>
      <c r="H29" s="46">
        <f>H27+H28</f>
        <v>8998558</v>
      </c>
    </row>
    <row r="31" spans="2:8" x14ac:dyDescent="0.2">
      <c r="B31" s="2" t="s">
        <v>29</v>
      </c>
      <c r="F31" s="2" t="s">
        <v>12</v>
      </c>
      <c r="H31" s="54">
        <f>'Input production data'!H30</f>
        <v>0.16303770085495101</v>
      </c>
    </row>
    <row r="32" spans="2:8" x14ac:dyDescent="0.2">
      <c r="B32" s="2" t="s">
        <v>174</v>
      </c>
      <c r="F32" s="2" t="s">
        <v>13</v>
      </c>
      <c r="H32" s="53">
        <f>'Input production data'!H31</f>
        <v>0.26200000000000001</v>
      </c>
    </row>
    <row r="34" spans="2:17" x14ac:dyDescent="0.2">
      <c r="B34" s="1" t="s">
        <v>175</v>
      </c>
    </row>
    <row r="35" spans="2:17" x14ac:dyDescent="0.2">
      <c r="B35" s="2" t="s">
        <v>208</v>
      </c>
      <c r="F35" s="2" t="s">
        <v>12</v>
      </c>
      <c r="H35" s="54">
        <f>'Input production data'!H23</f>
        <v>0.35680000000000001</v>
      </c>
    </row>
    <row r="36" spans="2:17" x14ac:dyDescent="0.2">
      <c r="B36" s="2" t="s">
        <v>20</v>
      </c>
      <c r="F36" s="2" t="s">
        <v>12</v>
      </c>
      <c r="H36" s="54">
        <f>'Input production data'!H32</f>
        <v>0.31680000000000003</v>
      </c>
    </row>
    <row r="38" spans="2:17" x14ac:dyDescent="0.2">
      <c r="B38" s="1" t="s">
        <v>176</v>
      </c>
    </row>
    <row r="39" spans="2:17" x14ac:dyDescent="0.2">
      <c r="B39" s="2" t="s">
        <v>98</v>
      </c>
      <c r="F39" s="2" t="s">
        <v>11</v>
      </c>
      <c r="J39" s="55">
        <f>'Input production data'!H40</f>
        <v>760596</v>
      </c>
      <c r="K39" s="55">
        <f>'Input production data'!H41</f>
        <v>723306</v>
      </c>
      <c r="L39" s="55">
        <f>'Input production data'!H44</f>
        <v>700060</v>
      </c>
      <c r="M39" s="55">
        <f>'Input production data'!H45</f>
        <v>654813</v>
      </c>
      <c r="N39" s="55">
        <f>'Input production data'!H46</f>
        <v>742928</v>
      </c>
      <c r="O39" s="55">
        <f>'Input production data'!H47</f>
        <v>706602</v>
      </c>
    </row>
    <row r="41" spans="2:17" s="9" customFormat="1" x14ac:dyDescent="0.2">
      <c r="B41" s="9" t="s">
        <v>105</v>
      </c>
    </row>
    <row r="43" spans="2:17" x14ac:dyDescent="0.2">
      <c r="B43" s="2" t="s">
        <v>106</v>
      </c>
      <c r="F43" s="2" t="s">
        <v>12</v>
      </c>
      <c r="J43" s="54">
        <f>$H$23</f>
        <v>0.13520921740758499</v>
      </c>
      <c r="K43" s="54">
        <f>$H$23</f>
        <v>0.13520921740758499</v>
      </c>
      <c r="L43" s="54">
        <f t="shared" ref="L43:O43" si="0">$H$31</f>
        <v>0.16303770085495101</v>
      </c>
      <c r="M43" s="54">
        <f t="shared" si="0"/>
        <v>0.16303770085495101</v>
      </c>
      <c r="N43" s="54">
        <f t="shared" si="0"/>
        <v>0.16303770085495101</v>
      </c>
      <c r="O43" s="54">
        <f t="shared" si="0"/>
        <v>0.16303770085495101</v>
      </c>
    </row>
    <row r="44" spans="2:17" x14ac:dyDescent="0.2">
      <c r="B44" s="2" t="s">
        <v>174</v>
      </c>
      <c r="F44" s="2" t="s">
        <v>13</v>
      </c>
      <c r="J44" s="53">
        <f>$H$24</f>
        <v>0.27553723200554597</v>
      </c>
      <c r="K44" s="53">
        <f>$H$24</f>
        <v>0.27553723200554597</v>
      </c>
      <c r="L44" s="53">
        <f>$H$32</f>
        <v>0.26200000000000001</v>
      </c>
      <c r="M44" s="53">
        <f t="shared" ref="M44:O44" si="1">$H$32</f>
        <v>0.26200000000000001</v>
      </c>
      <c r="N44" s="53">
        <f t="shared" si="1"/>
        <v>0.26200000000000001</v>
      </c>
      <c r="O44" s="53">
        <f t="shared" si="1"/>
        <v>0.26200000000000001</v>
      </c>
    </row>
    <row r="45" spans="2:17" x14ac:dyDescent="0.2">
      <c r="B45" s="2" t="s">
        <v>111</v>
      </c>
      <c r="F45" s="2" t="s">
        <v>16</v>
      </c>
      <c r="J45" s="59">
        <f>($H$19/$H$21)</f>
        <v>1</v>
      </c>
      <c r="K45" s="59">
        <f>($H$19/$H$21)</f>
        <v>1</v>
      </c>
      <c r="L45" s="59">
        <f>($H$27/$H$29)</f>
        <v>0.67084559548318745</v>
      </c>
      <c r="M45" s="59">
        <f>($H$27/$H$29)</f>
        <v>0.67084559548318745</v>
      </c>
      <c r="N45" s="59">
        <f>($H$27/$H$29)</f>
        <v>0.67084559548318745</v>
      </c>
      <c r="O45" s="59">
        <f>($H$27/$H$29)</f>
        <v>0.67084559548318745</v>
      </c>
    </row>
    <row r="47" spans="2:17" x14ac:dyDescent="0.2">
      <c r="B47" s="2" t="s">
        <v>94</v>
      </c>
      <c r="F47" s="2" t="s">
        <v>107</v>
      </c>
      <c r="J47" s="54">
        <f>'Monthly fuel price'!L16</f>
        <v>0.8296</v>
      </c>
      <c r="K47" s="54">
        <f>'Monthly fuel price'!L19</f>
        <v>0.84291542553191479</v>
      </c>
      <c r="L47" s="54">
        <f>'Monthly fuel price'!L23</f>
        <v>0.86976560383653045</v>
      </c>
      <c r="M47" s="54">
        <f>'Monthly fuel price'!L27</f>
        <v>0.83976341088597617</v>
      </c>
      <c r="N47" s="54">
        <f>'Monthly fuel price'!L28</f>
        <v>0.82669999999999999</v>
      </c>
      <c r="O47" s="54">
        <f>'Monthly fuel price'!L32</f>
        <v>0.79623308841099172</v>
      </c>
      <c r="Q47" s="2" t="s">
        <v>209</v>
      </c>
    </row>
    <row r="49" spans="2:17" x14ac:dyDescent="0.2">
      <c r="B49" s="2" t="s">
        <v>108</v>
      </c>
      <c r="F49" s="2" t="s">
        <v>12</v>
      </c>
      <c r="J49" s="48">
        <f t="shared" ref="J49:O49" si="2">J44*J45*J47</f>
        <v>0.22858568767180093</v>
      </c>
      <c r="K49" s="48">
        <f t="shared" si="2"/>
        <v>0.23225458316584072</v>
      </c>
      <c r="L49" s="48">
        <f t="shared" si="2"/>
        <v>0.152871347202366</v>
      </c>
      <c r="M49" s="48">
        <f t="shared" si="2"/>
        <v>0.14759811538548839</v>
      </c>
      <c r="N49" s="48">
        <f t="shared" si="2"/>
        <v>0.1453020700919192</v>
      </c>
      <c r="O49" s="48">
        <f t="shared" si="2"/>
        <v>0.13994715860868417</v>
      </c>
      <c r="Q49" s="2" t="s">
        <v>210</v>
      </c>
    </row>
    <row r="50" spans="2:17" x14ac:dyDescent="0.2">
      <c r="B50" s="2" t="s">
        <v>109</v>
      </c>
      <c r="F50" s="2" t="s">
        <v>12</v>
      </c>
      <c r="J50" s="48">
        <f t="shared" ref="J50:O50" si="3">J43+J49</f>
        <v>0.36379490507938594</v>
      </c>
      <c r="K50" s="48">
        <f t="shared" si="3"/>
        <v>0.3674638005734257</v>
      </c>
      <c r="L50" s="48">
        <f t="shared" si="3"/>
        <v>0.31590904805731701</v>
      </c>
      <c r="M50" s="48">
        <f t="shared" si="3"/>
        <v>0.3106358162404394</v>
      </c>
      <c r="N50" s="48">
        <f t="shared" si="3"/>
        <v>0.30833977094687021</v>
      </c>
      <c r="O50" s="48">
        <f t="shared" si="3"/>
        <v>0.30298485946363518</v>
      </c>
    </row>
    <row r="52" spans="2:17" s="9" customFormat="1" x14ac:dyDescent="0.2">
      <c r="B52" s="9" t="s">
        <v>110</v>
      </c>
    </row>
    <row r="54" spans="2:17" x14ac:dyDescent="0.2">
      <c r="B54" s="2" t="s">
        <v>109</v>
      </c>
      <c r="F54" s="2" t="s">
        <v>12</v>
      </c>
      <c r="J54" s="54">
        <f t="shared" ref="J54:O54" si="4">J50</f>
        <v>0.36379490507938594</v>
      </c>
      <c r="K54" s="54">
        <f t="shared" si="4"/>
        <v>0.3674638005734257</v>
      </c>
      <c r="L54" s="54">
        <f t="shared" si="4"/>
        <v>0.31590904805731701</v>
      </c>
      <c r="M54" s="54">
        <f t="shared" si="4"/>
        <v>0.3106358162404394</v>
      </c>
      <c r="N54" s="54">
        <f t="shared" si="4"/>
        <v>0.30833977094687021</v>
      </c>
      <c r="O54" s="54">
        <f t="shared" si="4"/>
        <v>0.30298485946363518</v>
      </c>
    </row>
    <row r="55" spans="2:17" x14ac:dyDescent="0.2">
      <c r="B55" s="2" t="s">
        <v>211</v>
      </c>
      <c r="F55" s="2" t="s">
        <v>12</v>
      </c>
      <c r="J55" s="54">
        <f>$H$35</f>
        <v>0.35680000000000001</v>
      </c>
      <c r="K55" s="54">
        <f>$H$35</f>
        <v>0.35680000000000001</v>
      </c>
      <c r="L55" s="54">
        <f>$H$36</f>
        <v>0.31680000000000003</v>
      </c>
      <c r="M55" s="54">
        <f t="shared" ref="M55:O55" si="5">$H$36</f>
        <v>0.31680000000000003</v>
      </c>
      <c r="N55" s="54">
        <f t="shared" si="5"/>
        <v>0.31680000000000003</v>
      </c>
      <c r="O55" s="54">
        <f t="shared" si="5"/>
        <v>0.31680000000000003</v>
      </c>
    </row>
    <row r="56" spans="2:17" x14ac:dyDescent="0.2">
      <c r="B56" s="2" t="s">
        <v>112</v>
      </c>
      <c r="F56" s="2" t="s">
        <v>12</v>
      </c>
      <c r="J56" s="48">
        <f t="shared" ref="J56:O56" si="6">J54-J55</f>
        <v>6.994905079385938E-3</v>
      </c>
      <c r="K56" s="48">
        <f t="shared" si="6"/>
        <v>1.0663800573425697E-2</v>
      </c>
      <c r="L56" s="48">
        <f t="shared" si="6"/>
        <v>-8.9095194268301592E-4</v>
      </c>
      <c r="M56" s="48">
        <f t="shared" si="6"/>
        <v>-6.1641837595606264E-3</v>
      </c>
      <c r="N56" s="48">
        <f t="shared" si="6"/>
        <v>-8.4602290531298197E-3</v>
      </c>
      <c r="O56" s="48">
        <f t="shared" si="6"/>
        <v>-1.3815140536364845E-2</v>
      </c>
    </row>
    <row r="58" spans="2:17" x14ac:dyDescent="0.2">
      <c r="B58" s="25" t="s">
        <v>113</v>
      </c>
      <c r="F58" s="2" t="s">
        <v>95</v>
      </c>
      <c r="J58" s="46">
        <f t="shared" ref="J58:O58" si="7">J39*J56</f>
        <v>5320.2968237606265</v>
      </c>
      <c r="K58" s="46">
        <f t="shared" si="7"/>
        <v>7713.1909375622472</v>
      </c>
      <c r="L58" s="46">
        <f t="shared" si="7"/>
        <v>-623.7198169946721</v>
      </c>
      <c r="M58" s="46">
        <f t="shared" si="7"/>
        <v>-4036.3876601491725</v>
      </c>
      <c r="N58" s="46">
        <f t="shared" si="7"/>
        <v>-6285.3410499836309</v>
      </c>
      <c r="O58" s="46">
        <f t="shared" si="7"/>
        <v>-9761.8059332764715</v>
      </c>
    </row>
    <row r="59" spans="2:17" x14ac:dyDescent="0.2">
      <c r="B59" s="2" t="s">
        <v>114</v>
      </c>
      <c r="F59" s="2" t="s">
        <v>116</v>
      </c>
      <c r="H59" s="46">
        <f>SUM(J58:K58)</f>
        <v>13033.487761322875</v>
      </c>
    </row>
    <row r="60" spans="2:17" x14ac:dyDescent="0.2">
      <c r="B60" s="2" t="s">
        <v>115</v>
      </c>
      <c r="F60" s="2" t="s">
        <v>117</v>
      </c>
      <c r="H60" s="46">
        <f>SUM(L58:O58)</f>
        <v>-20707.254460403947</v>
      </c>
    </row>
    <row r="62" spans="2:17" x14ac:dyDescent="0.2">
      <c r="B62" s="2" t="s">
        <v>118</v>
      </c>
      <c r="F62" s="2" t="s">
        <v>117</v>
      </c>
      <c r="H62" s="60">
        <f>H59*(1+H16)+H60</f>
        <v>-7100.2932375828659</v>
      </c>
      <c r="Q62" s="2" t="s">
        <v>204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M31"/>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1" width="12.5703125" style="2" customWidth="1"/>
    <col min="22" max="24" width="2.7109375" style="2" customWidth="1"/>
    <col min="25" max="39" width="13.7109375" style="2" customWidth="1"/>
    <col min="40" max="16384" width="9.140625" style="2"/>
  </cols>
  <sheetData>
    <row r="2" spans="2:13" s="22" customFormat="1" ht="18" x14ac:dyDescent="0.2">
      <c r="B2" s="22" t="s">
        <v>93</v>
      </c>
    </row>
    <row r="4" spans="2:13" x14ac:dyDescent="0.2">
      <c r="B4" s="29" t="s">
        <v>85</v>
      </c>
      <c r="C4" s="1"/>
      <c r="D4" s="1"/>
    </row>
    <row r="5" spans="2:13" x14ac:dyDescent="0.2">
      <c r="B5" s="25" t="s">
        <v>129</v>
      </c>
      <c r="C5" s="3"/>
      <c r="D5" s="3"/>
      <c r="H5" s="23"/>
    </row>
    <row r="6" spans="2:13" x14ac:dyDescent="0.2">
      <c r="B6" s="25"/>
      <c r="C6" s="3"/>
      <c r="D6" s="3"/>
      <c r="H6" s="23"/>
    </row>
    <row r="7" spans="2:13" x14ac:dyDescent="0.2">
      <c r="B7" s="30" t="s">
        <v>55</v>
      </c>
      <c r="C7" s="3"/>
      <c r="D7" s="3"/>
      <c r="H7" s="23"/>
    </row>
    <row r="8" spans="2:13" x14ac:dyDescent="0.2">
      <c r="B8" s="5" t="s">
        <v>205</v>
      </c>
      <c r="C8" s="3"/>
      <c r="D8" s="3"/>
    </row>
    <row r="9" spans="2:13" x14ac:dyDescent="0.2">
      <c r="B9" s="5"/>
      <c r="C9" s="3"/>
      <c r="D9" s="3"/>
    </row>
    <row r="11" spans="2:13" s="9" customFormat="1" x14ac:dyDescent="0.2">
      <c r="B11" s="9" t="s">
        <v>4</v>
      </c>
      <c r="F11" s="9" t="s">
        <v>5</v>
      </c>
      <c r="H11" s="9" t="s">
        <v>6</v>
      </c>
      <c r="J11" s="9" t="s">
        <v>7</v>
      </c>
      <c r="M11" s="9" t="s">
        <v>8</v>
      </c>
    </row>
    <row r="14" spans="2:13" s="9" customFormat="1" x14ac:dyDescent="0.2">
      <c r="B14" s="9" t="s">
        <v>92</v>
      </c>
    </row>
    <row r="16" spans="2:13" x14ac:dyDescent="0.2">
      <c r="B16" s="29" t="s">
        <v>177</v>
      </c>
    </row>
    <row r="17" spans="2:8" x14ac:dyDescent="0.2">
      <c r="B17" s="2" t="s">
        <v>27</v>
      </c>
      <c r="F17" s="2" t="s">
        <v>11</v>
      </c>
      <c r="H17" s="55">
        <f>'Input production data'!H26</f>
        <v>6036643</v>
      </c>
    </row>
    <row r="18" spans="2:8" x14ac:dyDescent="0.2">
      <c r="B18" s="2" t="s">
        <v>28</v>
      </c>
      <c r="F18" s="2" t="s">
        <v>11</v>
      </c>
      <c r="H18" s="55">
        <f>'Input production data'!H27</f>
        <v>2961915</v>
      </c>
    </row>
    <row r="19" spans="2:8" x14ac:dyDescent="0.2">
      <c r="B19" s="2" t="s">
        <v>19</v>
      </c>
      <c r="F19" s="2" t="s">
        <v>11</v>
      </c>
      <c r="H19" s="46">
        <f>H17+H18</f>
        <v>8998558</v>
      </c>
    </row>
    <row r="21" spans="2:8" x14ac:dyDescent="0.2">
      <c r="B21" s="2" t="s">
        <v>18</v>
      </c>
      <c r="F21" s="2" t="s">
        <v>12</v>
      </c>
      <c r="H21" s="54">
        <f>'Input production data'!H30</f>
        <v>0.16303770085495101</v>
      </c>
    </row>
    <row r="22" spans="2:8" x14ac:dyDescent="0.2">
      <c r="B22" s="2" t="s">
        <v>174</v>
      </c>
      <c r="F22" s="2" t="s">
        <v>13</v>
      </c>
      <c r="H22" s="54">
        <f>'Input production data'!H31</f>
        <v>0.26200000000000001</v>
      </c>
    </row>
    <row r="24" spans="2:8" x14ac:dyDescent="0.2">
      <c r="B24" s="1" t="s">
        <v>94</v>
      </c>
    </row>
    <row r="25" spans="2:8" x14ac:dyDescent="0.2">
      <c r="B25" s="2" t="s">
        <v>94</v>
      </c>
      <c r="F25" s="2" t="s">
        <v>14</v>
      </c>
      <c r="H25" s="54">
        <f>'Input fuel invoice data'!H18</f>
        <v>0.83240000000000003</v>
      </c>
    </row>
    <row r="27" spans="2:8" s="9" customFormat="1" x14ac:dyDescent="0.2">
      <c r="B27" s="9" t="s">
        <v>84</v>
      </c>
    </row>
    <row r="29" spans="2:8" x14ac:dyDescent="0.2">
      <c r="B29" s="29" t="s">
        <v>97</v>
      </c>
    </row>
    <row r="30" spans="2:8" x14ac:dyDescent="0.2">
      <c r="B30" s="2" t="s">
        <v>15</v>
      </c>
      <c r="F30" s="2" t="s">
        <v>12</v>
      </c>
      <c r="H30" s="48">
        <f>H22*(H17/H19)*H25</f>
        <v>0.1463039109042138</v>
      </c>
    </row>
    <row r="31" spans="2:8" x14ac:dyDescent="0.2">
      <c r="B31" s="2" t="s">
        <v>96</v>
      </c>
      <c r="F31" s="2" t="s">
        <v>12</v>
      </c>
      <c r="H31" s="56">
        <f>H21+H30</f>
        <v>0.3093416117591648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45"/>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x14ac:dyDescent="0.2">
      <c r="B2" s="8" t="s">
        <v>130</v>
      </c>
    </row>
    <row r="4" spans="2:8" s="9" customFormat="1" x14ac:dyDescent="0.2">
      <c r="B4" s="9" t="s">
        <v>55</v>
      </c>
    </row>
    <row r="6" spans="2:8" x14ac:dyDescent="0.2">
      <c r="B6" s="25" t="s">
        <v>197</v>
      </c>
    </row>
    <row r="7" spans="2:8" x14ac:dyDescent="0.2">
      <c r="H7" s="33"/>
    </row>
    <row r="8" spans="2:8" x14ac:dyDescent="0.2">
      <c r="B8" s="1" t="s">
        <v>186</v>
      </c>
    </row>
    <row r="9" spans="2:8" x14ac:dyDescent="0.2">
      <c r="B9" s="2" t="s">
        <v>198</v>
      </c>
    </row>
    <row r="10" spans="2:8" x14ac:dyDescent="0.2">
      <c r="B10" s="2" t="s">
        <v>187</v>
      </c>
    </row>
    <row r="11" spans="2:8" x14ac:dyDescent="0.2">
      <c r="B11" s="2" t="s">
        <v>188</v>
      </c>
    </row>
    <row r="12" spans="2:8" x14ac:dyDescent="0.2">
      <c r="B12" s="2" t="s">
        <v>189</v>
      </c>
    </row>
    <row r="15" spans="2:8" s="9" customFormat="1" x14ac:dyDescent="0.2">
      <c r="B15" s="9" t="s">
        <v>131</v>
      </c>
    </row>
    <row r="16" spans="2:8" x14ac:dyDescent="0.2">
      <c r="C16" s="10"/>
    </row>
    <row r="17" spans="2:7" x14ac:dyDescent="0.2">
      <c r="B17" s="29" t="s">
        <v>132</v>
      </c>
      <c r="C17" s="10"/>
      <c r="D17" s="29" t="s">
        <v>4</v>
      </c>
      <c r="F17" s="14"/>
    </row>
    <row r="18" spans="2:7" x14ac:dyDescent="0.2">
      <c r="C18" s="10"/>
    </row>
    <row r="19" spans="2:7" x14ac:dyDescent="0.2">
      <c r="B19" s="38">
        <v>123</v>
      </c>
      <c r="C19" s="10"/>
      <c r="D19" s="25" t="s">
        <v>146</v>
      </c>
    </row>
    <row r="20" spans="2:7" x14ac:dyDescent="0.2">
      <c r="B20" s="35">
        <f>B19</f>
        <v>123</v>
      </c>
      <c r="C20" s="10"/>
      <c r="D20" s="2" t="s">
        <v>147</v>
      </c>
    </row>
    <row r="21" spans="2:7" x14ac:dyDescent="0.2">
      <c r="B21" s="34">
        <f>B20+B19</f>
        <v>246</v>
      </c>
      <c r="C21" s="10"/>
      <c r="D21" s="2" t="s">
        <v>148</v>
      </c>
    </row>
    <row r="22" spans="2:7" x14ac:dyDescent="0.2">
      <c r="B22" s="32">
        <f>B20+B21</f>
        <v>369</v>
      </c>
      <c r="C22" s="10"/>
      <c r="D22" s="25" t="s">
        <v>149</v>
      </c>
      <c r="E22" s="14"/>
      <c r="F22" s="6"/>
    </row>
    <row r="23" spans="2:7" x14ac:dyDescent="0.2">
      <c r="B23" s="15"/>
      <c r="C23" s="10"/>
      <c r="D23" s="25" t="s">
        <v>150</v>
      </c>
      <c r="E23" s="14"/>
    </row>
    <row r="24" spans="2:7" x14ac:dyDescent="0.2">
      <c r="B24" s="10"/>
      <c r="C24" s="10"/>
    </row>
    <row r="25" spans="2:7" x14ac:dyDescent="0.2">
      <c r="B25" s="30" t="s">
        <v>133</v>
      </c>
      <c r="C25" s="10"/>
    </row>
    <row r="26" spans="2:7" x14ac:dyDescent="0.2">
      <c r="B26" s="36">
        <f>B22+16</f>
        <v>385</v>
      </c>
      <c r="C26" s="10"/>
      <c r="D26" s="2" t="s">
        <v>151</v>
      </c>
    </row>
    <row r="27" spans="2:7" x14ac:dyDescent="0.2">
      <c r="B27" s="37">
        <f>B20*PI()</f>
        <v>386.41589639154455</v>
      </c>
      <c r="C27" s="17"/>
      <c r="D27" s="2" t="s">
        <v>152</v>
      </c>
    </row>
    <row r="28" spans="2:7" x14ac:dyDescent="0.2">
      <c r="B28" s="17"/>
      <c r="C28" s="17"/>
    </row>
    <row r="29" spans="2:7" x14ac:dyDescent="0.2">
      <c r="B29" s="30" t="s">
        <v>138</v>
      </c>
      <c r="C29" s="18"/>
    </row>
    <row r="30" spans="2:7" x14ac:dyDescent="0.2">
      <c r="B30" s="42">
        <v>123</v>
      </c>
      <c r="C30" s="18"/>
      <c r="D30" s="25" t="s">
        <v>155</v>
      </c>
      <c r="G30" s="14"/>
    </row>
    <row r="31" spans="2:7" x14ac:dyDescent="0.2">
      <c r="B31" s="39">
        <v>124</v>
      </c>
      <c r="C31" s="18"/>
      <c r="D31" s="25" t="s">
        <v>154</v>
      </c>
    </row>
    <row r="32" spans="2:7" x14ac:dyDescent="0.2">
      <c r="B32" s="40">
        <f>B30-B31</f>
        <v>-1</v>
      </c>
      <c r="C32" s="19"/>
      <c r="D32" s="2" t="s">
        <v>153</v>
      </c>
    </row>
    <row r="35" spans="2:4" x14ac:dyDescent="0.2">
      <c r="B35" s="29" t="s">
        <v>134</v>
      </c>
    </row>
    <row r="36" spans="2:4" x14ac:dyDescent="0.2">
      <c r="B36" s="1"/>
    </row>
    <row r="37" spans="2:4" x14ac:dyDescent="0.2">
      <c r="B37" s="30" t="s">
        <v>135</v>
      </c>
    </row>
    <row r="38" spans="2:4" x14ac:dyDescent="0.2">
      <c r="B38" s="62" t="s">
        <v>139</v>
      </c>
      <c r="C38" s="10"/>
      <c r="D38" s="3" t="s">
        <v>140</v>
      </c>
    </row>
    <row r="39" spans="2:4" x14ac:dyDescent="0.2">
      <c r="B39" s="38" t="s">
        <v>0</v>
      </c>
      <c r="C39" s="10"/>
      <c r="D39" s="3" t="s">
        <v>141</v>
      </c>
    </row>
    <row r="40" spans="2:4" x14ac:dyDescent="0.2">
      <c r="B40" s="63" t="s">
        <v>84</v>
      </c>
      <c r="C40" s="10"/>
      <c r="D40" s="3" t="s">
        <v>142</v>
      </c>
    </row>
    <row r="41" spans="2:4" x14ac:dyDescent="0.2">
      <c r="B41" s="16" t="s">
        <v>84</v>
      </c>
      <c r="C41" s="10"/>
      <c r="D41" s="3" t="s">
        <v>143</v>
      </c>
    </row>
    <row r="42" spans="2:4" x14ac:dyDescent="0.2">
      <c r="C42" s="10"/>
      <c r="D42" s="3"/>
    </row>
    <row r="43" spans="2:4" x14ac:dyDescent="0.2">
      <c r="B43" s="30" t="s">
        <v>136</v>
      </c>
      <c r="C43" s="10"/>
      <c r="D43" s="3"/>
    </row>
    <row r="44" spans="2:4" x14ac:dyDescent="0.2">
      <c r="B44" s="24" t="s">
        <v>1</v>
      </c>
      <c r="C44" s="10"/>
      <c r="D44" s="3" t="s">
        <v>144</v>
      </c>
    </row>
    <row r="45" spans="2:4" x14ac:dyDescent="0.2">
      <c r="B45" s="61" t="s">
        <v>137</v>
      </c>
      <c r="D45" s="25" t="s">
        <v>145</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1"/>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35.140625" style="2" customWidth="1"/>
    <col min="4" max="4" width="96.5703125" style="2" bestFit="1" customWidth="1"/>
    <col min="5" max="5" width="45.7109375" style="2" bestFit="1" customWidth="1"/>
    <col min="6" max="6" width="43.5703125" style="2" bestFit="1"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13" customFormat="1" ht="18" x14ac:dyDescent="0.2">
      <c r="B2" s="4" t="s">
        <v>32</v>
      </c>
    </row>
    <row r="4" spans="2:6" s="9" customFormat="1" x14ac:dyDescent="0.2">
      <c r="B4" s="9" t="s">
        <v>33</v>
      </c>
    </row>
    <row r="6" spans="2:6" x14ac:dyDescent="0.2">
      <c r="B6" s="30" t="s">
        <v>34</v>
      </c>
    </row>
    <row r="7" spans="2:6" x14ac:dyDescent="0.2">
      <c r="B7" s="30" t="s">
        <v>35</v>
      </c>
    </row>
    <row r="9" spans="2:6" x14ac:dyDescent="0.2">
      <c r="B9" s="20" t="s">
        <v>36</v>
      </c>
      <c r="C9" s="20" t="s">
        <v>37</v>
      </c>
      <c r="D9" s="20" t="s">
        <v>38</v>
      </c>
      <c r="E9" s="20" t="s">
        <v>40</v>
      </c>
      <c r="F9" s="20" t="s">
        <v>39</v>
      </c>
    </row>
    <row r="10" spans="2:6" x14ac:dyDescent="0.2">
      <c r="B10" s="21"/>
      <c r="C10" s="26" t="s">
        <v>42</v>
      </c>
      <c r="D10" s="26" t="s">
        <v>43</v>
      </c>
      <c r="E10" s="26" t="s">
        <v>41</v>
      </c>
      <c r="F10" s="26" t="s">
        <v>44</v>
      </c>
    </row>
    <row r="11" spans="2:6" x14ac:dyDescent="0.2">
      <c r="B11" s="27">
        <v>1</v>
      </c>
      <c r="C11" s="7" t="s">
        <v>22</v>
      </c>
      <c r="D11" s="7" t="s">
        <v>180</v>
      </c>
      <c r="E11" s="7" t="s">
        <v>181</v>
      </c>
      <c r="F11" s="7"/>
    </row>
    <row r="12" spans="2:6" x14ac:dyDescent="0.2">
      <c r="B12" s="7">
        <v>2</v>
      </c>
      <c r="C12" s="7" t="s">
        <v>23</v>
      </c>
      <c r="D12" s="7" t="s">
        <v>31</v>
      </c>
      <c r="E12" s="7" t="s">
        <v>190</v>
      </c>
      <c r="F12" s="7"/>
    </row>
    <row r="13" spans="2:6" x14ac:dyDescent="0.2">
      <c r="B13" s="7">
        <v>3</v>
      </c>
      <c r="C13" s="7" t="s">
        <v>24</v>
      </c>
      <c r="D13" s="7" t="s">
        <v>48</v>
      </c>
      <c r="F13" s="7" t="s">
        <v>193</v>
      </c>
    </row>
    <row r="14" spans="2:6" x14ac:dyDescent="0.2">
      <c r="B14" s="7">
        <v>4</v>
      </c>
      <c r="C14" s="7" t="s">
        <v>47</v>
      </c>
      <c r="D14" s="7" t="s">
        <v>79</v>
      </c>
      <c r="E14" s="7"/>
      <c r="F14" s="7" t="s">
        <v>80</v>
      </c>
    </row>
    <row r="15" spans="2:6" x14ac:dyDescent="0.2">
      <c r="B15" s="7">
        <v>5</v>
      </c>
      <c r="C15" s="7" t="s">
        <v>78</v>
      </c>
      <c r="D15" s="7" t="s">
        <v>77</v>
      </c>
      <c r="E15" s="7"/>
      <c r="F15" s="7" t="s">
        <v>173</v>
      </c>
    </row>
    <row r="16" spans="2:6" x14ac:dyDescent="0.2">
      <c r="B16" s="7">
        <v>6</v>
      </c>
      <c r="C16" s="7" t="s">
        <v>214</v>
      </c>
      <c r="D16" s="7" t="s">
        <v>215</v>
      </c>
      <c r="E16" s="7"/>
      <c r="F16" s="7" t="s">
        <v>216</v>
      </c>
    </row>
    <row r="18" spans="2:2" s="9" customFormat="1" x14ac:dyDescent="0.2">
      <c r="B18" s="9" t="s">
        <v>171</v>
      </c>
    </row>
    <row r="20" spans="2:2" x14ac:dyDescent="0.2">
      <c r="B20" s="30" t="s">
        <v>169</v>
      </c>
    </row>
    <row r="21" spans="2:2" x14ac:dyDescent="0.2">
      <c r="B21" s="30" t="s">
        <v>170</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J27"/>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RowHeight="12.75" x14ac:dyDescent="0.2"/>
  <cols>
    <col min="1" max="1" width="4.7109375" style="2" customWidth="1"/>
    <col min="2" max="2" width="54.7109375" style="2" customWidth="1"/>
    <col min="3" max="5" width="4.7109375" style="2" customWidth="1"/>
    <col min="6" max="6" width="13.7109375" style="2" customWidth="1"/>
    <col min="7" max="7" width="2.7109375" style="2" customWidth="1"/>
    <col min="8" max="8" width="13.7109375" style="2" customWidth="1"/>
    <col min="9" max="9" width="2.7109375" style="2" customWidth="1"/>
    <col min="10" max="18" width="12.5703125" style="2" customWidth="1"/>
    <col min="19" max="21" width="2.7109375" style="2" customWidth="1"/>
    <col min="22" max="36" width="13.7109375" style="2" customWidth="1"/>
    <col min="37" max="16384" width="9.140625" style="2"/>
  </cols>
  <sheetData>
    <row r="2" spans="2:10" s="22" customFormat="1" ht="18" x14ac:dyDescent="0.2">
      <c r="B2" s="22" t="s">
        <v>202</v>
      </c>
    </row>
    <row r="4" spans="2:10" x14ac:dyDescent="0.2">
      <c r="B4" s="29" t="s">
        <v>119</v>
      </c>
      <c r="C4" s="1"/>
      <c r="D4" s="1"/>
    </row>
    <row r="5" spans="2:10" x14ac:dyDescent="0.2">
      <c r="B5" s="25" t="s">
        <v>203</v>
      </c>
      <c r="C5" s="3"/>
      <c r="D5" s="3"/>
      <c r="H5" s="23"/>
    </row>
    <row r="6" spans="2:10" x14ac:dyDescent="0.2">
      <c r="B6" s="5"/>
      <c r="C6" s="3"/>
      <c r="D6" s="3"/>
    </row>
    <row r="8" spans="2:10" s="9" customFormat="1" x14ac:dyDescent="0.2">
      <c r="B8" s="9" t="s">
        <v>4</v>
      </c>
      <c r="F8" s="9" t="s">
        <v>5</v>
      </c>
      <c r="H8" s="9" t="s">
        <v>6</v>
      </c>
      <c r="J8" s="9" t="s">
        <v>8</v>
      </c>
    </row>
    <row r="11" spans="2:10" s="9" customFormat="1" x14ac:dyDescent="0.2">
      <c r="B11" s="9" t="s">
        <v>199</v>
      </c>
    </row>
    <row r="13" spans="2:10" x14ac:dyDescent="0.2">
      <c r="B13" s="57" t="s">
        <v>93</v>
      </c>
      <c r="F13" s="2" t="s">
        <v>12</v>
      </c>
      <c r="H13" s="54">
        <f>'New estimated production price'!H31</f>
        <v>0.3093416117591648</v>
      </c>
    </row>
    <row r="15" spans="2:10" x14ac:dyDescent="0.2">
      <c r="B15" s="1" t="s">
        <v>120</v>
      </c>
    </row>
    <row r="16" spans="2:10" x14ac:dyDescent="0.2">
      <c r="B16" s="2" t="s">
        <v>124</v>
      </c>
      <c r="F16" s="2" t="s">
        <v>95</v>
      </c>
      <c r="H16" s="55">
        <f>'Fuel price correction'!H62</f>
        <v>-7100.2932375828659</v>
      </c>
    </row>
    <row r="17" spans="2:10" x14ac:dyDescent="0.2">
      <c r="B17" s="2" t="s">
        <v>27</v>
      </c>
      <c r="F17" s="2" t="s">
        <v>11</v>
      </c>
      <c r="H17" s="55">
        <f>'Input production data'!H26</f>
        <v>6036643</v>
      </c>
    </row>
    <row r="18" spans="2:10" x14ac:dyDescent="0.2">
      <c r="B18" s="2" t="s">
        <v>28</v>
      </c>
      <c r="F18" s="2" t="s">
        <v>11</v>
      </c>
      <c r="H18" s="55">
        <f>'Input production data'!H27</f>
        <v>2961915</v>
      </c>
    </row>
    <row r="19" spans="2:10" x14ac:dyDescent="0.2">
      <c r="B19" s="2" t="s">
        <v>121</v>
      </c>
      <c r="F19" s="2" t="s">
        <v>11</v>
      </c>
      <c r="H19" s="46">
        <f>H17+H18</f>
        <v>8998558</v>
      </c>
    </row>
    <row r="20" spans="2:10" x14ac:dyDescent="0.2">
      <c r="B20" s="2" t="s">
        <v>172</v>
      </c>
      <c r="F20" s="2" t="s">
        <v>16</v>
      </c>
      <c r="H20" s="64">
        <v>0.5</v>
      </c>
      <c r="J20" s="25" t="s">
        <v>125</v>
      </c>
    </row>
    <row r="21" spans="2:10" x14ac:dyDescent="0.2">
      <c r="B21" s="2" t="s">
        <v>122</v>
      </c>
      <c r="F21" s="2" t="s">
        <v>11</v>
      </c>
      <c r="H21" s="46">
        <f>H19*H20</f>
        <v>4499279</v>
      </c>
    </row>
    <row r="22" spans="2:10" x14ac:dyDescent="0.2">
      <c r="B22" s="2" t="s">
        <v>123</v>
      </c>
      <c r="F22" s="2" t="s">
        <v>12</v>
      </c>
      <c r="H22" s="48">
        <f>H16/H21</f>
        <v>-1.578095787699066E-3</v>
      </c>
    </row>
    <row r="23" spans="2:10" x14ac:dyDescent="0.2">
      <c r="B23" s="6"/>
    </row>
    <row r="24" spans="2:10" x14ac:dyDescent="0.2">
      <c r="B24" s="1" t="s">
        <v>200</v>
      </c>
    </row>
    <row r="25" spans="2:10" x14ac:dyDescent="0.2">
      <c r="B25" s="66" t="s">
        <v>195</v>
      </c>
      <c r="F25" s="2" t="s">
        <v>12</v>
      </c>
      <c r="H25" s="48">
        <f>H13+H22</f>
        <v>0.30776351597146573</v>
      </c>
    </row>
    <row r="26" spans="2:10" x14ac:dyDescent="0.2">
      <c r="B26" s="2" t="s">
        <v>126</v>
      </c>
      <c r="F26" s="2" t="s">
        <v>16</v>
      </c>
      <c r="H26" s="58">
        <f>'Input production data'!H34</f>
        <v>6.0999999999999999E-2</v>
      </c>
    </row>
    <row r="27" spans="2:10" x14ac:dyDescent="0.2">
      <c r="B27" s="2" t="s">
        <v>201</v>
      </c>
      <c r="F27" s="2" t="s">
        <v>12</v>
      </c>
      <c r="H27" s="56">
        <f>H25/(1-H26)</f>
        <v>0.32775667302605505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4"/>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M47"/>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62.28515625" style="2" customWidth="1"/>
    <col min="3" max="3" width="4.7109375" style="2" customWidth="1"/>
    <col min="4" max="5" width="4.5703125" style="2" customWidth="1"/>
    <col min="6" max="6" width="13.7109375" style="2" customWidth="1"/>
    <col min="7" max="7" width="2.7109375" style="2" customWidth="1"/>
    <col min="8" max="8" width="18.28515625" style="2" customWidth="1"/>
    <col min="9" max="9" width="2.7109375" style="2" customWidth="1"/>
    <col min="10" max="10" width="13.7109375" style="2" customWidth="1"/>
    <col min="11" max="11" width="2.7109375" style="2" customWidth="1"/>
    <col min="12" max="21" width="12.5703125" style="2" customWidth="1"/>
    <col min="22" max="22" width="2.7109375" style="2" customWidth="1"/>
    <col min="23" max="23" width="17.140625"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2" spans="2:13" s="22" customFormat="1" ht="18" x14ac:dyDescent="0.2">
      <c r="B2" s="22" t="s">
        <v>2</v>
      </c>
    </row>
    <row r="4" spans="2:13" x14ac:dyDescent="0.2">
      <c r="B4" s="29" t="s">
        <v>3</v>
      </c>
      <c r="C4" s="1"/>
      <c r="D4" s="1"/>
      <c r="L4"/>
    </row>
    <row r="5" spans="2:13" x14ac:dyDescent="0.2">
      <c r="B5" s="25" t="s">
        <v>46</v>
      </c>
      <c r="C5" s="3"/>
      <c r="D5" s="3"/>
      <c r="H5" s="23"/>
    </row>
    <row r="6" spans="2:13" x14ac:dyDescent="0.2">
      <c r="B6" s="25"/>
      <c r="C6" s="3"/>
      <c r="D6" s="3"/>
      <c r="H6" s="23"/>
    </row>
    <row r="7" spans="2:13" x14ac:dyDescent="0.2">
      <c r="B7" s="30" t="s">
        <v>55</v>
      </c>
      <c r="C7" s="3"/>
      <c r="D7" s="3"/>
      <c r="H7" s="23"/>
    </row>
    <row r="8" spans="2:13" x14ac:dyDescent="0.2">
      <c r="B8" s="5" t="s">
        <v>183</v>
      </c>
      <c r="C8" s="3"/>
      <c r="D8" s="3"/>
    </row>
    <row r="11" spans="2:13" s="9" customFormat="1" x14ac:dyDescent="0.2">
      <c r="B11" s="9" t="s">
        <v>4</v>
      </c>
      <c r="F11" s="9" t="s">
        <v>5</v>
      </c>
      <c r="H11" s="9" t="s">
        <v>6</v>
      </c>
      <c r="J11" s="9" t="s">
        <v>7</v>
      </c>
      <c r="M11" s="9" t="s">
        <v>8</v>
      </c>
    </row>
    <row r="14" spans="2:13" s="9" customFormat="1" x14ac:dyDescent="0.2">
      <c r="B14" s="9" t="s">
        <v>9</v>
      </c>
    </row>
    <row r="16" spans="2:13" x14ac:dyDescent="0.2">
      <c r="B16" s="29" t="s">
        <v>10</v>
      </c>
    </row>
    <row r="17" spans="2:10" x14ac:dyDescent="0.2">
      <c r="B17" s="2" t="s">
        <v>25</v>
      </c>
      <c r="F17" s="2" t="s">
        <v>11</v>
      </c>
      <c r="H17" s="45">
        <v>9464730</v>
      </c>
      <c r="J17" s="2" t="s">
        <v>22</v>
      </c>
    </row>
    <row r="18" spans="2:10" x14ac:dyDescent="0.2">
      <c r="B18" s="2" t="s">
        <v>26</v>
      </c>
      <c r="F18" s="2" t="s">
        <v>11</v>
      </c>
      <c r="H18" s="45">
        <v>0</v>
      </c>
      <c r="J18" s="2" t="s">
        <v>22</v>
      </c>
    </row>
    <row r="20" spans="2:10" x14ac:dyDescent="0.2">
      <c r="B20" s="1" t="s">
        <v>182</v>
      </c>
    </row>
    <row r="21" spans="2:10" x14ac:dyDescent="0.2">
      <c r="B21" s="2" t="s">
        <v>29</v>
      </c>
      <c r="F21" s="2" t="s">
        <v>12</v>
      </c>
      <c r="H21" s="47">
        <v>0.13520921740758499</v>
      </c>
      <c r="J21" s="2" t="s">
        <v>22</v>
      </c>
    </row>
    <row r="22" spans="2:10" x14ac:dyDescent="0.2">
      <c r="B22" s="2" t="s">
        <v>174</v>
      </c>
      <c r="F22" s="2" t="s">
        <v>13</v>
      </c>
      <c r="H22" s="65">
        <v>0.27553723200554597</v>
      </c>
      <c r="J22" s="2" t="s">
        <v>22</v>
      </c>
    </row>
    <row r="23" spans="2:10" x14ac:dyDescent="0.2">
      <c r="B23" s="2" t="s">
        <v>212</v>
      </c>
      <c r="F23" s="2" t="s">
        <v>12</v>
      </c>
      <c r="H23" s="47">
        <v>0.35680000000000001</v>
      </c>
      <c r="J23" s="2" t="s">
        <v>22</v>
      </c>
    </row>
    <row r="25" spans="2:10" x14ac:dyDescent="0.2">
      <c r="B25" s="1" t="s">
        <v>30</v>
      </c>
    </row>
    <row r="26" spans="2:10" x14ac:dyDescent="0.2">
      <c r="B26" s="2" t="s">
        <v>27</v>
      </c>
      <c r="F26" s="2" t="s">
        <v>11</v>
      </c>
      <c r="H26" s="45">
        <v>6036643</v>
      </c>
      <c r="J26" s="2" t="s">
        <v>23</v>
      </c>
    </row>
    <row r="27" spans="2:10" x14ac:dyDescent="0.2">
      <c r="B27" s="2" t="s">
        <v>28</v>
      </c>
      <c r="F27" s="2" t="s">
        <v>11</v>
      </c>
      <c r="H27" s="45">
        <v>2961915</v>
      </c>
      <c r="J27" s="2" t="s">
        <v>23</v>
      </c>
    </row>
    <row r="29" spans="2:10" x14ac:dyDescent="0.2">
      <c r="B29" s="1" t="s">
        <v>45</v>
      </c>
    </row>
    <row r="30" spans="2:10" x14ac:dyDescent="0.2">
      <c r="B30" s="2" t="s">
        <v>18</v>
      </c>
      <c r="F30" s="2" t="s">
        <v>12</v>
      </c>
      <c r="H30" s="47">
        <v>0.16303770085495101</v>
      </c>
      <c r="J30" s="2" t="s">
        <v>23</v>
      </c>
    </row>
    <row r="31" spans="2:10" x14ac:dyDescent="0.2">
      <c r="B31" s="2" t="s">
        <v>174</v>
      </c>
      <c r="F31" s="2" t="s">
        <v>13</v>
      </c>
      <c r="H31" s="65">
        <v>0.26200000000000001</v>
      </c>
      <c r="J31" s="2" t="s">
        <v>23</v>
      </c>
    </row>
    <row r="32" spans="2:10" x14ac:dyDescent="0.2">
      <c r="B32" s="2" t="s">
        <v>20</v>
      </c>
      <c r="F32" s="2" t="s">
        <v>12</v>
      </c>
      <c r="H32" s="47">
        <v>0.31680000000000003</v>
      </c>
      <c r="J32" s="2" t="s">
        <v>23</v>
      </c>
    </row>
    <row r="34" spans="2:10" x14ac:dyDescent="0.2">
      <c r="B34" s="2" t="s">
        <v>179</v>
      </c>
      <c r="F34" s="2" t="s">
        <v>16</v>
      </c>
      <c r="H34" s="43">
        <v>6.0999999999999999E-2</v>
      </c>
      <c r="J34" s="2" t="s">
        <v>23</v>
      </c>
    </row>
    <row r="37" spans="2:10" s="9" customFormat="1" x14ac:dyDescent="0.2">
      <c r="B37" s="9" t="s">
        <v>21</v>
      </c>
    </row>
    <row r="39" spans="2:10" x14ac:dyDescent="0.2">
      <c r="B39" s="44">
        <v>2018</v>
      </c>
    </row>
    <row r="40" spans="2:10" x14ac:dyDescent="0.2">
      <c r="B40" s="2" t="s">
        <v>49</v>
      </c>
      <c r="F40" s="2" t="s">
        <v>11</v>
      </c>
      <c r="H40" s="50">
        <v>760596</v>
      </c>
      <c r="J40" s="2" t="s">
        <v>24</v>
      </c>
    </row>
    <row r="41" spans="2:10" x14ac:dyDescent="0.2">
      <c r="B41" s="2" t="s">
        <v>50</v>
      </c>
      <c r="F41" s="2" t="s">
        <v>11</v>
      </c>
      <c r="H41" s="45">
        <v>723306</v>
      </c>
      <c r="J41" s="2" t="s">
        <v>24</v>
      </c>
    </row>
    <row r="43" spans="2:10" x14ac:dyDescent="0.2">
      <c r="B43" s="44">
        <v>2019</v>
      </c>
    </row>
    <row r="44" spans="2:10" x14ac:dyDescent="0.2">
      <c r="B44" s="2" t="s">
        <v>51</v>
      </c>
      <c r="F44" s="2" t="s">
        <v>11</v>
      </c>
      <c r="H44" s="50">
        <v>700060</v>
      </c>
      <c r="J44" s="2" t="s">
        <v>24</v>
      </c>
    </row>
    <row r="45" spans="2:10" x14ac:dyDescent="0.2">
      <c r="B45" s="2" t="s">
        <v>52</v>
      </c>
      <c r="F45" s="2" t="s">
        <v>11</v>
      </c>
      <c r="H45" s="50">
        <v>654813</v>
      </c>
      <c r="J45" s="2" t="s">
        <v>24</v>
      </c>
    </row>
    <row r="46" spans="2:10" x14ac:dyDescent="0.2">
      <c r="B46" s="2" t="s">
        <v>53</v>
      </c>
      <c r="F46" s="2" t="s">
        <v>11</v>
      </c>
      <c r="H46" s="50">
        <v>742928</v>
      </c>
      <c r="J46" s="2" t="s">
        <v>24</v>
      </c>
    </row>
    <row r="47" spans="2:10" x14ac:dyDescent="0.2">
      <c r="B47" s="2" t="s">
        <v>54</v>
      </c>
      <c r="F47" s="2" t="s">
        <v>11</v>
      </c>
      <c r="H47" s="50">
        <v>706602</v>
      </c>
      <c r="J47" s="2" t="s">
        <v>24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FFE1"/>
  </sheetPr>
  <dimension ref="B2:L60"/>
  <sheetViews>
    <sheetView showGridLines="0" zoomScale="85" zoomScaleNormal="85" workbookViewId="0">
      <pane xSplit="6" ySplit="10" topLeftCell="G11" activePane="bottomRight" state="frozen"/>
      <selection activeCell="R6" sqref="R6"/>
      <selection pane="topRight" activeCell="R6" sqref="R6"/>
      <selection pane="bottomLeft" activeCell="R6" sqref="R6"/>
      <selection pane="bottomRight" activeCell="G11" sqref="G11"/>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8" width="18.28515625" style="2" customWidth="1"/>
    <col min="9" max="9" width="2.7109375" style="2" customWidth="1"/>
    <col min="10" max="10" width="13.7109375" style="2" customWidth="1"/>
    <col min="11" max="11" width="2.7109375" style="2" customWidth="1"/>
    <col min="12" max="20" width="12.5703125" style="2" customWidth="1"/>
    <col min="21" max="21" width="2.7109375" style="2" customWidth="1"/>
    <col min="22" max="22" width="17.140625" style="2"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12" s="22" customFormat="1" ht="18" x14ac:dyDescent="0.2">
      <c r="B2" s="22" t="s">
        <v>91</v>
      </c>
    </row>
    <row r="4" spans="2:12" x14ac:dyDescent="0.2">
      <c r="B4" s="29" t="s">
        <v>3</v>
      </c>
      <c r="C4" s="1"/>
      <c r="D4" s="1"/>
    </row>
    <row r="5" spans="2:12" x14ac:dyDescent="0.2">
      <c r="B5" s="25" t="s">
        <v>191</v>
      </c>
      <c r="C5" s="3"/>
      <c r="D5" s="3"/>
      <c r="H5" s="23"/>
    </row>
    <row r="6" spans="2:12" x14ac:dyDescent="0.2">
      <c r="B6" s="25"/>
      <c r="C6" s="3"/>
      <c r="D6" s="3"/>
      <c r="H6" s="23"/>
    </row>
    <row r="9" spans="2:12" s="9" customFormat="1" x14ac:dyDescent="0.2">
      <c r="B9" s="9" t="s">
        <v>4</v>
      </c>
      <c r="F9" s="9" t="s">
        <v>5</v>
      </c>
      <c r="H9" s="9" t="s">
        <v>6</v>
      </c>
      <c r="J9" s="9" t="s">
        <v>7</v>
      </c>
      <c r="L9" s="9" t="s">
        <v>8</v>
      </c>
    </row>
    <row r="12" spans="2:12" s="9" customFormat="1" x14ac:dyDescent="0.2">
      <c r="B12" s="9" t="s">
        <v>83</v>
      </c>
    </row>
    <row r="14" spans="2:12" x14ac:dyDescent="0.2">
      <c r="B14" s="2" t="s">
        <v>81</v>
      </c>
      <c r="F14" s="2" t="s">
        <v>16</v>
      </c>
      <c r="H14" s="43">
        <v>4.3999999999999997E-2</v>
      </c>
      <c r="J14" s="2" t="s">
        <v>47</v>
      </c>
      <c r="L14" s="2" t="s">
        <v>82</v>
      </c>
    </row>
    <row r="16" spans="2:12" s="9" customFormat="1" x14ac:dyDescent="0.2">
      <c r="B16" s="9" t="s">
        <v>94</v>
      </c>
    </row>
    <row r="18" spans="2:10" x14ac:dyDescent="0.2">
      <c r="B18" s="2" t="s">
        <v>194</v>
      </c>
      <c r="F18" s="2" t="s">
        <v>58</v>
      </c>
      <c r="H18" s="47">
        <v>0.83240000000000003</v>
      </c>
      <c r="J18" s="2" t="s">
        <v>214</v>
      </c>
    </row>
    <row r="20" spans="2:10" s="9" customFormat="1" x14ac:dyDescent="0.2">
      <c r="B20" s="9" t="s">
        <v>75</v>
      </c>
    </row>
    <row r="22" spans="2:10" x14ac:dyDescent="0.2">
      <c r="B22" s="1" t="s">
        <v>59</v>
      </c>
    </row>
    <row r="24" spans="2:10" x14ac:dyDescent="0.2">
      <c r="B24" s="2" t="s">
        <v>56</v>
      </c>
      <c r="F24" s="2" t="s">
        <v>14</v>
      </c>
      <c r="H24" s="47">
        <v>0.8296</v>
      </c>
      <c r="J24" s="2" t="s">
        <v>78</v>
      </c>
    </row>
    <row r="25" spans="2:10" x14ac:dyDescent="0.2">
      <c r="B25" s="2" t="s">
        <v>57</v>
      </c>
      <c r="F25" s="2" t="s">
        <v>14</v>
      </c>
      <c r="H25" s="47">
        <v>0.8296</v>
      </c>
      <c r="J25" s="2" t="s">
        <v>78</v>
      </c>
    </row>
    <row r="26" spans="2:10" x14ac:dyDescent="0.2">
      <c r="B26" s="2" t="s">
        <v>61</v>
      </c>
      <c r="F26" s="2" t="s">
        <v>14</v>
      </c>
      <c r="H26" s="47">
        <v>0.85209999999999997</v>
      </c>
      <c r="J26" s="2" t="s">
        <v>78</v>
      </c>
    </row>
    <row r="27" spans="2:10" x14ac:dyDescent="0.2">
      <c r="B27" s="2" t="s">
        <v>62</v>
      </c>
      <c r="F27" s="2" t="s">
        <v>14</v>
      </c>
      <c r="H27" s="47">
        <v>0.85209999999999997</v>
      </c>
      <c r="J27" s="2" t="s">
        <v>78</v>
      </c>
    </row>
    <row r="28" spans="2:10" x14ac:dyDescent="0.2">
      <c r="B28" s="2" t="s">
        <v>60</v>
      </c>
      <c r="F28" s="2" t="s">
        <v>14</v>
      </c>
      <c r="H28" s="47">
        <v>0.85209999999999997</v>
      </c>
      <c r="J28" s="2" t="s">
        <v>78</v>
      </c>
    </row>
    <row r="29" spans="2:10" x14ac:dyDescent="0.2">
      <c r="B29" s="2" t="s">
        <v>63</v>
      </c>
      <c r="F29" s="2" t="s">
        <v>14</v>
      </c>
      <c r="H29" s="47">
        <v>0.87470000000000003</v>
      </c>
      <c r="J29" s="2" t="s">
        <v>78</v>
      </c>
    </row>
    <row r="30" spans="2:10" x14ac:dyDescent="0.2">
      <c r="B30" s="2" t="s">
        <v>64</v>
      </c>
      <c r="F30" s="2" t="s">
        <v>14</v>
      </c>
      <c r="H30" s="47">
        <v>0.87470000000000003</v>
      </c>
      <c r="J30" s="2" t="s">
        <v>78</v>
      </c>
    </row>
    <row r="31" spans="2:10" x14ac:dyDescent="0.2">
      <c r="B31" s="2" t="s">
        <v>65</v>
      </c>
      <c r="F31" s="2" t="s">
        <v>14</v>
      </c>
      <c r="H31" s="47">
        <v>0.87470000000000003</v>
      </c>
      <c r="J31" s="2" t="s">
        <v>78</v>
      </c>
    </row>
    <row r="32" spans="2:10" x14ac:dyDescent="0.2">
      <c r="B32" s="2" t="s">
        <v>66</v>
      </c>
      <c r="F32" s="2" t="s">
        <v>14</v>
      </c>
      <c r="H32" s="47">
        <v>0.87470000000000003</v>
      </c>
      <c r="J32" s="2" t="s">
        <v>78</v>
      </c>
    </row>
    <row r="33" spans="2:10" x14ac:dyDescent="0.2">
      <c r="B33" s="2" t="s">
        <v>67</v>
      </c>
      <c r="F33" s="2" t="s">
        <v>14</v>
      </c>
      <c r="H33" s="47">
        <v>0.82669999999999999</v>
      </c>
      <c r="J33" s="2" t="s">
        <v>78</v>
      </c>
    </row>
    <row r="34" spans="2:10" x14ac:dyDescent="0.2">
      <c r="B34" s="2" t="s">
        <v>68</v>
      </c>
      <c r="F34" s="2" t="s">
        <v>14</v>
      </c>
      <c r="H34" s="47">
        <v>0.82669999999999999</v>
      </c>
      <c r="J34" s="2" t="s">
        <v>78</v>
      </c>
    </row>
    <row r="35" spans="2:10" x14ac:dyDescent="0.2">
      <c r="B35" s="2" t="s">
        <v>69</v>
      </c>
      <c r="F35" s="2" t="s">
        <v>14</v>
      </c>
      <c r="H35" s="47">
        <v>0.82669999999999999</v>
      </c>
      <c r="J35" s="2" t="s">
        <v>78</v>
      </c>
    </row>
    <row r="36" spans="2:10" x14ac:dyDescent="0.2">
      <c r="B36" s="2" t="s">
        <v>70</v>
      </c>
      <c r="F36" s="2" t="s">
        <v>14</v>
      </c>
      <c r="H36" s="47">
        <v>0.82669999999999999</v>
      </c>
      <c r="J36" s="2" t="s">
        <v>78</v>
      </c>
    </row>
    <row r="37" spans="2:10" x14ac:dyDescent="0.2">
      <c r="B37" s="2" t="s">
        <v>71</v>
      </c>
      <c r="F37" s="2" t="s">
        <v>14</v>
      </c>
      <c r="H37" s="47">
        <v>0.82669999999999999</v>
      </c>
      <c r="J37" s="2" t="s">
        <v>78</v>
      </c>
    </row>
    <row r="38" spans="2:10" x14ac:dyDescent="0.2">
      <c r="B38" s="2" t="s">
        <v>72</v>
      </c>
      <c r="F38" s="2" t="s">
        <v>14</v>
      </c>
      <c r="H38" s="47">
        <v>0.78720000000000001</v>
      </c>
      <c r="J38" s="2" t="s">
        <v>78</v>
      </c>
    </row>
    <row r="39" spans="2:10" x14ac:dyDescent="0.2">
      <c r="B39" s="2" t="s">
        <v>73</v>
      </c>
      <c r="F39" s="2" t="s">
        <v>14</v>
      </c>
      <c r="H39" s="47">
        <v>0.78720000000000001</v>
      </c>
      <c r="J39" s="2" t="s">
        <v>78</v>
      </c>
    </row>
    <row r="40" spans="2:10" x14ac:dyDescent="0.2">
      <c r="B40" s="2" t="s">
        <v>74</v>
      </c>
      <c r="F40" s="2" t="s">
        <v>14</v>
      </c>
      <c r="H40" s="47">
        <v>0.78720000000000001</v>
      </c>
      <c r="J40" s="2" t="s">
        <v>78</v>
      </c>
    </row>
    <row r="42" spans="2:10" s="9" customFormat="1" x14ac:dyDescent="0.2">
      <c r="B42" s="9" t="s">
        <v>76</v>
      </c>
    </row>
    <row r="44" spans="2:10" x14ac:dyDescent="0.2">
      <c r="B44" s="2" t="s">
        <v>56</v>
      </c>
      <c r="F44" s="2" t="s">
        <v>58</v>
      </c>
      <c r="H44" s="45">
        <v>86800</v>
      </c>
      <c r="J44" s="2" t="s">
        <v>78</v>
      </c>
    </row>
    <row r="45" spans="2:10" x14ac:dyDescent="0.2">
      <c r="B45" s="2" t="s">
        <v>57</v>
      </c>
      <c r="F45" s="2" t="s">
        <v>58</v>
      </c>
      <c r="H45" s="45">
        <v>69068</v>
      </c>
      <c r="J45" s="2" t="s">
        <v>78</v>
      </c>
    </row>
    <row r="46" spans="2:10" x14ac:dyDescent="0.2">
      <c r="B46" s="2" t="s">
        <v>61</v>
      </c>
      <c r="F46" s="2" t="s">
        <v>58</v>
      </c>
      <c r="H46" s="45">
        <v>19132</v>
      </c>
      <c r="J46" s="2" t="s">
        <v>78</v>
      </c>
    </row>
    <row r="47" spans="2:10" x14ac:dyDescent="0.2">
      <c r="B47" s="2" t="s">
        <v>62</v>
      </c>
      <c r="F47" s="2" t="s">
        <v>58</v>
      </c>
      <c r="H47" s="45">
        <v>81000</v>
      </c>
      <c r="J47" s="2" t="s">
        <v>78</v>
      </c>
    </row>
    <row r="48" spans="2:10" x14ac:dyDescent="0.2">
      <c r="B48" s="2" t="s">
        <v>60</v>
      </c>
      <c r="F48" s="2" t="s">
        <v>58</v>
      </c>
      <c r="H48" s="45">
        <v>52357</v>
      </c>
      <c r="J48" s="2" t="s">
        <v>78</v>
      </c>
    </row>
    <row r="49" spans="2:10" x14ac:dyDescent="0.2">
      <c r="B49" s="2" t="s">
        <v>63</v>
      </c>
      <c r="F49" s="2" t="s">
        <v>58</v>
      </c>
      <c r="H49" s="45">
        <v>40643</v>
      </c>
      <c r="J49" s="2" t="s">
        <v>78</v>
      </c>
    </row>
    <row r="50" spans="2:10" x14ac:dyDescent="0.2">
      <c r="B50" s="2" t="s">
        <v>64</v>
      </c>
      <c r="F50" s="2" t="s">
        <v>58</v>
      </c>
      <c r="H50" s="45">
        <v>82600</v>
      </c>
      <c r="J50" s="2" t="s">
        <v>78</v>
      </c>
    </row>
    <row r="51" spans="2:10" x14ac:dyDescent="0.2">
      <c r="B51" s="2" t="s">
        <v>65</v>
      </c>
      <c r="F51" s="2" t="s">
        <v>58</v>
      </c>
      <c r="H51" s="45">
        <v>64200</v>
      </c>
      <c r="J51" s="2" t="s">
        <v>78</v>
      </c>
    </row>
    <row r="52" spans="2:10" x14ac:dyDescent="0.2">
      <c r="B52" s="2" t="s">
        <v>66</v>
      </c>
      <c r="F52" s="2" t="s">
        <v>58</v>
      </c>
      <c r="H52" s="45">
        <v>54546</v>
      </c>
      <c r="J52" s="2" t="s">
        <v>78</v>
      </c>
    </row>
    <row r="53" spans="2:10" x14ac:dyDescent="0.2">
      <c r="B53" s="2" t="s">
        <v>67</v>
      </c>
      <c r="F53" s="2" t="s">
        <v>58</v>
      </c>
      <c r="H53" s="45">
        <v>16077</v>
      </c>
      <c r="J53" s="2" t="s">
        <v>78</v>
      </c>
    </row>
    <row r="54" spans="2:10" x14ac:dyDescent="0.2">
      <c r="B54" s="2" t="s">
        <v>68</v>
      </c>
      <c r="F54" s="2" t="s">
        <v>58</v>
      </c>
      <c r="H54" s="45">
        <v>42100</v>
      </c>
      <c r="J54" s="2" t="s">
        <v>78</v>
      </c>
    </row>
    <row r="55" spans="2:10" x14ac:dyDescent="0.2">
      <c r="B55" s="2" t="s">
        <v>69</v>
      </c>
      <c r="F55" s="2" t="s">
        <v>58</v>
      </c>
      <c r="H55" s="45">
        <v>87700</v>
      </c>
      <c r="J55" s="2" t="s">
        <v>78</v>
      </c>
    </row>
    <row r="56" spans="2:10" x14ac:dyDescent="0.2">
      <c r="B56" s="2" t="s">
        <v>70</v>
      </c>
      <c r="F56" s="2" t="s">
        <v>58</v>
      </c>
      <c r="H56" s="45">
        <v>43700</v>
      </c>
      <c r="J56" s="2" t="s">
        <v>78</v>
      </c>
    </row>
    <row r="57" spans="2:10" x14ac:dyDescent="0.2">
      <c r="B57" s="2" t="s">
        <v>71</v>
      </c>
      <c r="F57" s="2" t="s">
        <v>58</v>
      </c>
      <c r="H57" s="45">
        <v>57423</v>
      </c>
      <c r="J57" s="2" t="s">
        <v>78</v>
      </c>
    </row>
    <row r="58" spans="2:10" x14ac:dyDescent="0.2">
      <c r="B58" s="2" t="s">
        <v>72</v>
      </c>
      <c r="F58" s="2" t="s">
        <v>58</v>
      </c>
      <c r="H58" s="45">
        <v>73077</v>
      </c>
      <c r="J58" s="2" t="s">
        <v>78</v>
      </c>
    </row>
    <row r="59" spans="2:10" x14ac:dyDescent="0.2">
      <c r="B59" s="2" t="s">
        <v>73</v>
      </c>
      <c r="F59" s="2" t="s">
        <v>58</v>
      </c>
      <c r="H59" s="45">
        <v>87900</v>
      </c>
      <c r="J59" s="2" t="s">
        <v>78</v>
      </c>
    </row>
    <row r="60" spans="2:10" x14ac:dyDescent="0.2">
      <c r="B60" s="2" t="s">
        <v>74</v>
      </c>
      <c r="F60" s="2" t="s">
        <v>58</v>
      </c>
      <c r="H60" s="45">
        <v>32700</v>
      </c>
      <c r="J60" s="2" t="s">
        <v>78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4"/>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O32"/>
  <sheetViews>
    <sheetView showGridLines="0" zoomScale="85" zoomScaleNormal="85" workbookViewId="0">
      <pane xSplit="6" ySplit="12" topLeftCell="G13" activePane="bottomRight" state="frozen"/>
      <selection activeCell="R6" sqref="R6"/>
      <selection pane="topRight" activeCell="R6" sqref="R6"/>
      <selection pane="bottomLeft" activeCell="R6" sqref="R6"/>
      <selection pane="bottomRight" activeCell="G13" sqref="G13"/>
    </sheetView>
  </sheetViews>
  <sheetFormatPr defaultRowHeight="12.75" x14ac:dyDescent="0.2"/>
  <cols>
    <col min="1" max="1" width="4.7109375" style="2" customWidth="1"/>
    <col min="2" max="2" width="41.42578125" style="2" customWidth="1"/>
    <col min="3" max="3" width="4.7109375" style="2" customWidth="1"/>
    <col min="4" max="5" width="4.5703125" style="2" customWidth="1"/>
    <col min="6" max="6" width="13.7109375" style="2" customWidth="1"/>
    <col min="7" max="7" width="2.7109375" style="2" customWidth="1"/>
    <col min="8" max="10" width="13.7109375" style="2" customWidth="1"/>
    <col min="11" max="11" width="2.7109375" style="2" customWidth="1"/>
    <col min="12" max="12" width="28.85546875" style="2" customWidth="1"/>
    <col min="13" max="13" width="2.7109375" style="2" customWidth="1"/>
    <col min="14" max="23" width="12.5703125" style="2" customWidth="1"/>
    <col min="24" max="26" width="2.7109375" style="2" customWidth="1"/>
    <col min="27" max="41" width="13.7109375" style="2" customWidth="1"/>
    <col min="42" max="16384" width="9.140625" style="2"/>
  </cols>
  <sheetData>
    <row r="2" spans="2:15" s="22" customFormat="1" ht="18" x14ac:dyDescent="0.2">
      <c r="B2" s="22" t="s">
        <v>90</v>
      </c>
    </row>
    <row r="4" spans="2:15" x14ac:dyDescent="0.2">
      <c r="B4" s="29" t="s">
        <v>85</v>
      </c>
      <c r="C4" s="1"/>
      <c r="D4" s="1"/>
    </row>
    <row r="5" spans="2:15" x14ac:dyDescent="0.2">
      <c r="B5" s="25" t="s">
        <v>184</v>
      </c>
      <c r="C5" s="3"/>
      <c r="D5" s="3"/>
      <c r="H5" s="23"/>
      <c r="I5" s="23"/>
      <c r="J5" s="23"/>
    </row>
    <row r="6" spans="2:15" x14ac:dyDescent="0.2">
      <c r="B6" s="25"/>
      <c r="C6" s="3"/>
      <c r="D6" s="3"/>
      <c r="H6" s="23"/>
      <c r="I6" s="23"/>
      <c r="J6" s="23"/>
    </row>
    <row r="7" spans="2:15" x14ac:dyDescent="0.2">
      <c r="B7" s="30" t="s">
        <v>55</v>
      </c>
      <c r="C7" s="3"/>
      <c r="D7" s="3"/>
      <c r="H7" s="23"/>
      <c r="I7" s="23"/>
      <c r="J7" s="23"/>
    </row>
    <row r="8" spans="2:15" x14ac:dyDescent="0.2">
      <c r="B8" s="5" t="s">
        <v>185</v>
      </c>
      <c r="C8" s="3"/>
      <c r="D8" s="3"/>
    </row>
    <row r="9" spans="2:15" x14ac:dyDescent="0.2">
      <c r="B9" s="5"/>
      <c r="C9" s="3"/>
      <c r="D9" s="3"/>
    </row>
    <row r="11" spans="2:15" s="9" customFormat="1" ht="25.5" x14ac:dyDescent="0.2">
      <c r="B11" s="9" t="s">
        <v>4</v>
      </c>
      <c r="H11" s="9" t="s">
        <v>6</v>
      </c>
      <c r="I11" s="52" t="s">
        <v>87</v>
      </c>
      <c r="J11" s="52" t="s">
        <v>88</v>
      </c>
      <c r="L11" s="52" t="s">
        <v>89</v>
      </c>
      <c r="O11" s="9" t="s">
        <v>8</v>
      </c>
    </row>
    <row r="14" spans="2:15" s="9" customFormat="1" x14ac:dyDescent="0.2">
      <c r="B14" s="9" t="s">
        <v>86</v>
      </c>
    </row>
    <row r="16" spans="2:15" x14ac:dyDescent="0.2">
      <c r="B16" s="51" t="str">
        <f>'Input fuel invoice data'!B24</f>
        <v>September_1 (14/09/2018)</v>
      </c>
      <c r="I16" s="54">
        <f>'Input fuel invoice data'!H24</f>
        <v>0.8296</v>
      </c>
      <c r="J16" s="55">
        <f>'Input fuel invoice data'!H44</f>
        <v>86800</v>
      </c>
      <c r="L16" s="56">
        <f>SUMPRODUCT(I16,J16)/SUM(J16)</f>
        <v>0.8296</v>
      </c>
    </row>
    <row r="17" spans="2:12" x14ac:dyDescent="0.2">
      <c r="B17" s="51" t="str">
        <f>'Input fuel invoice data'!B25</f>
        <v>October_1 (02/10/2018)</v>
      </c>
      <c r="I17" s="54">
        <f>'Input fuel invoice data'!H25</f>
        <v>0.8296</v>
      </c>
      <c r="J17" s="55">
        <f>'Input fuel invoice data'!H45</f>
        <v>69068</v>
      </c>
    </row>
    <row r="18" spans="2:12" x14ac:dyDescent="0.2">
      <c r="B18" s="51" t="str">
        <f>'Input fuel invoice data'!B26</f>
        <v>October_2 (02/10/2018)</v>
      </c>
      <c r="I18" s="54">
        <f>'Input fuel invoice data'!H26</f>
        <v>0.85209999999999997</v>
      </c>
      <c r="J18" s="55">
        <f>'Input fuel invoice data'!H46</f>
        <v>19132</v>
      </c>
    </row>
    <row r="19" spans="2:12" x14ac:dyDescent="0.2">
      <c r="B19" s="51" t="str">
        <f>'Input fuel invoice data'!B27</f>
        <v>October_3 (12/10/2018)</v>
      </c>
      <c r="I19" s="54">
        <f>'Input fuel invoice data'!H27</f>
        <v>0.85209999999999997</v>
      </c>
      <c r="J19" s="55">
        <f>'Input fuel invoice data'!H47</f>
        <v>81000</v>
      </c>
      <c r="L19" s="56">
        <f>SUMPRODUCT(I17:I19,J17:J19)/SUM(J17:J19)</f>
        <v>0.84291542553191479</v>
      </c>
    </row>
    <row r="20" spans="2:12" x14ac:dyDescent="0.2">
      <c r="B20" s="51" t="str">
        <f>'Input fuel invoice data'!B28</f>
        <v>November_1 (14/11/2018)</v>
      </c>
      <c r="I20" s="54">
        <f>'Input fuel invoice data'!H28</f>
        <v>0.85209999999999997</v>
      </c>
      <c r="J20" s="55">
        <f>'Input fuel invoice data'!H48</f>
        <v>52357</v>
      </c>
    </row>
    <row r="21" spans="2:12" x14ac:dyDescent="0.2">
      <c r="B21" s="51" t="str">
        <f>'Input fuel invoice data'!B29</f>
        <v>November_2 (14/11/2018)</v>
      </c>
      <c r="I21" s="54">
        <f>'Input fuel invoice data'!H29</f>
        <v>0.87470000000000003</v>
      </c>
      <c r="J21" s="55">
        <f>'Input fuel invoice data'!H49</f>
        <v>40643</v>
      </c>
    </row>
    <row r="22" spans="2:12" x14ac:dyDescent="0.2">
      <c r="B22" s="51" t="str">
        <f>'Input fuel invoice data'!B30</f>
        <v>November_3 (15/11/2018)</v>
      </c>
      <c r="I22" s="54">
        <f>'Input fuel invoice data'!H30</f>
        <v>0.87470000000000003</v>
      </c>
      <c r="J22" s="55">
        <f>'Input fuel invoice data'!H50</f>
        <v>82600</v>
      </c>
    </row>
    <row r="23" spans="2:12" x14ac:dyDescent="0.2">
      <c r="B23" s="51" t="str">
        <f>'Input fuel invoice data'!B31</f>
        <v>November_4 (26/11/2018)</v>
      </c>
      <c r="I23" s="54">
        <f>'Input fuel invoice data'!H31</f>
        <v>0.87470000000000003</v>
      </c>
      <c r="J23" s="55">
        <f>'Input fuel invoice data'!H51</f>
        <v>64200</v>
      </c>
      <c r="L23" s="56">
        <f>SUMPRODUCT(I20:I23,J20:J23)/SUM(J20:J23)</f>
        <v>0.86976560383653045</v>
      </c>
    </row>
    <row r="24" spans="2:12" x14ac:dyDescent="0.2">
      <c r="B24" s="51" t="str">
        <f>'Input fuel invoice data'!B32</f>
        <v>December_1 (10/12/2018)</v>
      </c>
      <c r="I24" s="54">
        <f>'Input fuel invoice data'!H32</f>
        <v>0.87470000000000003</v>
      </c>
      <c r="J24" s="55">
        <f>'Input fuel invoice data'!H52</f>
        <v>54546</v>
      </c>
    </row>
    <row r="25" spans="2:12" x14ac:dyDescent="0.2">
      <c r="B25" s="51" t="str">
        <f>'Input fuel invoice data'!B33</f>
        <v>December_2 (10/12/2018)</v>
      </c>
      <c r="I25" s="54">
        <f>'Input fuel invoice data'!H33</f>
        <v>0.82669999999999999</v>
      </c>
      <c r="J25" s="55">
        <f>'Input fuel invoice data'!H53</f>
        <v>16077</v>
      </c>
    </row>
    <row r="26" spans="2:12" x14ac:dyDescent="0.2">
      <c r="B26" s="51" t="str">
        <f>'Input fuel invoice data'!B34</f>
        <v>December_3 (11/12/2018)</v>
      </c>
      <c r="I26" s="54">
        <f>'Input fuel invoice data'!H34</f>
        <v>0.82669999999999999</v>
      </c>
      <c r="J26" s="55">
        <f>'Input fuel invoice data'!H54</f>
        <v>42100</v>
      </c>
    </row>
    <row r="27" spans="2:12" x14ac:dyDescent="0.2">
      <c r="B27" s="51" t="str">
        <f>'Input fuel invoice data'!B35</f>
        <v>December_4 (28/12/2018)</v>
      </c>
      <c r="I27" s="54">
        <f>'Input fuel invoice data'!H35</f>
        <v>0.82669999999999999</v>
      </c>
      <c r="J27" s="55">
        <f>'Input fuel invoice data'!H55</f>
        <v>87700</v>
      </c>
      <c r="L27" s="56">
        <f>SUMPRODUCT(I24:I27,J24:J27)/SUM(J24:J27)</f>
        <v>0.83976341088597617</v>
      </c>
    </row>
    <row r="28" spans="2:12" x14ac:dyDescent="0.2">
      <c r="B28" s="51" t="str">
        <f>'Input fuel invoice data'!B36</f>
        <v>January_1 (08/01/2019)</v>
      </c>
      <c r="I28" s="54">
        <f>'Input fuel invoice data'!H36</f>
        <v>0.82669999999999999</v>
      </c>
      <c r="J28" s="55">
        <f>'Input fuel invoice data'!H56</f>
        <v>43700</v>
      </c>
      <c r="L28" s="56">
        <f>SUMPRODUCT(I28,J28)/SUM(J28)</f>
        <v>0.82669999999999999</v>
      </c>
    </row>
    <row r="29" spans="2:12" x14ac:dyDescent="0.2">
      <c r="B29" s="51" t="str">
        <f>'Input fuel invoice data'!B37</f>
        <v>February_1 (01/02/2019)</v>
      </c>
      <c r="I29" s="54">
        <f>'Input fuel invoice data'!H37</f>
        <v>0.82669999999999999</v>
      </c>
      <c r="J29" s="55">
        <f>'Input fuel invoice data'!H57</f>
        <v>57423</v>
      </c>
    </row>
    <row r="30" spans="2:12" x14ac:dyDescent="0.2">
      <c r="B30" s="51" t="str">
        <f>'Input fuel invoice data'!B38</f>
        <v>February_2 (01/02/2019)</v>
      </c>
      <c r="I30" s="54">
        <f>'Input fuel invoice data'!H38</f>
        <v>0.78720000000000001</v>
      </c>
      <c r="J30" s="55">
        <f>'Input fuel invoice data'!H58</f>
        <v>73077</v>
      </c>
    </row>
    <row r="31" spans="2:12" x14ac:dyDescent="0.2">
      <c r="B31" s="51" t="str">
        <f>'Input fuel invoice data'!B39</f>
        <v>February_3 (26/02/2019)</v>
      </c>
      <c r="I31" s="54">
        <f>'Input fuel invoice data'!H39</f>
        <v>0.78720000000000001</v>
      </c>
      <c r="J31" s="55">
        <f>'Input fuel invoice data'!H59</f>
        <v>87900</v>
      </c>
    </row>
    <row r="32" spans="2:12" x14ac:dyDescent="0.2">
      <c r="B32" s="51" t="str">
        <f>'Input fuel invoice data'!B40</f>
        <v>February_4 (27/02/2019)</v>
      </c>
      <c r="I32" s="54">
        <f>'Input fuel invoice data'!H40</f>
        <v>0.78720000000000001</v>
      </c>
      <c r="J32" s="55">
        <f>'Input fuel invoice data'!H60</f>
        <v>32700</v>
      </c>
      <c r="L32" s="56">
        <f>SUMPRODUCT(I29:I32,J29:J32)/SUM(J29:J32)</f>
        <v>0.79623308841099172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Title page</vt:lpstr>
      <vt:lpstr>Explanation</vt:lpstr>
      <vt:lpstr>Sources and applications</vt:lpstr>
      <vt:lpstr>Tariff as of July 1, 2019</vt:lpstr>
      <vt:lpstr>Input --&gt;</vt:lpstr>
      <vt:lpstr>Input production data</vt:lpstr>
      <vt:lpstr>Input fuel invoice data</vt:lpstr>
      <vt:lpstr>Calculations --&gt;</vt:lpstr>
      <vt:lpstr>Monthly fuel price</vt:lpstr>
      <vt:lpstr>Fuel price correction</vt:lpstr>
      <vt:lpstr>New estimated production price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2019-06-21T13:26:18Z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