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bookViews>
  <sheets>
    <sheet name="Titelblad" sheetId="9" r:id="rId1"/>
    <sheet name="Toelichting" sheetId="10" r:id="rId2"/>
    <sheet name="Bronnen en toepassingen" sheetId="11" r:id="rId3"/>
    <sheet name="Var. gebruikstarief 1juli 2019" sheetId="21" r:id="rId4"/>
    <sheet name="Input --&gt;" sheetId="13" r:id="rId5"/>
    <sheet name="Gegevens brandstof en productie" sheetId="18" r:id="rId6"/>
    <sheet name="Berekeningen --&gt;" sheetId="15" r:id="rId7"/>
    <sheet name="Inkoopcorrectie brandstof" sheetId="22" r:id="rId8"/>
    <sheet name="Schatting productieprijzen" sheetId="24" r:id="rId9"/>
  </sheets>
  <calcPr calcId="145621"/>
</workbook>
</file>

<file path=xl/calcChain.xml><?xml version="1.0" encoding="utf-8"?>
<calcChain xmlns="http://schemas.openxmlformats.org/spreadsheetml/2006/main">
  <c r="H25" i="21" l="1"/>
  <c r="H24" i="21"/>
  <c r="H20" i="21" l="1"/>
  <c r="H16" i="24" l="1"/>
  <c r="H15" i="24"/>
  <c r="H14" i="24"/>
  <c r="H28" i="24"/>
  <c r="H32" i="24"/>
  <c r="H26" i="24"/>
  <c r="H23" i="24"/>
  <c r="H22" i="24"/>
  <c r="H21" i="24"/>
  <c r="H20" i="24"/>
  <c r="H31" i="24"/>
  <c r="H19" i="24"/>
  <c r="H27" i="24"/>
  <c r="H38" i="24" l="1"/>
  <c r="H39" i="24" s="1"/>
  <c r="H47" i="24"/>
  <c r="H40" i="24"/>
  <c r="H46" i="24" l="1"/>
  <c r="H48" i="24" s="1"/>
  <c r="H77" i="22"/>
  <c r="H19" i="21" l="1"/>
  <c r="H19" i="22"/>
  <c r="H18" i="22"/>
  <c r="H17" i="22" l="1"/>
  <c r="H16" i="22"/>
  <c r="O48" i="22" l="1"/>
  <c r="P48" i="22"/>
  <c r="Q48" i="22"/>
  <c r="R48" i="22"/>
  <c r="S48" i="22"/>
  <c r="N48" i="22"/>
  <c r="M15" i="22"/>
  <c r="O50" i="22" s="1"/>
  <c r="N15" i="22"/>
  <c r="P50" i="22" s="1"/>
  <c r="O15" i="22"/>
  <c r="Q50" i="22" s="1"/>
  <c r="P15" i="22"/>
  <c r="R50" i="22" s="1"/>
  <c r="Q15" i="22"/>
  <c r="S50" i="22" s="1"/>
  <c r="L15" i="22"/>
  <c r="N50" i="22" s="1"/>
  <c r="H31" i="22"/>
  <c r="S57" i="22" s="1"/>
  <c r="H30" i="22"/>
  <c r="O57" i="22" s="1"/>
  <c r="H25" i="22"/>
  <c r="S55" i="22" s="1"/>
  <c r="H24" i="22"/>
  <c r="O55" i="22" s="1"/>
  <c r="H37" i="22"/>
  <c r="H29" i="22"/>
  <c r="H28" i="22"/>
  <c r="H35" i="22"/>
  <c r="Q44" i="22" s="1"/>
  <c r="H34" i="22"/>
  <c r="O44" i="22" s="1"/>
  <c r="H23" i="22"/>
  <c r="H22" i="22"/>
  <c r="N54" i="22" s="1"/>
  <c r="O47" i="22"/>
  <c r="P47" i="22"/>
  <c r="Q47" i="22"/>
  <c r="R47" i="22"/>
  <c r="S47" i="22"/>
  <c r="N47" i="22"/>
  <c r="O43" i="22"/>
  <c r="P43" i="22"/>
  <c r="Q43" i="22"/>
  <c r="R43" i="22"/>
  <c r="S43" i="22"/>
  <c r="N43" i="22"/>
  <c r="P54" i="22" l="1"/>
  <c r="H76" i="22"/>
  <c r="H78" i="22" s="1"/>
  <c r="H15" i="21" s="1"/>
  <c r="O49" i="22"/>
  <c r="P66" i="22"/>
  <c r="Q49" i="22"/>
  <c r="N57" i="22"/>
  <c r="N66" i="22"/>
  <c r="P57" i="22"/>
  <c r="P55" i="22"/>
  <c r="Q55" i="22"/>
  <c r="R55" i="22"/>
  <c r="N55" i="22"/>
  <c r="R57" i="22"/>
  <c r="S54" i="22"/>
  <c r="N44" i="22"/>
  <c r="N49" i="22" s="1"/>
  <c r="N51" i="22" s="1"/>
  <c r="N63" i="22" s="1"/>
  <c r="S66" i="22"/>
  <c r="O66" i="22"/>
  <c r="Q57" i="22"/>
  <c r="R66" i="22"/>
  <c r="Q66" i="22"/>
  <c r="O54" i="22"/>
  <c r="N56" i="22"/>
  <c r="O56" i="22"/>
  <c r="Q54" i="22"/>
  <c r="Q51" i="22"/>
  <c r="Q63" i="22" s="1"/>
  <c r="Q56" i="22"/>
  <c r="R56" i="22"/>
  <c r="R54" i="22"/>
  <c r="S56" i="22"/>
  <c r="P56" i="22"/>
  <c r="O51" i="22"/>
  <c r="O63" i="22" s="1"/>
  <c r="R44" i="22"/>
  <c r="R49" i="22" s="1"/>
  <c r="S44" i="22"/>
  <c r="S49" i="22" s="1"/>
  <c r="P44" i="22"/>
  <c r="S58" i="22" l="1"/>
  <c r="S64" i="22" s="1"/>
  <c r="P58" i="22"/>
  <c r="P64" i="22" s="1"/>
  <c r="N58" i="22"/>
  <c r="N64" i="22" s="1"/>
  <c r="N65" i="22" s="1"/>
  <c r="N67" i="22" s="1"/>
  <c r="P49" i="22"/>
  <c r="P51" i="22" s="1"/>
  <c r="P63" i="22" s="1"/>
  <c r="O58" i="22"/>
  <c r="O64" i="22" s="1"/>
  <c r="O65" i="22" s="1"/>
  <c r="O67" i="22" s="1"/>
  <c r="R58" i="22"/>
  <c r="R64" i="22" s="1"/>
  <c r="Q58" i="22"/>
  <c r="Q64" i="22" s="1"/>
  <c r="Q65" i="22" s="1"/>
  <c r="Q67" i="22" s="1"/>
  <c r="R51" i="22"/>
  <c r="R63" i="22" s="1"/>
  <c r="S51" i="22"/>
  <c r="S63" i="22" s="1"/>
  <c r="S65" i="22" s="1"/>
  <c r="S67" i="22" s="1"/>
  <c r="P65" i="22" l="1"/>
  <c r="P67" i="22" s="1"/>
  <c r="R65" i="22"/>
  <c r="R67" i="22" s="1"/>
  <c r="H69" i="22"/>
  <c r="H70" i="22" l="1"/>
  <c r="H71" i="22" s="1"/>
  <c r="H14" i="21" s="1"/>
  <c r="H16" i="21" s="1"/>
  <c r="H21" i="21" l="1"/>
  <c r="H26" i="21"/>
  <c r="B30" i="10"/>
  <c r="B18" i="10" l="1"/>
  <c r="B25" i="10" s="1"/>
  <c r="B19" i="10" l="1"/>
  <c r="B20" i="10" l="1"/>
  <c r="B24" i="10" s="1"/>
</calcChain>
</file>

<file path=xl/comments1.xml><?xml version="1.0" encoding="utf-8"?>
<comments xmlns="http://schemas.openxmlformats.org/spreadsheetml/2006/main">
  <authors>
    <author>Auteur</author>
  </authors>
  <commentList>
    <comment ref="B24"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<sst xmlns="http://schemas.openxmlformats.org/spreadsheetml/2006/main" count="438" uniqueCount="278">
  <si>
    <t>Titelblad</t>
  </si>
  <si>
    <t>Over dit bestand</t>
  </si>
  <si>
    <t>Zaaknummer</t>
  </si>
  <si>
    <t>Titel</t>
  </si>
  <si>
    <t>Hoort bij besluit(en):</t>
  </si>
  <si>
    <t>Kenmerk besluit(en)</t>
  </si>
  <si>
    <t>Over de status van dit bestand</t>
  </si>
  <si>
    <t>Definitief? (j/n)</t>
  </si>
  <si>
    <t>Juridisch integraal onderdeel van bovenstaande besluit(en) (j/n)?</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</si>
  <si>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</si>
  <si>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</si>
  <si>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</si>
  <si>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</si>
  <si>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</si>
  <si>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</si>
  <si>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</si>
  <si>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</si>
  <si>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</si>
  <si>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</si>
  <si>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</si>
  <si>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</si>
  <si>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</si>
  <si>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</si>
  <si>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</si>
  <si>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</si>
  <si>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</si>
  <si>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</si>
  <si>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</si>
  <si>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</si>
  <si>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</si>
  <si>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</si>
  <si>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</si>
  <si>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</si>
  <si>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</si>
  <si>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</si>
  <si>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</si>
  <si>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</si>
  <si>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</si>
  <si>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</si>
  <si>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</si>
  <si>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</si>
  <si>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</si>
  <si>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</si>
  <si>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</si>
  <si>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</si>
  <si>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</si>
  <si>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</si>
  <si>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</si>
  <si>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</si>
  <si>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</si>
  <si>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</si>
  <si>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</si>
  <si>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</si>
  <si>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Aanvullende gegevens bestand extern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</si>
  <si>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</si>
  <si>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</si>
  <si>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</si>
  <si>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</si>
  <si>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</si>
  <si>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</si>
  <si>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</si>
  <si>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</si>
  <si>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</si>
  <si>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</si>
  <si>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</si>
  <si>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</si>
  <si>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</si>
  <si>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</si>
  <si>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USD, pp 2018</t>
  </si>
  <si>
    <t>kWh</t>
  </si>
  <si>
    <t>Brandstofcorrectie per kWh</t>
  </si>
  <si>
    <t>USD, pp 2019 / kWh</t>
  </si>
  <si>
    <t>Netverliespercentage</t>
  </si>
  <si>
    <t>%</t>
  </si>
  <si>
    <t>september 2018</t>
  </si>
  <si>
    <t>oktober 2018</t>
  </si>
  <si>
    <t>USD/kWh</t>
  </si>
  <si>
    <t>USD/liter</t>
  </si>
  <si>
    <t>Gerealiseerde volumes (eigen productie + inkoop bij CG)</t>
  </si>
  <si>
    <t>Nacalculatie inkoop brandstofcoponent voor distributeur WEB (november 2018 - april 2019)</t>
  </si>
  <si>
    <t>Berekening nacalculatiebedrag inkoopcorrectie brandstofcomponent voor distributeur WEB (november 2018 - april 2019)</t>
  </si>
  <si>
    <t>Totaal bedrag nacalculatie</t>
  </si>
  <si>
    <t>Bedrag inkoopcorrectie brandstofcomponent per maand</t>
  </si>
  <si>
    <t>USD</t>
  </si>
  <si>
    <t>Bedrag nacalculatie voor november en december 2018</t>
  </si>
  <si>
    <t>Bedrag nacalculatie voor januari - april 2019</t>
  </si>
  <si>
    <t>USD, pp 2019</t>
  </si>
  <si>
    <t>november 2018</t>
  </si>
  <si>
    <t>december 2018</t>
  </si>
  <si>
    <t>januari 2019</t>
  </si>
  <si>
    <t>februari 2019</t>
  </si>
  <si>
    <t>maart 2019</t>
  </si>
  <si>
    <t>april 2019</t>
  </si>
  <si>
    <t>Geschatte gewogen gemiddelde brandstofcomponent</t>
  </si>
  <si>
    <t>Gerealiseerde gewogen gemiddelde brandstofcomponent</t>
  </si>
  <si>
    <t>Verschil tussen gerealiseerde en geschatte brandstofcomponent</t>
  </si>
  <si>
    <t>Gefactureerde brandstofcomponent CG</t>
  </si>
  <si>
    <t>Brandstofcomponent WEB (interne verrekenprijs)</t>
  </si>
  <si>
    <t>Berekening gerealiseerde gewogen gemiddelde brandstofcomponent</t>
  </si>
  <si>
    <t>Berekening geschatte gewogen gemiddelde brandstofcomponent</t>
  </si>
  <si>
    <t>Geschatte brandstofcomponent CG (o.b.v. tarievenbeschikking)</t>
  </si>
  <si>
    <t>Geschatte brandstofcomponent WEB (o.b.v. tarievenbeschikking)</t>
  </si>
  <si>
    <t>Gerealiseerde inkoopprijs brandstof WEB</t>
  </si>
  <si>
    <t>liter/kWh</t>
  </si>
  <si>
    <t>Berekening geschatte en gerealiseerde brandstofcomponenten</t>
  </si>
  <si>
    <t>Geschatte productieniveaus WEB en CG</t>
  </si>
  <si>
    <t>Geschatte totale productie CG voor 2018</t>
  </si>
  <si>
    <t>Geschatte totale productie CG voor 2019</t>
  </si>
  <si>
    <t>Geschatte totale productie WEB voor 2018</t>
  </si>
  <si>
    <t>Geschatte totale productie WEB voor 2019</t>
  </si>
  <si>
    <t>Geschatte inflatie voor 2019</t>
  </si>
  <si>
    <t>Gegevens over brandstofprijzen en productie</t>
  </si>
  <si>
    <t>Geschatte brandstofcomponenten (o.b.v. tarievenbeschikkingen)</t>
  </si>
  <si>
    <t>Geschatte brandstofcomponent CG voor juli - dec 2018</t>
  </si>
  <si>
    <t>Geschatte brandstofcomponent CG voor jan - juni 2019</t>
  </si>
  <si>
    <t>Geschatte brandstofcomponent WEB voor juli - dec 2018</t>
  </si>
  <si>
    <t>Geschatte brandstofcomponent WEB voor jan - juni 2019</t>
  </si>
  <si>
    <t>Data van CG over productie</t>
  </si>
  <si>
    <t>Gefactureerde productieprijs CG</t>
  </si>
  <si>
    <t>Vastgestelde gegevens over CG (o.b.v. tarievenbeschikkingen)</t>
  </si>
  <si>
    <t>Gefactureerde productieprijs</t>
  </si>
  <si>
    <t>Vastgestelde productieprijs CG</t>
  </si>
  <si>
    <t>Geschatte inflatie voor 2019 (voor Bonaire)</t>
  </si>
  <si>
    <t>Geschat brandstofrendement productie WEB voor 2018</t>
  </si>
  <si>
    <t>Geschat brandstofrendement productie WEB voor 2019</t>
  </si>
  <si>
    <t>Data van WEB over productie</t>
  </si>
  <si>
    <t>Vastgestelde gegevens over WEB (o.b.v. tarievenbeschikkingen)</t>
  </si>
  <si>
    <t>Gerealiseerde inkoop brandstof en productie WEB</t>
  </si>
  <si>
    <t>Gerealiseerde totale productie WEB (incl. hernieuwbaar)</t>
  </si>
  <si>
    <t>Gerealiseerde totale productie CG (incl. hernieuwbaar)</t>
  </si>
  <si>
    <t>[1]</t>
  </si>
  <si>
    <t>[2]</t>
  </si>
  <si>
    <t>Cbs data over inflatie</t>
  </si>
  <si>
    <t>[3]</t>
  </si>
  <si>
    <t>[4]</t>
  </si>
  <si>
    <t>Gerealiseerde productie en brandstofcomponent</t>
  </si>
  <si>
    <t>Gerealiseerde totale productie CG (per maand)</t>
  </si>
  <si>
    <t>Gerealiseerde totale productie WEB (per maand)</t>
  </si>
  <si>
    <t>Geschatte totale productie CG (jaartotaal voor deze maand)</t>
  </si>
  <si>
    <t>Geschatte totale productie WEB (jaartotaal voor deze maand)</t>
  </si>
  <si>
    <t>ACM/UIT/495886</t>
  </si>
  <si>
    <t>[5], blad 'nieuwe schatting productieprijs', regel 57 min regel 35</t>
  </si>
  <si>
    <t>[5], blad 'nieuwe schatting productieprijs', regel 53</t>
  </si>
  <si>
    <t>[6]</t>
  </si>
  <si>
    <t>[5]</t>
  </si>
  <si>
    <t>https://www.acm.nl/nl/publicaties/rekenmodel-bij-aanpassing-variabel-tarief-elektriciteit-1-juli-2018-bonaire-web-caribisch-nederland</t>
  </si>
  <si>
    <t>[7]</t>
  </si>
  <si>
    <t>[7], blad 'variabel tarief elektriciteit'</t>
  </si>
  <si>
    <t>https://www.acm.nl/nl/publicaties/beschikking-productieprijzen-elektriciteit-2019-bonaire-web-caribisch-nederland</t>
  </si>
  <si>
    <t>Geschat aandeel productie met brandstof WEB voor 2018</t>
  </si>
  <si>
    <t>Geschat aandeel productie met brandstof WEB voor 2019</t>
  </si>
  <si>
    <t>[7], blad 'variabel tarief elektriciteit', regel 16 gedeeld door regel 18</t>
  </si>
  <si>
    <t>Geschatte parameters brandstofgebruik WEB</t>
  </si>
  <si>
    <t>[6], blad 'Berekening tarieven E'</t>
  </si>
  <si>
    <t>[6], blad 'Berekening tarieven E', regel 13 gedeeld door regel 15</t>
  </si>
  <si>
    <t>Rekenmodel 2018 WEB - def</t>
  </si>
  <si>
    <t>ACM/17/023187, ACM/UIT/378365</t>
  </si>
  <si>
    <t>https://www.acm.nl/nl/publicaties/rekenmodel-bij-beschikking-productieprijs-elektriciteit-2018-contourglobal-caribisch-nederland</t>
  </si>
  <si>
    <t>[3], blad 'Calculation production price'</t>
  </si>
  <si>
    <t>https://www.acm.nl/nl/publicaties/beschikking-productieprijzen-elektriciteit-2019-bonaire-contourglobal-caribisch-nederland</t>
  </si>
  <si>
    <t>[4], blad 'Production price 2019'</t>
  </si>
  <si>
    <t>[8]</t>
  </si>
  <si>
    <t>[9]</t>
  </si>
  <si>
    <t>Inschatting productie WEB en productie CG periode 1 juli tot 31 december 2019</t>
  </si>
  <si>
    <t>Inschatting totale productie ContourGlobal en WEB in 2019</t>
  </si>
  <si>
    <t>Verwachting totale productie 1 juli tot 31 december 2019</t>
  </si>
  <si>
    <t xml:space="preserve">Overige gegevens </t>
  </si>
  <si>
    <t>Aandeel verwachte jaarproductie in jan - juni 2019</t>
  </si>
  <si>
    <t>Geschatte aandeel productie met brandstof voor 2019</t>
  </si>
  <si>
    <t>barrel/kWh</t>
  </si>
  <si>
    <t>Geschatte aandeel eerste half jaar in totale eilandvraag Bonaire 2019</t>
  </si>
  <si>
    <t>NB: deze is uitsluitend vastgesteld i.h.k.v. tarief voor WEB 2018</t>
  </si>
  <si>
    <t>Nieuwe inschatting van productieprijzen CG en WEB per 1 juli 2019, t.b.v. variabel gebruikstarief WEB per 1 juli 2019</t>
  </si>
  <si>
    <t>Berekening geschatte brandstofcomponenten</t>
  </si>
  <si>
    <t>Berekening brandstofcomponenten voor juli - dec 2019</t>
  </si>
  <si>
    <t>Meeste recente brandstofprijzen</t>
  </si>
  <si>
    <t>Brandstofprijs LFO WEB mei 2019</t>
  </si>
  <si>
    <t>Brandstofprijs HFO CG mei 2019</t>
  </si>
  <si>
    <t>Brandstofprijs LFO CG mei 2019</t>
  </si>
  <si>
    <t>USD/barrel</t>
  </si>
  <si>
    <t>Parameters brandstofverbruik CG voor 2019</t>
  </si>
  <si>
    <t>Geschatte aandeel productie met HFO voor 2019 (binnen deel brandstofproductie)</t>
  </si>
  <si>
    <t>Parameters brandstofverbruik WEB voor 2019</t>
  </si>
  <si>
    <t>Geschatte brandstofrendement LFO WEB voor 2019</t>
  </si>
  <si>
    <t xml:space="preserve">Meest recente brandstofprijzen voor CG en WEB </t>
  </si>
  <si>
    <t>Geschatte brandstofcomponent productieprijs CG voor juli - dec 2019</t>
  </si>
  <si>
    <t>Geschatte brandstofcomponent productieprijs WEB voor juli - dec 2019</t>
  </si>
  <si>
    <t>Berekening geschatte gewogen gemiddelde productieprijs voor WEB voor juli - dec 2019</t>
  </si>
  <si>
    <t>[4], blad 'Cost base production price 2019', regel 90</t>
  </si>
  <si>
    <t>[4], blad 'Cost base production price 2019', regel 87</t>
  </si>
  <si>
    <t>Gewogen gemiddelde brandstofprijs (in barrels) over HFO en LFO productie CG</t>
  </si>
  <si>
    <t>Aantal liter in een barrel</t>
  </si>
  <si>
    <t>liter</t>
  </si>
  <si>
    <t>Geschatte gewogen gemiddelde brandstofrendement over HFO en LFO voor 2019</t>
  </si>
  <si>
    <t>[4], blad 'Est. Production and costs 2019'</t>
  </si>
  <si>
    <t>[4], blad 'Realized fuel costs'</t>
  </si>
  <si>
    <t>[11]</t>
  </si>
  <si>
    <t>Netverliespercentage voor WEB zoals vastgesteld in tarievenbeschikking 2019</t>
  </si>
  <si>
    <t>Berekening variabel gebruikstarief WEB elektriciteit per 1 juli 2019</t>
  </si>
  <si>
    <t>Nieuwe schatting gewogen gemiddelde productieprijs per 1 juli 2019</t>
  </si>
  <si>
    <t>Totale distributievolume 2e helft 2019</t>
  </si>
  <si>
    <t xml:space="preserve">USD, pp 2019 </t>
  </si>
  <si>
    <t>Berekening variabele gebruikstarief per 1 juli 2019</t>
  </si>
  <si>
    <t>calculation_model_for_ContourLGobal_electricity_price_2018</t>
  </si>
  <si>
    <t>rekenmodel-contourglobal-2019</t>
  </si>
  <si>
    <t>rekenmodel-web-bonaire-variabel-gebruikstarief-juli-dec-2018</t>
  </si>
  <si>
    <t>rekenmodel-web-2019</t>
  </si>
  <si>
    <t>[7], blad 'input volumes'</t>
  </si>
  <si>
    <t>Deze schatting wordt gebaseerd op de mutatie tussen derde kwartaal 2017 en derde kwartaal 2018</t>
  </si>
  <si>
    <t>Gegevens gerealiseerde brandstofcomponent CG (= gefactureerd)</t>
  </si>
  <si>
    <t>positief bedrag = WEB heeft hogere inkoopkosten brandstofcomponent dan geschat, en krijgt hiervoor een bedrag vergoed, dus een positieve nacalculatie</t>
  </si>
  <si>
    <t>Berekening geschatte productieprijs per 1 juli 2019</t>
  </si>
  <si>
    <t>Op basis van geschatte aandelen productie met HFO en LFO</t>
  </si>
  <si>
    <t>Correctie voor brandstofnacalculatie distributeur in variabele gebruikstarief</t>
  </si>
  <si>
    <t>Correctie variabele gebruikstarief vanwege brandstofnacalculatie distributeur</t>
  </si>
  <si>
    <t>Variabele gebruikstarief per 1 juli 2019</t>
  </si>
  <si>
    <t>https://opendata.cbs.nl/statline/#/CBS/nl/dataset/84046NED/table?ts=1558429533908</t>
  </si>
  <si>
    <t>ACM/UIT/361336</t>
  </si>
  <si>
    <t>ACM/18/033335, ACM/UIT/503106</t>
  </si>
  <si>
    <t>ACM/18/033330, ACM/UIT/503799</t>
  </si>
  <si>
    <t>https://www.acm.nl/nl/publicaties/rekenmodel-bij-beschikking-productieprijs-en-distributietarieven-elektriciteit-2018-bonaire-web-caribisch-nederland</t>
  </si>
  <si>
    <t>Beschikking variabel gebruikstarief elektriciteit WEB per 1 juli 2019</t>
  </si>
  <si>
    <t>Berekening variabel gebruikstarief elektriciteit WEB per 1 juli 2019</t>
  </si>
  <si>
    <t>In dit bestand wordt het variabele gebruikstarief voor WEB berekend voor de periode 1 juli 2019 - 31 december 2019</t>
  </si>
  <si>
    <t>Ook vindt een verrekening plaats in het variabele grbuikstarief van de brandstofkosten in de periode daarvoor, dit betreft het verschil tussen de geschatte en werkelijke kosten die de distributeur heeft moeten maken voor het brandstofdeel van de inkoop van de elektriciteit bij de producenten.</t>
  </si>
  <si>
    <t xml:space="preserve">Dit tarief wordt gewijzigd vastgesteld omdat op basis van de reguleringsmethode voor Caribisch Nederland halfjaarlijks een nieuw tarief wordt bepaald op basis van de actuele hoogte van de brandstofkosten voor de producenten. </t>
  </si>
  <si>
    <t>Verdere toelichting op de berekening en keuzes in deze berekening is te vinden in de tariefbeschikking (NB: voor dit concept is deze nog niet beschikbaar).</t>
  </si>
  <si>
    <t>Gegevens over WEB distributeur</t>
  </si>
  <si>
    <t>Pagabontarief elektriciteit  (jan - juni 2019)</t>
  </si>
  <si>
    <t>Variabel distributietarief  (jan - juni 2019)</t>
  </si>
  <si>
    <t>USD, pp 2018 / kWh</t>
  </si>
  <si>
    <t>Overig</t>
  </si>
  <si>
    <t>[7], blad 'overzicht tarieven 2019'</t>
  </si>
  <si>
    <t>Berekening Pagabontarief per 1 juli 2019</t>
  </si>
  <si>
    <t>Pagabontarief per 1 juli 2019</t>
  </si>
  <si>
    <t>De werkelijke kosten die WEB distributeur heeft gehad voor de inkoop van elektriciteit in de maanden november 2018 tot en met april 2019 wijken af van de geschatte kosten, omdat zowel de inkoop bij CG als de eigen productie van WEB producent op maandelijkse basis schommelt door veranderende brandstofprijzen.</t>
  </si>
  <si>
    <t>De ACM calculeert het verschil na dat ontstaan is door de gewijzigde brandstofprijzen in de periode november 2018 - april 2019, WEB distributeur krijgt dit verschil terug via de tarieven in juli tot en met december 2019.</t>
  </si>
  <si>
    <t>Op basis van de meest recente brandstofprijzen en de verwachte aandelen van CG en WEB in de totale productie voor Bonaire, schat de ACM een nieuwe gewogen gemiddelde productieprijs voor de tweede helft van 2019</t>
  </si>
  <si>
    <t>Geschatte gewogen gemiddelde productieprijs per 1 juli 2019</t>
  </si>
  <si>
    <t>Resultaat van deze berekening is een nieuw variabel gebruikstarief per 1 juli 2019, plus een daar uit afgeleid Pagabontarief.</t>
  </si>
  <si>
    <t>Hieronder zijn alle brongegevens opgenomen die de ACM nodig heeft om het nieuwe variabele gebruikstarief per 1 juli 2019 te berekenen. Dit betreft ook gegevens die afkomstig zijn van ContourGlobal Bonaire.</t>
  </si>
  <si>
    <t>Zie de genummerde brongegevens in het bronnenoverzicht voor de herkomst van de data.</t>
  </si>
  <si>
    <t>ACM Information</t>
  </si>
  <si>
    <t>attachment in email from CGB to ACM, 21 mei 2019</t>
  </si>
  <si>
    <t>[12]</t>
  </si>
  <si>
    <t>CGB Invoices November 2018 - April 2019</t>
  </si>
  <si>
    <t>Productieprijzen_WEB_april_2018-juni_2019</t>
  </si>
  <si>
    <t>Komt overeen met door WEB berekende brandstofcomponenten (zie bron [8[)</t>
  </si>
  <si>
    <t>attachment in email (1/5) van WEB aan ACM, 24 mei 2019</t>
  </si>
  <si>
    <t>invoices (6 files) from CGB to WEB, in email (1/5) van WEB aan ACM, 24 mei 2019</t>
  </si>
  <si>
    <t>Productiecijfers Solar en Aggreko Sept 2018 - April 2019</t>
  </si>
  <si>
    <t>Brandstoffacturen van Curoil voor WEB (4 bestanden)</t>
  </si>
  <si>
    <t>[13]</t>
  </si>
  <si>
    <t>invoices (4 bestanden) van Curoil aan WEB, in emails (2-5/5) van WEB aan ACM, 24 mei 2019</t>
  </si>
  <si>
    <t>[8] en [13]</t>
  </si>
  <si>
    <t>Productieprijzen zijn gebaseerd op maandelijke prijzen (maand t-2) voor LFO van Curoil, zoals opgenomen in brandstoffacturen</t>
  </si>
  <si>
    <t>quote_commercial_price_mei_2019</t>
  </si>
  <si>
    <t>Datum ontvangst, versie nr., opmerkingen, externe link</t>
  </si>
  <si>
    <t>Prijs april 2019 (obv bron [2])</t>
  </si>
  <si>
    <t>n.v.t.</t>
  </si>
  <si>
    <t>Deel productieprijs exclusief brandstofcomponent CG voor 2018</t>
  </si>
  <si>
    <t xml:space="preserve">Deel productieprijs exclusief brandstofcomponent CG voor 2019 </t>
  </si>
  <si>
    <t xml:space="preserve">Deel productieprijs exclusief brandstofcomponent WEB voor 2019 </t>
  </si>
  <si>
    <t>Deel productieprijs exclusief brandstofcomponent CG</t>
  </si>
  <si>
    <t>Deel productieprijs exclusief brandstofcomponent CG voor 2019</t>
  </si>
  <si>
    <t>Deel productieprijs exclusief brandstofcomponent WEB voor 2019</t>
  </si>
  <si>
    <t>Deel productieprijs exclusief brandstofcomponent voor 2019</t>
  </si>
  <si>
    <t>Prijs staat tot en met september 2019 vast op gelijk niveau</t>
  </si>
  <si>
    <t>FIN</t>
  </si>
  <si>
    <t>Geschatte gewogen gemiddelde deel productieprijs exclusief brandstofcomponent</t>
  </si>
  <si>
    <t>ACM/19/035489</t>
  </si>
  <si>
    <t>ACM/UIT/513475</t>
  </si>
  <si>
    <t>Brandstofprijs LFO WEB juni 2019</t>
  </si>
  <si>
    <t>Opgave WEB op 5 juni 2019</t>
  </si>
  <si>
    <t>Ja</t>
  </si>
  <si>
    <t>Hier wordt gerekend met een gewogen gemiddelde, omdat het brandstofrendement voor 2019 alleen geschat is op basis van het totale verwachte brandstofgebruik van GC, voor productie met HFO en LFO opgeteld.</t>
  </si>
  <si>
    <t>Deze productieprijs is geen tarief dat door de ACM wordt vastgesteld, het dient uitsluitend voor de berekening van het nieuwe variabele gebruikstarief per 1 juli 2019</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</si>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</sst>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 numFmtId="166" formatCode="0.0%"/>
    <numFmt numFmtId="167" formatCode="_ * #,##0_ ;_ * \-#,##0_ ;_ * &quot;-&quot;????_ ;_ @_ "/>
    <numFmt numFmtId="168" formatCode="_ * #,##0.000000_ ;_ * \-#,##0.000000_ ;_ * &quot;-&quot;??_ ;_ @_ "/>
  </numFmts>
  <fonts count="3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9.5"/>
      <color theme="1"/>
      <name val="Arial"/>
      <family val="2"/>
    </font>
    <font>
      <b/>
      <i/>
      <sz val="10"/>
      <color rgb="FFFF00FF"/>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3" fontId="5" fillId="13" borderId="0">
      <alignment vertical="top"/>
    </xf>
    <xf numFmtId="43" fontId="5" fillId="12" borderId="0">
      <alignment vertical="top"/>
    </xf>
    <xf numFmtId="43" fontId="5" fillId="10" borderId="0">
      <alignment vertical="top"/>
    </xf>
    <xf numFmtId="43" fontId="5" fillId="47" borderId="0">
      <alignment vertical="top"/>
    </xf>
    <xf numFmtId="43" fontId="5" fillId="8" borderId="0">
      <alignment vertical="top"/>
    </xf>
    <xf numFmtId="43"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3" fontId="5" fillId="46" borderId="0">
      <alignment vertical="top"/>
    </xf>
    <xf numFmtId="49" fontId="6" fillId="20" borderId="1">
      <alignment vertical="top"/>
    </xf>
    <xf numFmtId="43" fontId="16" fillId="0" borderId="0" applyFont="0" applyFill="0" applyBorder="0" applyAlignment="0" applyProtection="0"/>
  </cellStyleXfs>
  <cellXfs count="88">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3" fontId="5" fillId="13" borderId="0" xfId="8">
      <alignment vertical="top"/>
    </xf>
    <xf numFmtId="0" fontId="7" fillId="12" borderId="0" xfId="4" applyFont="1" applyFill="1">
      <alignment vertical="top"/>
    </xf>
    <xf numFmtId="9" fontId="5" fillId="0" borderId="0" xfId="4" applyNumberFormat="1">
      <alignment vertical="top"/>
    </xf>
    <xf numFmtId="43" fontId="5" fillId="12" borderId="0" xfId="63" applyFill="1">
      <alignment vertical="top"/>
    </xf>
    <xf numFmtId="43" fontId="5" fillId="14" borderId="0" xfId="63" applyFill="1">
      <alignment vertical="top"/>
    </xf>
    <xf numFmtId="43" fontId="5" fillId="10" borderId="0" xfId="10">
      <alignment vertical="top"/>
    </xf>
    <xf numFmtId="43" fontId="5" fillId="8" borderId="0" xfId="12">
      <alignment vertical="top"/>
    </xf>
    <xf numFmtId="43" fontId="5" fillId="47" borderId="0" xfId="11">
      <alignment vertical="top"/>
    </xf>
    <xf numFmtId="43"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3" fontId="5" fillId="46" borderId="0" xfId="65">
      <alignment vertical="top"/>
    </xf>
    <xf numFmtId="164" fontId="5" fillId="14" borderId="0" xfId="13" applyNumberFormat="1">
      <alignment vertical="top"/>
    </xf>
    <xf numFmtId="165" fontId="5" fillId="12" borderId="0" xfId="9" applyNumberFormat="1">
      <alignment vertical="top"/>
    </xf>
    <xf numFmtId="166" fontId="5" fillId="14" borderId="0" xfId="13" applyNumberFormat="1">
      <alignment vertical="top"/>
    </xf>
    <xf numFmtId="165" fontId="5" fillId="13" borderId="0" xfId="8" applyNumberFormat="1">
      <alignment vertical="top"/>
    </xf>
    <xf numFmtId="0" fontId="9" fillId="5" borderId="1" xfId="5" applyNumberFormat="1" applyFont="1">
      <alignment vertical="top"/>
    </xf>
    <xf numFmtId="49" fontId="6" fillId="20" borderId="1" xfId="66">
      <alignment vertical="top"/>
    </xf>
    <xf numFmtId="49" fontId="6" fillId="20" borderId="1" xfId="66" applyFont="1">
      <alignment vertical="top"/>
    </xf>
    <xf numFmtId="43" fontId="5" fillId="14" borderId="0" xfId="13">
      <alignment vertical="top"/>
    </xf>
    <xf numFmtId="43" fontId="5" fillId="0" borderId="0" xfId="63" applyFill="1">
      <alignment vertical="top"/>
    </xf>
    <xf numFmtId="43" fontId="6" fillId="20" borderId="1" xfId="63" applyFont="1" applyFill="1" applyBorder="1">
      <alignment vertical="top"/>
    </xf>
    <xf numFmtId="165" fontId="5" fillId="47" borderId="0" xfId="11" applyNumberFormat="1">
      <alignment vertical="top"/>
    </xf>
    <xf numFmtId="164" fontId="5" fillId="47" borderId="0" xfId="11" applyNumberFormat="1">
      <alignment vertical="top"/>
    </xf>
    <xf numFmtId="164" fontId="5" fillId="14" borderId="0" xfId="63" applyNumberFormat="1" applyFill="1">
      <alignment vertical="top"/>
    </xf>
    <xf numFmtId="165" fontId="5" fillId="14" borderId="0" xfId="63" applyNumberFormat="1" applyFill="1">
      <alignment vertical="top"/>
    </xf>
    <xf numFmtId="165" fontId="5" fillId="12" borderId="0" xfId="63" applyNumberFormat="1" applyFill="1">
      <alignment vertical="top"/>
    </xf>
    <xf numFmtId="165" fontId="5" fillId="14" borderId="0" xfId="13" applyNumberFormat="1">
      <alignment vertical="top"/>
    </xf>
    <xf numFmtId="10" fontId="5" fillId="47" borderId="0" xfId="11" applyNumberFormat="1">
      <alignment vertical="top"/>
    </xf>
    <xf numFmtId="0" fontId="31" fillId="0" borderId="2" xfId="0" applyFont="1" applyBorder="1" applyAlignment="1"/>
    <xf numFmtId="0" fontId="0" fillId="0" borderId="2" xfId="0" quotePrefix="1" applyFont="1" applyBorder="1" applyAlignment="1"/>
    <xf numFmtId="10" fontId="5" fillId="14" borderId="0" xfId="64" applyFill="1">
      <alignment vertical="top"/>
    </xf>
    <xf numFmtId="164" fontId="5" fillId="12" borderId="0" xfId="63" applyNumberFormat="1" applyFill="1">
      <alignment vertical="top"/>
    </xf>
    <xf numFmtId="164" fontId="5" fillId="12" borderId="0" xfId="63" applyNumberFormat="1">
      <alignment vertical="top"/>
    </xf>
    <xf numFmtId="164" fontId="5" fillId="13" borderId="0" xfId="63" applyNumberFormat="1" applyFill="1">
      <alignment vertical="top"/>
    </xf>
    <xf numFmtId="167" fontId="5" fillId="12" borderId="0" xfId="4" applyNumberFormat="1" applyFill="1">
      <alignment vertical="top"/>
    </xf>
    <xf numFmtId="167" fontId="5" fillId="13" borderId="0" xfId="4" applyNumberFormat="1" applyFill="1">
      <alignment vertical="top"/>
    </xf>
    <xf numFmtId="10" fontId="5" fillId="14" borderId="0" xfId="13" applyNumberFormat="1">
      <alignment vertical="top"/>
    </xf>
    <xf numFmtId="165" fontId="9" fillId="5" borderId="1" xfId="63" applyNumberFormat="1" applyFont="1" applyFill="1" applyBorder="1">
      <alignment vertical="top"/>
    </xf>
    <xf numFmtId="165" fontId="5" fillId="0" borderId="0" xfId="63" applyNumberFormat="1" applyFill="1">
      <alignment vertical="top"/>
    </xf>
    <xf numFmtId="165" fontId="15" fillId="0" borderId="0" xfId="63" applyNumberFormat="1" applyFont="1" applyFill="1">
      <alignment vertical="top"/>
    </xf>
    <xf numFmtId="165" fontId="6" fillId="20" borderId="1" xfId="63" applyNumberFormat="1" applyFont="1" applyFill="1" applyBorder="1">
      <alignment vertical="top"/>
    </xf>
    <xf numFmtId="43" fontId="5" fillId="14" borderId="0" xfId="63" applyNumberFormat="1" applyFill="1">
      <alignment vertical="top"/>
    </xf>
    <xf numFmtId="0" fontId="5" fillId="0" borderId="0" xfId="4" applyBorder="1">
      <alignment vertical="top"/>
    </xf>
    <xf numFmtId="168" fontId="5" fillId="14" borderId="0" xfId="63" applyNumberFormat="1" applyFill="1">
      <alignment vertical="top"/>
    </xf>
    <xf numFmtId="168" fontId="5" fillId="47" borderId="0" xfId="11" applyNumberFormat="1">
      <alignment vertical="top"/>
    </xf>
    <xf numFmtId="10" fontId="5" fillId="47" borderId="0" xfId="64" applyFill="1">
      <alignment vertical="top"/>
    </xf>
    <xf numFmtId="49" fontId="22" fillId="0" borderId="2" xfId="61" applyBorder="1" applyAlignment="1">
      <alignment vertical="top"/>
    </xf>
    <xf numFmtId="49" fontId="22" fillId="0" borderId="2" xfId="61" applyBorder="1" applyAlignment="1"/>
    <xf numFmtId="0" fontId="32" fillId="0" borderId="0" xfId="4" applyFont="1">
      <alignment vertical="top"/>
    </xf>
    <xf numFmtId="164" fontId="5" fillId="47" borderId="0" xfId="12" applyNumberFormat="1" applyFill="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8">
    <cellStyle name="_kop1 Bladtitel" xfId="5"/>
    <cellStyle name="_kop2 Bloktitel" xfId="6"/>
    <cellStyle name="_kop2 Bloktitel 2" xfId="6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65"/>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4" xfId="67"/>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Standaard" xfId="0" builtinId="0" customBuiltin="1"/>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FF00FF"/>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rekenmodel-bij-aanpassing-variabel-tarief-elektriciteit-1-juli-2018-bonaire-web-caribisch-nederland" TargetMode="External"/><Relationship Id="rId2" Type="http://schemas.openxmlformats.org/officeDocument/2006/relationships/hyperlink" Target="https://www.acm.nl/nl/publicaties/beschikking-productieprijzen-elektriciteit-2019-bonaire-contourglobal-caribisch-nederland" TargetMode="External"/><Relationship Id="rId1" Type="http://schemas.openxmlformats.org/officeDocument/2006/relationships/hyperlink" Target="https://www.acm.nl/nl/publicaties/rekenmodel-bij-beschikking-productieprijs-elektriciteit-2018-contourglobal-caribisch-nederland" TargetMode="External"/><Relationship Id="rId6" Type="http://schemas.openxmlformats.org/officeDocument/2006/relationships/printerSettings" Target="../printerSettings/printerSettings3.bin"/><Relationship Id="rId5" Type="http://schemas.openxmlformats.org/officeDocument/2006/relationships/hyperlink" Target="https://www.acm.nl/nl/publicaties/rekenmodel-bij-beschikking-productieprijs-en-distributietarieven-elektriciteit-2018-bonaire-web-caribisch-nederland" TargetMode="External"/><Relationship Id="rId4" Type="http://schemas.openxmlformats.org/officeDocument/2006/relationships/hyperlink" Target="https://www.acm.nl/nl/publicaties/beschikking-productieprijzen-elektriciteit-2019-bonaire-web-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29"/>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0</v>
      </c>
    </row>
    <row r="6" spans="2:3" x14ac:dyDescent="0.2">
      <c r="B6" s="3"/>
    </row>
    <row r="13" spans="2:3" s="9" customFormat="1" x14ac:dyDescent="0.2">
      <c r="B13" s="9" t="s">
        <v>1</v>
      </c>
    </row>
    <row r="14" spans="2:3" s="10" customFormat="1" x14ac:dyDescent="0.2"/>
    <row r="15" spans="2:3" x14ac:dyDescent="0.2">
      <c r="B15" s="11" t="s">
        <v>2</v>
      </c>
      <c r="C15" s="12" t="s">
        <v>270</v>
      </c>
    </row>
    <row r="16" spans="2:3" x14ac:dyDescent="0.2">
      <c r="B16" s="11" t="s">
        <v>3</v>
      </c>
      <c r="C16" s="12" t="s">
        <v>222</v>
      </c>
    </row>
    <row r="17" spans="2:4" x14ac:dyDescent="0.2">
      <c r="B17" s="11" t="s">
        <v>4</v>
      </c>
      <c r="C17" s="12" t="s">
        <v>221</v>
      </c>
    </row>
    <row r="18" spans="2:4" x14ac:dyDescent="0.2">
      <c r="B18" s="11" t="s">
        <v>5</v>
      </c>
      <c r="C18" s="12" t="s">
        <v>271</v>
      </c>
    </row>
    <row r="21" spans="2:4" s="9" customFormat="1" x14ac:dyDescent="0.2">
      <c r="B21" s="9" t="s">
        <v>6</v>
      </c>
    </row>
    <row r="23" spans="2:4" x14ac:dyDescent="0.2">
      <c r="B23" s="11" t="s">
        <v>7</v>
      </c>
      <c r="C23" s="12" t="s">
        <v>274</v>
      </c>
    </row>
    <row r="24" spans="2:4" x14ac:dyDescent="0.2">
      <c r="B24" s="45" t="s">
        <v>61</v>
      </c>
      <c r="C24" s="12" t="s">
        <v>274</v>
      </c>
    </row>
    <row r="25" spans="2:4" ht="25.5" x14ac:dyDescent="0.2">
      <c r="B25" s="11" t="s">
        <v>8</v>
      </c>
      <c r="C25" s="12" t="s">
        <v>274</v>
      </c>
    </row>
    <row r="26" spans="2:4" x14ac:dyDescent="0.2">
      <c r="B26" s="34" t="s">
        <v>59</v>
      </c>
      <c r="C26" s="12" t="s">
        <v>277</v>
      </c>
    </row>
    <row r="28" spans="2:4" x14ac:dyDescent="0.2">
      <c r="B28" s="86" t="s">
        <v>60</v>
      </c>
      <c r="C28" s="87"/>
      <c r="D28" s="6"/>
    </row>
    <row r="29" spans="2:4" x14ac:dyDescent="0.2">
      <c r="B29" s="30"/>
      <c r="C29" s="30"/>
      <c r="D29" s="6"/>
    </row>
  </sheetData>
  <mergeCells count="1">
    <mergeCell ref="B28:C28"/>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43"/>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x14ac:dyDescent="0.2">
      <c r="B2" s="8" t="s">
        <v>46</v>
      </c>
    </row>
    <row r="4" spans="2:8" s="9" customFormat="1" x14ac:dyDescent="0.2">
      <c r="B4" s="9" t="s">
        <v>9</v>
      </c>
    </row>
    <row r="6" spans="2:8" x14ac:dyDescent="0.2">
      <c r="B6" s="27" t="s">
        <v>223</v>
      </c>
    </row>
    <row r="7" spans="2:8" x14ac:dyDescent="0.2">
      <c r="B7" s="2" t="s">
        <v>225</v>
      </c>
      <c r="H7" s="37"/>
    </row>
    <row r="8" spans="2:8" x14ac:dyDescent="0.2">
      <c r="B8" s="2" t="s">
        <v>224</v>
      </c>
    </row>
    <row r="9" spans="2:8" x14ac:dyDescent="0.2">
      <c r="B9" s="2" t="s">
        <v>226</v>
      </c>
    </row>
    <row r="13" spans="2:8" s="9" customFormat="1" x14ac:dyDescent="0.2">
      <c r="B13" s="9" t="s">
        <v>10</v>
      </c>
    </row>
    <row r="14" spans="2:8" x14ac:dyDescent="0.2">
      <c r="C14" s="10"/>
    </row>
    <row r="15" spans="2:8" x14ac:dyDescent="0.2">
      <c r="B15" s="32" t="s">
        <v>32</v>
      </c>
      <c r="C15" s="10"/>
      <c r="D15" s="32" t="s">
        <v>11</v>
      </c>
      <c r="F15" s="14"/>
    </row>
    <row r="16" spans="2:8" x14ac:dyDescent="0.2">
      <c r="C16" s="10"/>
    </row>
    <row r="17" spans="2:7" x14ac:dyDescent="0.2">
      <c r="B17" s="42">
        <v>123</v>
      </c>
      <c r="C17" s="10"/>
      <c r="D17" s="27" t="s">
        <v>62</v>
      </c>
    </row>
    <row r="18" spans="2:7" x14ac:dyDescent="0.2">
      <c r="B18" s="39">
        <f>B17</f>
        <v>123</v>
      </c>
      <c r="C18" s="10"/>
      <c r="D18" s="2" t="s">
        <v>12</v>
      </c>
    </row>
    <row r="19" spans="2:7" x14ac:dyDescent="0.2">
      <c r="B19" s="38">
        <f>B18+B17</f>
        <v>246</v>
      </c>
      <c r="C19" s="10"/>
      <c r="D19" s="2" t="s">
        <v>13</v>
      </c>
    </row>
    <row r="20" spans="2:7" x14ac:dyDescent="0.2">
      <c r="B20" s="35">
        <f>B18+B19</f>
        <v>369</v>
      </c>
      <c r="C20" s="10"/>
      <c r="D20" s="27" t="s">
        <v>63</v>
      </c>
      <c r="E20" s="14"/>
      <c r="F20" s="6"/>
    </row>
    <row r="21" spans="2:7" x14ac:dyDescent="0.2">
      <c r="B21" s="15"/>
      <c r="C21" s="10"/>
      <c r="D21" s="27" t="s">
        <v>14</v>
      </c>
      <c r="E21" s="14"/>
    </row>
    <row r="22" spans="2:7" x14ac:dyDescent="0.2">
      <c r="B22" s="10"/>
      <c r="C22" s="10"/>
    </row>
    <row r="23" spans="2:7" x14ac:dyDescent="0.2">
      <c r="B23" s="33" t="s">
        <v>15</v>
      </c>
      <c r="C23" s="10"/>
    </row>
    <row r="24" spans="2:7" x14ac:dyDescent="0.2">
      <c r="B24" s="40">
        <f>B20+16</f>
        <v>385</v>
      </c>
      <c r="C24" s="10"/>
      <c r="D24" s="2" t="s">
        <v>64</v>
      </c>
    </row>
    <row r="25" spans="2:7" x14ac:dyDescent="0.2">
      <c r="B25" s="41">
        <f>B18*PI()</f>
        <v>386.41589639154455</v>
      </c>
      <c r="C25" s="17"/>
      <c r="D25" s="2" t="s">
        <v>16</v>
      </c>
    </row>
    <row r="26" spans="2:7" x14ac:dyDescent="0.2">
      <c r="B26" s="17"/>
      <c r="C26" s="17"/>
    </row>
    <row r="27" spans="2:7" x14ac:dyDescent="0.2">
      <c r="B27" s="33" t="s">
        <v>17</v>
      </c>
      <c r="C27" s="18"/>
    </row>
    <row r="28" spans="2:7" x14ac:dyDescent="0.2">
      <c r="B28" s="46">
        <v>123</v>
      </c>
      <c r="C28" s="18"/>
      <c r="D28" s="27" t="s">
        <v>65</v>
      </c>
      <c r="G28" s="14"/>
    </row>
    <row r="29" spans="2:7" x14ac:dyDescent="0.2">
      <c r="B29" s="43">
        <v>124</v>
      </c>
      <c r="C29" s="18"/>
      <c r="D29" s="27" t="s">
        <v>67</v>
      </c>
    </row>
    <row r="30" spans="2:7" x14ac:dyDescent="0.2">
      <c r="B30" s="44">
        <f>B28-B29</f>
        <v>-1</v>
      </c>
      <c r="C30" s="19"/>
      <c r="D30" s="2" t="s">
        <v>52</v>
      </c>
    </row>
    <row r="33" spans="2:4" x14ac:dyDescent="0.2">
      <c r="B33" s="32" t="s">
        <v>27</v>
      </c>
    </row>
    <row r="34" spans="2:4" x14ac:dyDescent="0.2">
      <c r="B34" s="1"/>
    </row>
    <row r="35" spans="2:4" x14ac:dyDescent="0.2">
      <c r="B35" s="33" t="s">
        <v>33</v>
      </c>
    </row>
    <row r="36" spans="2:4" x14ac:dyDescent="0.2">
      <c r="B36" s="24" t="s">
        <v>26</v>
      </c>
      <c r="C36" s="10"/>
      <c r="D36" s="3" t="s">
        <v>36</v>
      </c>
    </row>
    <row r="37" spans="2:4" x14ac:dyDescent="0.2">
      <c r="B37" s="42" t="s">
        <v>24</v>
      </c>
      <c r="C37" s="10"/>
      <c r="D37" s="3" t="s">
        <v>28</v>
      </c>
    </row>
    <row r="38" spans="2:4" x14ac:dyDescent="0.2">
      <c r="B38" s="36" t="s">
        <v>25</v>
      </c>
      <c r="C38" s="10"/>
      <c r="D38" s="3" t="s">
        <v>29</v>
      </c>
    </row>
    <row r="39" spans="2:4" x14ac:dyDescent="0.2">
      <c r="B39" s="16" t="s">
        <v>25</v>
      </c>
      <c r="C39" s="10"/>
      <c r="D39" s="3" t="s">
        <v>31</v>
      </c>
    </row>
    <row r="40" spans="2:4" x14ac:dyDescent="0.2">
      <c r="C40" s="10"/>
      <c r="D40" s="3"/>
    </row>
    <row r="41" spans="2:4" x14ac:dyDescent="0.2">
      <c r="B41" s="33" t="s">
        <v>35</v>
      </c>
      <c r="C41" s="10"/>
      <c r="D41" s="3"/>
    </row>
    <row r="42" spans="2:4" x14ac:dyDescent="0.2">
      <c r="B42" s="25" t="s">
        <v>30</v>
      </c>
      <c r="C42" s="10"/>
      <c r="D42" s="3" t="s">
        <v>37</v>
      </c>
    </row>
    <row r="43" spans="2:4" x14ac:dyDescent="0.2">
      <c r="B43" s="26" t="s">
        <v>34</v>
      </c>
      <c r="D43" s="27" t="s">
        <v>66</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32"/>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26.7109375" style="2" customWidth="1"/>
    <col min="4" max="4" width="57.140625" style="2" customWidth="1"/>
    <col min="5" max="5" width="36.28515625" style="2" customWidth="1"/>
    <col min="6" max="6" width="123.85546875" style="2" customWidth="1"/>
    <col min="7" max="7" width="4.5703125" style="2" customWidth="1"/>
    <col min="8" max="16384" width="9.140625" style="2"/>
  </cols>
  <sheetData>
    <row r="2" spans="2:6" s="13" customFormat="1" ht="18" x14ac:dyDescent="0.2">
      <c r="B2" s="4" t="s">
        <v>18</v>
      </c>
    </row>
    <row r="4" spans="2:6" s="9" customFormat="1" x14ac:dyDescent="0.2">
      <c r="B4" s="9" t="s">
        <v>19</v>
      </c>
    </row>
    <row r="6" spans="2:6" x14ac:dyDescent="0.2">
      <c r="B6" s="33" t="s">
        <v>56</v>
      </c>
    </row>
    <row r="7" spans="2:6" x14ac:dyDescent="0.2">
      <c r="B7" s="33" t="s">
        <v>57</v>
      </c>
    </row>
    <row r="9" spans="2:6" x14ac:dyDescent="0.2">
      <c r="B9" s="20" t="s">
        <v>47</v>
      </c>
      <c r="C9" s="20" t="s">
        <v>48</v>
      </c>
      <c r="D9" s="20" t="s">
        <v>49</v>
      </c>
      <c r="E9" s="20" t="s">
        <v>55</v>
      </c>
      <c r="F9" s="20" t="s">
        <v>53</v>
      </c>
    </row>
    <row r="10" spans="2:6" x14ac:dyDescent="0.2">
      <c r="B10" s="21"/>
      <c r="C10" s="28" t="s">
        <v>54</v>
      </c>
      <c r="D10" s="28" t="s">
        <v>20</v>
      </c>
      <c r="E10" s="28" t="s">
        <v>58</v>
      </c>
      <c r="F10" s="28" t="s">
        <v>257</v>
      </c>
    </row>
    <row r="11" spans="2:6" x14ac:dyDescent="0.2">
      <c r="B11" s="29">
        <v>1</v>
      </c>
      <c r="C11" s="7" t="s">
        <v>130</v>
      </c>
      <c r="D11" s="7" t="s">
        <v>132</v>
      </c>
      <c r="E11" s="7"/>
      <c r="F11" s="2" t="s">
        <v>216</v>
      </c>
    </row>
    <row r="12" spans="2:6" x14ac:dyDescent="0.2">
      <c r="B12" s="7">
        <v>2</v>
      </c>
      <c r="C12" s="7" t="s">
        <v>131</v>
      </c>
      <c r="D12" s="7" t="s">
        <v>242</v>
      </c>
      <c r="E12" s="7"/>
      <c r="F12" s="7" t="s">
        <v>243</v>
      </c>
    </row>
    <row r="13" spans="2:6" x14ac:dyDescent="0.2">
      <c r="B13" s="7">
        <v>3</v>
      </c>
      <c r="C13" s="7" t="s">
        <v>133</v>
      </c>
      <c r="D13" s="7" t="s">
        <v>203</v>
      </c>
      <c r="E13" s="7" t="s">
        <v>217</v>
      </c>
      <c r="F13" s="82" t="s">
        <v>157</v>
      </c>
    </row>
    <row r="14" spans="2:6" x14ac:dyDescent="0.2">
      <c r="B14" s="7">
        <v>4</v>
      </c>
      <c r="C14" s="7" t="s">
        <v>134</v>
      </c>
      <c r="D14" s="7" t="s">
        <v>204</v>
      </c>
      <c r="E14" s="7" t="s">
        <v>218</v>
      </c>
      <c r="F14" s="82" t="s">
        <v>159</v>
      </c>
    </row>
    <row r="15" spans="2:6" x14ac:dyDescent="0.2">
      <c r="B15" s="7">
        <v>5</v>
      </c>
      <c r="C15" s="7" t="s">
        <v>144</v>
      </c>
      <c r="D15" s="7" t="s">
        <v>205</v>
      </c>
      <c r="E15" s="64" t="s">
        <v>140</v>
      </c>
      <c r="F15" s="82" t="s">
        <v>145</v>
      </c>
    </row>
    <row r="16" spans="2:6" x14ac:dyDescent="0.2">
      <c r="B16" s="7">
        <v>6</v>
      </c>
      <c r="C16" s="7" t="s">
        <v>143</v>
      </c>
      <c r="D16" s="7" t="s">
        <v>155</v>
      </c>
      <c r="E16" s="65" t="s">
        <v>156</v>
      </c>
      <c r="F16" s="83" t="s">
        <v>220</v>
      </c>
    </row>
    <row r="17" spans="2:6" x14ac:dyDescent="0.2">
      <c r="B17" s="7">
        <v>7</v>
      </c>
      <c r="C17" s="7" t="s">
        <v>146</v>
      </c>
      <c r="D17" s="7" t="s">
        <v>206</v>
      </c>
      <c r="E17" s="7" t="s">
        <v>219</v>
      </c>
      <c r="F17" s="82" t="s">
        <v>148</v>
      </c>
    </row>
    <row r="18" spans="2:6" x14ac:dyDescent="0.2">
      <c r="B18" s="7">
        <v>8</v>
      </c>
      <c r="C18" s="7" t="s">
        <v>161</v>
      </c>
      <c r="D18" s="7" t="s">
        <v>246</v>
      </c>
      <c r="E18" s="7"/>
      <c r="F18" s="7" t="s">
        <v>248</v>
      </c>
    </row>
    <row r="19" spans="2:6" x14ac:dyDescent="0.2">
      <c r="B19" s="7">
        <v>9</v>
      </c>
      <c r="C19" s="7" t="s">
        <v>162</v>
      </c>
      <c r="D19" s="7" t="s">
        <v>250</v>
      </c>
      <c r="E19" s="7"/>
      <c r="F19" s="7" t="s">
        <v>248</v>
      </c>
    </row>
    <row r="20" spans="2:6" x14ac:dyDescent="0.2">
      <c r="B20" s="7">
        <v>10</v>
      </c>
      <c r="C20" s="7" t="s">
        <v>259</v>
      </c>
      <c r="D20" s="7"/>
      <c r="E20" s="7"/>
      <c r="F20" s="7"/>
    </row>
    <row r="21" spans="2:6" x14ac:dyDescent="0.2">
      <c r="B21" s="7">
        <v>11</v>
      </c>
      <c r="C21" s="7" t="s">
        <v>196</v>
      </c>
      <c r="D21" s="7" t="s">
        <v>256</v>
      </c>
      <c r="E21" s="7"/>
      <c r="F21" s="7" t="s">
        <v>248</v>
      </c>
    </row>
    <row r="22" spans="2:6" x14ac:dyDescent="0.2">
      <c r="B22" s="7">
        <v>12</v>
      </c>
      <c r="C22" s="7" t="s">
        <v>244</v>
      </c>
      <c r="D22" s="7" t="s">
        <v>245</v>
      </c>
      <c r="E22" s="7"/>
      <c r="F22" s="7" t="s">
        <v>249</v>
      </c>
    </row>
    <row r="23" spans="2:6" x14ac:dyDescent="0.2">
      <c r="B23" s="7">
        <v>13</v>
      </c>
      <c r="C23" s="7" t="s">
        <v>252</v>
      </c>
      <c r="D23" s="7" t="s">
        <v>251</v>
      </c>
      <c r="E23" s="7"/>
      <c r="F23" s="7" t="s">
        <v>253</v>
      </c>
    </row>
    <row r="24" spans="2:6" x14ac:dyDescent="0.2">
      <c r="B24" s="78"/>
      <c r="C24" s="78"/>
      <c r="D24" s="78"/>
      <c r="E24" s="78"/>
      <c r="F24" s="78"/>
    </row>
    <row r="25" spans="2:6" x14ac:dyDescent="0.2">
      <c r="B25" s="78"/>
      <c r="C25" s="78"/>
      <c r="D25" s="78"/>
      <c r="E25" s="78"/>
      <c r="F25" s="78"/>
    </row>
    <row r="26" spans="2:6" x14ac:dyDescent="0.2">
      <c r="B26" s="78"/>
      <c r="C26" s="78"/>
      <c r="D26" s="78"/>
      <c r="E26" s="78"/>
      <c r="F26" s="78"/>
    </row>
    <row r="29" spans="2:6" s="9" customFormat="1" x14ac:dyDescent="0.2">
      <c r="B29" s="9" t="s">
        <v>45</v>
      </c>
    </row>
    <row r="31" spans="2:6" x14ac:dyDescent="0.2">
      <c r="B31" s="33" t="s">
        <v>43</v>
      </c>
    </row>
    <row r="32" spans="2:6" x14ac:dyDescent="0.2">
      <c r="B32" s="33" t="s">
        <v>44</v>
      </c>
    </row>
  </sheetData>
  <hyperlinks>
    <hyperlink ref="F13" r:id="rId1"/>
    <hyperlink ref="F14" r:id="rId2"/>
    <hyperlink ref="F15" r:id="rId3"/>
    <hyperlink ref="F17" r:id="rId4"/>
    <hyperlink ref="F16" r:id="rId5"/>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K26"/>
  <sheetViews>
    <sheetView showGridLines="0" zoomScale="85" zoomScaleNormal="85" workbookViewId="0">
      <pane xSplit="6" ySplit="9" topLeftCell="G10" activePane="bottomRight" state="frozen"/>
      <selection activeCell="O39" sqref="O39"/>
      <selection pane="topRight" activeCell="O39" sqref="O39"/>
      <selection pane="bottomLeft" activeCell="O39" sqref="O39"/>
      <selection pane="bottomRight" activeCell="G10" sqref="G10"/>
    </sheetView>
  </sheetViews>
  <sheetFormatPr defaultRowHeight="12.75" x14ac:dyDescent="0.2"/>
  <cols>
    <col min="1" max="1" width="4.7109375" style="2" customWidth="1"/>
    <col min="2" max="2" width="65" style="2" customWidth="1"/>
    <col min="3" max="5" width="4.7109375" style="2" customWidth="1"/>
    <col min="6" max="6" width="19.140625" style="2" customWidth="1"/>
    <col min="7" max="7" width="2.7109375" style="2" customWidth="1"/>
    <col min="8" max="8" width="17.5703125" style="2" customWidth="1"/>
    <col min="9" max="10" width="2.7109375" style="2" customWidth="1"/>
    <col min="11" max="25" width="13.7109375" style="2" customWidth="1"/>
    <col min="26" max="16384" width="9.140625" style="2"/>
  </cols>
  <sheetData>
    <row r="2" spans="2:11" s="22" customFormat="1" ht="18" x14ac:dyDescent="0.2">
      <c r="B2" s="22" t="s">
        <v>26</v>
      </c>
    </row>
    <row r="4" spans="2:11" x14ac:dyDescent="0.2">
      <c r="B4" s="32" t="s">
        <v>51</v>
      </c>
      <c r="C4" s="1"/>
      <c r="D4" s="1"/>
    </row>
    <row r="5" spans="2:11" x14ac:dyDescent="0.2">
      <c r="B5" s="27" t="s">
        <v>239</v>
      </c>
      <c r="C5" s="3"/>
      <c r="D5" s="3"/>
      <c r="H5" s="23"/>
    </row>
    <row r="6" spans="2:11" x14ac:dyDescent="0.2">
      <c r="B6" s="5"/>
      <c r="C6" s="3"/>
      <c r="D6" s="3"/>
    </row>
    <row r="8" spans="2:11" s="9" customFormat="1" x14ac:dyDescent="0.2">
      <c r="B8" s="9" t="s">
        <v>38</v>
      </c>
      <c r="F8" s="9" t="s">
        <v>21</v>
      </c>
      <c r="H8" s="9" t="s">
        <v>22</v>
      </c>
      <c r="K8" s="9" t="s">
        <v>40</v>
      </c>
    </row>
    <row r="11" spans="2:11" s="9" customFormat="1" x14ac:dyDescent="0.2">
      <c r="B11" s="9" t="s">
        <v>198</v>
      </c>
    </row>
    <row r="13" spans="2:11" x14ac:dyDescent="0.2">
      <c r="B13" s="1" t="s">
        <v>213</v>
      </c>
    </row>
    <row r="14" spans="2:11" x14ac:dyDescent="0.2">
      <c r="B14" s="2" t="s">
        <v>214</v>
      </c>
      <c r="F14" s="2" t="s">
        <v>201</v>
      </c>
      <c r="H14" s="47">
        <f>'Inkoopcorrectie brandstof'!H71</f>
        <v>-253013.75712758792</v>
      </c>
    </row>
    <row r="15" spans="2:11" x14ac:dyDescent="0.2">
      <c r="B15" s="2" t="s">
        <v>200</v>
      </c>
      <c r="F15" s="2" t="s">
        <v>69</v>
      </c>
      <c r="H15" s="47">
        <f>'Inkoopcorrectie brandstof'!H78</f>
        <v>63224225.824259028</v>
      </c>
    </row>
    <row r="16" spans="2:11" x14ac:dyDescent="0.2">
      <c r="B16" s="2" t="s">
        <v>70</v>
      </c>
      <c r="F16" s="2" t="s">
        <v>71</v>
      </c>
      <c r="H16" s="48">
        <f>H14/H15</f>
        <v>-4.0018482445459535E-3</v>
      </c>
    </row>
    <row r="18" spans="2:8" x14ac:dyDescent="0.2">
      <c r="B18" s="1" t="s">
        <v>202</v>
      </c>
    </row>
    <row r="19" spans="2:8" x14ac:dyDescent="0.2">
      <c r="B19" s="2" t="s">
        <v>199</v>
      </c>
      <c r="F19" s="2" t="s">
        <v>71</v>
      </c>
      <c r="H19" s="62">
        <f>'Schatting productieprijzen'!H48</f>
        <v>0.24130914128592773</v>
      </c>
    </row>
    <row r="20" spans="2:8" x14ac:dyDescent="0.2">
      <c r="B20" s="2" t="s">
        <v>72</v>
      </c>
      <c r="F20" s="2" t="s">
        <v>73</v>
      </c>
      <c r="H20" s="49">
        <f>'Gegevens brandstof en productie'!H63</f>
        <v>0.112</v>
      </c>
    </row>
    <row r="21" spans="2:8" x14ac:dyDescent="0.2">
      <c r="B21" s="2" t="s">
        <v>215</v>
      </c>
      <c r="F21" s="2" t="s">
        <v>71</v>
      </c>
      <c r="H21" s="50">
        <f>(H19+H16)/(1-H20)</f>
        <v>0.26723794261416867</v>
      </c>
    </row>
    <row r="23" spans="2:8" x14ac:dyDescent="0.2">
      <c r="B23" s="1" t="s">
        <v>233</v>
      </c>
    </row>
    <row r="24" spans="2:8" x14ac:dyDescent="0.2">
      <c r="B24" s="27" t="s">
        <v>229</v>
      </c>
      <c r="F24" s="2" t="s">
        <v>71</v>
      </c>
      <c r="H24" s="62">
        <f>'Gegevens brandstof en productie'!H60</f>
        <v>0.26934583555269964</v>
      </c>
    </row>
    <row r="25" spans="2:8" x14ac:dyDescent="0.2">
      <c r="B25" s="27" t="s">
        <v>228</v>
      </c>
      <c r="F25" s="2" t="s">
        <v>71</v>
      </c>
      <c r="H25" s="62">
        <f>'Gegevens brandstof en productie'!H61</f>
        <v>0.47654058699607177</v>
      </c>
    </row>
    <row r="26" spans="2:8" x14ac:dyDescent="0.2">
      <c r="B26" s="2" t="s">
        <v>234</v>
      </c>
      <c r="F26" s="2" t="s">
        <v>71</v>
      </c>
      <c r="H26" s="50">
        <f>H25+(H21-H24)</f>
        <v>0.47443269405754079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W71"/>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69" style="2" customWidth="1"/>
    <col min="3" max="3" width="4.7109375" style="2" customWidth="1"/>
    <col min="4" max="5" width="4.5703125" style="2" customWidth="1"/>
    <col min="6" max="6" width="18.42578125" style="2" customWidth="1"/>
    <col min="7" max="7" width="2.7109375" style="2" customWidth="1"/>
    <col min="8" max="8" width="16.5703125" style="2" customWidth="1"/>
    <col min="9" max="9" width="2.7109375" style="2" customWidth="1"/>
    <col min="10" max="10" width="13.7109375" style="2" customWidth="1"/>
    <col min="11" max="11" width="2.7109375" style="2" customWidth="1"/>
    <col min="12" max="19" width="17.5703125" style="2" customWidth="1"/>
    <col min="20" max="20" width="2.7109375" style="2" customWidth="1"/>
    <col min="21" max="21" width="30"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2" customFormat="1" ht="18" x14ac:dyDescent="0.2">
      <c r="B2" s="22" t="s">
        <v>111</v>
      </c>
    </row>
    <row r="4" spans="2:23" x14ac:dyDescent="0.2">
      <c r="B4" s="32" t="s">
        <v>23</v>
      </c>
      <c r="C4" s="1"/>
      <c r="D4" s="1"/>
      <c r="L4"/>
    </row>
    <row r="5" spans="2:23" x14ac:dyDescent="0.2">
      <c r="B5" s="27" t="s">
        <v>240</v>
      </c>
      <c r="C5" s="3"/>
      <c r="D5" s="3"/>
      <c r="H5" s="23"/>
    </row>
    <row r="6" spans="2:23" x14ac:dyDescent="0.2">
      <c r="B6" s="27" t="s">
        <v>241</v>
      </c>
      <c r="C6" s="3"/>
      <c r="D6" s="3"/>
      <c r="H6" s="23"/>
    </row>
    <row r="7" spans="2:23" x14ac:dyDescent="0.2">
      <c r="B7" s="5"/>
      <c r="C7" s="3"/>
      <c r="D7" s="3"/>
    </row>
    <row r="9" spans="2:23" s="9" customFormat="1" x14ac:dyDescent="0.2">
      <c r="B9" s="9" t="s">
        <v>38</v>
      </c>
      <c r="F9" s="9" t="s">
        <v>21</v>
      </c>
      <c r="H9" s="9" t="s">
        <v>22</v>
      </c>
      <c r="J9" s="9" t="s">
        <v>42</v>
      </c>
      <c r="L9" s="52" t="s">
        <v>74</v>
      </c>
      <c r="M9" s="52" t="s">
        <v>75</v>
      </c>
      <c r="N9" s="52" t="s">
        <v>87</v>
      </c>
      <c r="O9" s="52" t="s">
        <v>88</v>
      </c>
      <c r="P9" s="52" t="s">
        <v>89</v>
      </c>
      <c r="Q9" s="52" t="s">
        <v>90</v>
      </c>
      <c r="R9" s="52" t="s">
        <v>91</v>
      </c>
      <c r="S9" s="52" t="s">
        <v>92</v>
      </c>
      <c r="U9" s="9" t="s">
        <v>39</v>
      </c>
      <c r="W9" s="9" t="s">
        <v>40</v>
      </c>
    </row>
    <row r="12" spans="2:23" s="9" customFormat="1" x14ac:dyDescent="0.2">
      <c r="B12" s="9" t="s">
        <v>117</v>
      </c>
    </row>
    <row r="14" spans="2:23" x14ac:dyDescent="0.2">
      <c r="B14" s="1" t="s">
        <v>135</v>
      </c>
    </row>
    <row r="15" spans="2:23" x14ac:dyDescent="0.2">
      <c r="B15" s="2" t="s">
        <v>129</v>
      </c>
      <c r="F15" s="2" t="s">
        <v>69</v>
      </c>
      <c r="N15" s="58">
        <v>8265383</v>
      </c>
      <c r="O15" s="58">
        <v>8533040.0000000019</v>
      </c>
      <c r="P15" s="58">
        <v>8847096</v>
      </c>
      <c r="Q15" s="58">
        <v>8196545</v>
      </c>
      <c r="R15" s="58">
        <v>9220109</v>
      </c>
      <c r="S15" s="58">
        <v>9088802</v>
      </c>
      <c r="U15" s="2" t="s">
        <v>131</v>
      </c>
    </row>
    <row r="16" spans="2:23" x14ac:dyDescent="0.2">
      <c r="B16" s="2" t="s">
        <v>118</v>
      </c>
      <c r="F16" s="2" t="s">
        <v>76</v>
      </c>
      <c r="N16" s="57">
        <v>0.2278</v>
      </c>
      <c r="O16" s="57">
        <v>0.23419999999999999</v>
      </c>
      <c r="P16" s="57">
        <v>0.22889999999999999</v>
      </c>
      <c r="Q16" s="57">
        <v>0.22889999999999999</v>
      </c>
      <c r="R16" s="57">
        <v>0.2233</v>
      </c>
      <c r="S16" s="57">
        <v>0.22289999999999999</v>
      </c>
      <c r="U16" s="2" t="s">
        <v>131</v>
      </c>
    </row>
    <row r="18" spans="2:23" x14ac:dyDescent="0.2">
      <c r="B18" s="1" t="s">
        <v>119</v>
      </c>
    </row>
    <row r="19" spans="2:23" x14ac:dyDescent="0.2">
      <c r="B19" s="2" t="s">
        <v>106</v>
      </c>
      <c r="F19" s="2" t="s">
        <v>69</v>
      </c>
      <c r="H19" s="58">
        <v>103709394</v>
      </c>
      <c r="U19" s="2" t="s">
        <v>158</v>
      </c>
    </row>
    <row r="20" spans="2:23" x14ac:dyDescent="0.2">
      <c r="B20" s="2" t="s">
        <v>107</v>
      </c>
      <c r="F20" s="2" t="s">
        <v>69</v>
      </c>
      <c r="H20" s="58">
        <v>117075000</v>
      </c>
      <c r="U20" s="2" t="s">
        <v>160</v>
      </c>
    </row>
    <row r="21" spans="2:23" x14ac:dyDescent="0.2">
      <c r="B21" s="2" t="s">
        <v>260</v>
      </c>
      <c r="F21" s="2" t="s">
        <v>230</v>
      </c>
      <c r="H21" s="57">
        <v>0.12995627909000229</v>
      </c>
      <c r="U21" s="2" t="s">
        <v>158</v>
      </c>
    </row>
    <row r="22" spans="2:23" x14ac:dyDescent="0.2">
      <c r="B22" s="2" t="s">
        <v>261</v>
      </c>
      <c r="F22" s="2" t="s">
        <v>71</v>
      </c>
      <c r="H22" s="57">
        <v>0.12450497405259298</v>
      </c>
      <c r="U22" s="2" t="s">
        <v>160</v>
      </c>
    </row>
    <row r="23" spans="2:23" x14ac:dyDescent="0.2">
      <c r="B23" s="2" t="s">
        <v>113</v>
      </c>
      <c r="F23" s="2" t="s">
        <v>230</v>
      </c>
      <c r="H23" s="57">
        <v>0.10184731567967673</v>
      </c>
      <c r="U23" s="2" t="s">
        <v>142</v>
      </c>
      <c r="W23" s="27" t="s">
        <v>171</v>
      </c>
    </row>
    <row r="24" spans="2:23" x14ac:dyDescent="0.2">
      <c r="B24" s="2" t="s">
        <v>114</v>
      </c>
      <c r="F24" s="2" t="s">
        <v>71</v>
      </c>
      <c r="H24" s="57">
        <v>0.10440609826336932</v>
      </c>
      <c r="U24" s="2" t="s">
        <v>160</v>
      </c>
    </row>
    <row r="25" spans="2:23" x14ac:dyDescent="0.2">
      <c r="B25" s="2" t="s">
        <v>168</v>
      </c>
      <c r="F25" s="2" t="s">
        <v>73</v>
      </c>
      <c r="H25" s="81">
        <v>0.71524236600469782</v>
      </c>
      <c r="U25" s="2" t="s">
        <v>188</v>
      </c>
    </row>
    <row r="26" spans="2:23" x14ac:dyDescent="0.2">
      <c r="B26" s="2" t="s">
        <v>181</v>
      </c>
      <c r="F26" s="2" t="s">
        <v>73</v>
      </c>
      <c r="H26" s="81">
        <v>0.98101715729008687</v>
      </c>
      <c r="U26" s="2" t="s">
        <v>189</v>
      </c>
    </row>
    <row r="27" spans="2:23" x14ac:dyDescent="0.2">
      <c r="B27" s="2" t="s">
        <v>193</v>
      </c>
      <c r="F27" s="2" t="s">
        <v>169</v>
      </c>
      <c r="H27" s="80">
        <v>1.6050000000000001E-3</v>
      </c>
      <c r="U27" s="2" t="s">
        <v>194</v>
      </c>
    </row>
    <row r="30" spans="2:23" s="9" customFormat="1" x14ac:dyDescent="0.2">
      <c r="B30" s="9" t="s">
        <v>125</v>
      </c>
    </row>
    <row r="32" spans="2:23" x14ac:dyDescent="0.2">
      <c r="B32" s="1" t="s">
        <v>127</v>
      </c>
    </row>
    <row r="33" spans="2:23" x14ac:dyDescent="0.2">
      <c r="B33" s="2" t="s">
        <v>102</v>
      </c>
      <c r="F33" s="2" t="s">
        <v>77</v>
      </c>
      <c r="L33" s="57">
        <v>0.81</v>
      </c>
      <c r="M33" s="57">
        <v>0.81</v>
      </c>
      <c r="N33" s="57">
        <v>0.81</v>
      </c>
      <c r="O33" s="57">
        <v>0.81</v>
      </c>
      <c r="P33" s="57">
        <v>0.7</v>
      </c>
      <c r="Q33" s="57">
        <v>0.70089999999999997</v>
      </c>
      <c r="U33" s="2" t="s">
        <v>254</v>
      </c>
      <c r="W33" s="2" t="s">
        <v>255</v>
      </c>
    </row>
    <row r="34" spans="2:23" x14ac:dyDescent="0.2">
      <c r="B34" s="2" t="s">
        <v>128</v>
      </c>
      <c r="F34" s="2" t="s">
        <v>69</v>
      </c>
      <c r="N34" s="85">
        <v>1342250.1399999997</v>
      </c>
      <c r="O34" s="85">
        <v>559993.23999999987</v>
      </c>
      <c r="P34" s="85">
        <v>232090.28999999934</v>
      </c>
      <c r="Q34" s="85">
        <v>232720.09000000198</v>
      </c>
      <c r="R34" s="85">
        <v>222970.00999999914</v>
      </c>
      <c r="S34" s="85">
        <v>225110.66999999946</v>
      </c>
      <c r="U34" s="2" t="s">
        <v>162</v>
      </c>
    </row>
    <row r="36" spans="2:23" x14ac:dyDescent="0.2">
      <c r="B36" s="1" t="s">
        <v>152</v>
      </c>
    </row>
    <row r="37" spans="2:23" x14ac:dyDescent="0.2">
      <c r="B37" s="2" t="s">
        <v>123</v>
      </c>
      <c r="F37" s="2" t="s">
        <v>103</v>
      </c>
      <c r="H37" s="42">
        <v>0.27500000000000002</v>
      </c>
      <c r="U37" s="2" t="s">
        <v>153</v>
      </c>
    </row>
    <row r="38" spans="2:23" x14ac:dyDescent="0.2">
      <c r="B38" s="2" t="s">
        <v>124</v>
      </c>
      <c r="F38" s="2" t="s">
        <v>103</v>
      </c>
      <c r="H38" s="42">
        <v>0.26800000000000002</v>
      </c>
      <c r="U38" s="2" t="s">
        <v>147</v>
      </c>
    </row>
    <row r="39" spans="2:23" x14ac:dyDescent="0.2">
      <c r="B39" s="2" t="s">
        <v>149</v>
      </c>
      <c r="F39" s="2" t="s">
        <v>73</v>
      </c>
      <c r="H39" s="81">
        <v>0.98496322512958634</v>
      </c>
      <c r="U39" s="2" t="s">
        <v>154</v>
      </c>
    </row>
    <row r="40" spans="2:23" x14ac:dyDescent="0.2">
      <c r="B40" s="2" t="s">
        <v>150</v>
      </c>
      <c r="F40" s="2" t="s">
        <v>73</v>
      </c>
      <c r="H40" s="81">
        <v>0.92883535715612697</v>
      </c>
      <c r="U40" s="2" t="s">
        <v>151</v>
      </c>
    </row>
    <row r="42" spans="2:23" x14ac:dyDescent="0.2">
      <c r="B42" s="1" t="s">
        <v>126</v>
      </c>
    </row>
    <row r="43" spans="2:23" x14ac:dyDescent="0.2">
      <c r="B43" s="2" t="s">
        <v>108</v>
      </c>
      <c r="F43" s="2" t="s">
        <v>69</v>
      </c>
      <c r="H43" s="58">
        <v>15292508</v>
      </c>
      <c r="U43" s="2" t="s">
        <v>153</v>
      </c>
    </row>
    <row r="44" spans="2:23" x14ac:dyDescent="0.2">
      <c r="B44" s="2" t="s">
        <v>109</v>
      </c>
      <c r="F44" s="2" t="s">
        <v>69</v>
      </c>
      <c r="H44" s="58">
        <v>4603648.6225154428</v>
      </c>
      <c r="U44" s="2" t="s">
        <v>147</v>
      </c>
    </row>
    <row r="45" spans="2:23" x14ac:dyDescent="0.2">
      <c r="B45" s="2" t="s">
        <v>115</v>
      </c>
      <c r="F45" s="2" t="s">
        <v>230</v>
      </c>
      <c r="H45" s="57">
        <v>0.22565753728525106</v>
      </c>
      <c r="U45" s="2" t="s">
        <v>141</v>
      </c>
    </row>
    <row r="46" spans="2:23" x14ac:dyDescent="0.2">
      <c r="B46" s="2" t="s">
        <v>116</v>
      </c>
      <c r="F46" s="2" t="s">
        <v>71</v>
      </c>
      <c r="H46" s="57">
        <v>0.20163157933145207</v>
      </c>
      <c r="U46" s="2" t="s">
        <v>147</v>
      </c>
    </row>
    <row r="47" spans="2:23" x14ac:dyDescent="0.2">
      <c r="B47" s="2" t="s">
        <v>262</v>
      </c>
      <c r="F47" s="2" t="s">
        <v>71</v>
      </c>
      <c r="H47" s="57">
        <v>0.49470102972118973</v>
      </c>
      <c r="U47" s="2" t="s">
        <v>147</v>
      </c>
    </row>
    <row r="50" spans="2:23" s="9" customFormat="1" x14ac:dyDescent="0.2">
      <c r="B50" s="9" t="s">
        <v>184</v>
      </c>
    </row>
    <row r="51" spans="2:23" x14ac:dyDescent="0.2">
      <c r="B51" s="1"/>
    </row>
    <row r="52" spans="2:23" x14ac:dyDescent="0.2">
      <c r="B52" s="2" t="s">
        <v>177</v>
      </c>
      <c r="F52" s="2" t="s">
        <v>179</v>
      </c>
      <c r="H52" s="42">
        <v>85.250900000000001</v>
      </c>
      <c r="U52" s="2" t="s">
        <v>258</v>
      </c>
      <c r="W52" s="2" t="s">
        <v>267</v>
      </c>
    </row>
    <row r="53" spans="2:23" x14ac:dyDescent="0.2">
      <c r="B53" s="2" t="s">
        <v>178</v>
      </c>
      <c r="F53" s="2" t="s">
        <v>77</v>
      </c>
      <c r="H53" s="57">
        <v>0.81</v>
      </c>
      <c r="U53" s="2" t="s">
        <v>131</v>
      </c>
    </row>
    <row r="54" spans="2:23" x14ac:dyDescent="0.2">
      <c r="B54" s="2" t="s">
        <v>272</v>
      </c>
      <c r="F54" s="2" t="s">
        <v>77</v>
      </c>
      <c r="H54" s="57">
        <v>0.82</v>
      </c>
      <c r="U54" s="2" t="s">
        <v>196</v>
      </c>
      <c r="W54" s="2" t="s">
        <v>273</v>
      </c>
    </row>
    <row r="57" spans="2:23" s="9" customFormat="1" x14ac:dyDescent="0.2">
      <c r="B57" s="9" t="s">
        <v>166</v>
      </c>
    </row>
    <row r="58" spans="2:23" x14ac:dyDescent="0.2">
      <c r="B58" s="1"/>
    </row>
    <row r="59" spans="2:23" x14ac:dyDescent="0.2">
      <c r="B59" s="1" t="s">
        <v>227</v>
      </c>
    </row>
    <row r="60" spans="2:23" x14ac:dyDescent="0.2">
      <c r="B60" s="27" t="s">
        <v>229</v>
      </c>
      <c r="F60" s="2" t="s">
        <v>71</v>
      </c>
      <c r="H60" s="57">
        <v>0.26934583555269964</v>
      </c>
      <c r="U60" s="2" t="s">
        <v>232</v>
      </c>
    </row>
    <row r="61" spans="2:23" x14ac:dyDescent="0.2">
      <c r="B61" s="27" t="s">
        <v>228</v>
      </c>
      <c r="F61" s="2" t="s">
        <v>71</v>
      </c>
      <c r="H61" s="57">
        <v>0.47654058699607177</v>
      </c>
      <c r="U61" s="2" t="s">
        <v>232</v>
      </c>
    </row>
    <row r="62" spans="2:23" x14ac:dyDescent="0.2">
      <c r="B62" s="2" t="s">
        <v>170</v>
      </c>
      <c r="F62" s="2" t="s">
        <v>73</v>
      </c>
      <c r="H62" s="63">
        <v>0.48039999999999999</v>
      </c>
      <c r="U62" s="2" t="s">
        <v>207</v>
      </c>
    </row>
    <row r="63" spans="2:23" x14ac:dyDescent="0.2">
      <c r="B63" s="2" t="s">
        <v>197</v>
      </c>
      <c r="F63" s="2" t="s">
        <v>73</v>
      </c>
      <c r="H63" s="81">
        <v>0.112</v>
      </c>
      <c r="U63" s="2" t="s">
        <v>207</v>
      </c>
    </row>
    <row r="64" spans="2:23" x14ac:dyDescent="0.2">
      <c r="B64" s="1"/>
    </row>
    <row r="65" spans="2:23" x14ac:dyDescent="0.2">
      <c r="B65" s="1" t="s">
        <v>231</v>
      </c>
    </row>
    <row r="66" spans="2:23" x14ac:dyDescent="0.2">
      <c r="B66" s="2" t="s">
        <v>122</v>
      </c>
      <c r="F66" s="2" t="s">
        <v>73</v>
      </c>
      <c r="H66" s="63">
        <v>3.5000000000000003E-2</v>
      </c>
      <c r="U66" s="2" t="s">
        <v>130</v>
      </c>
      <c r="W66" s="2" t="s">
        <v>208</v>
      </c>
    </row>
    <row r="67" spans="2:23" x14ac:dyDescent="0.2">
      <c r="B67" s="2" t="s">
        <v>191</v>
      </c>
      <c r="F67" s="2" t="s">
        <v>192</v>
      </c>
      <c r="H67" s="42">
        <v>159</v>
      </c>
      <c r="U67" s="2" t="s">
        <v>195</v>
      </c>
    </row>
    <row r="71" spans="2:23" x14ac:dyDescent="0.2">
      <c r="B71" s="2" t="s">
        <v>268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Y81"/>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4.7109375" style="2" customWidth="1"/>
    <col min="2" max="2" width="58.5703125" style="2" customWidth="1"/>
    <col min="3" max="3" width="4.7109375" style="2" customWidth="1"/>
    <col min="4" max="5" width="4.5703125" style="2" customWidth="1"/>
    <col min="6" max="6" width="13.7109375" style="2" customWidth="1"/>
    <col min="7" max="7" width="2.7109375" style="2" customWidth="1"/>
    <col min="8" max="8" width="16.5703125" style="2" customWidth="1"/>
    <col min="9" max="9" width="2.7109375" style="2" customWidth="1"/>
    <col min="10" max="10" width="13.7109375" style="2" customWidth="1"/>
    <col min="11" max="11" width="2.7109375" style="2" customWidth="1"/>
    <col min="12" max="19" width="17.5703125" style="2" customWidth="1"/>
    <col min="20" max="22" width="2.7109375" style="2" customWidth="1"/>
    <col min="23" max="37" width="13.7109375" style="2" customWidth="1"/>
    <col min="38" max="16384" width="9.140625" style="2"/>
  </cols>
  <sheetData>
    <row r="2" spans="2:23" s="22" customFormat="1" ht="18" x14ac:dyDescent="0.2">
      <c r="B2" s="51" t="s">
        <v>79</v>
      </c>
    </row>
    <row r="4" spans="2:23" x14ac:dyDescent="0.2">
      <c r="B4" s="1" t="s">
        <v>50</v>
      </c>
      <c r="C4" s="1"/>
      <c r="D4" s="1"/>
    </row>
    <row r="5" spans="2:23" x14ac:dyDescent="0.2">
      <c r="B5" s="27" t="s">
        <v>235</v>
      </c>
      <c r="C5" s="27"/>
      <c r="D5" s="27"/>
      <c r="H5" s="23"/>
    </row>
    <row r="6" spans="2:23" x14ac:dyDescent="0.2">
      <c r="B6" s="27" t="s">
        <v>236</v>
      </c>
      <c r="C6" s="27"/>
      <c r="D6" s="27"/>
      <c r="H6" s="23"/>
    </row>
    <row r="7" spans="2:23" x14ac:dyDescent="0.2">
      <c r="B7" s="27"/>
    </row>
    <row r="8" spans="2:23" x14ac:dyDescent="0.2">
      <c r="B8" s="84"/>
    </row>
    <row r="9" spans="2:23" s="52" customFormat="1" x14ac:dyDescent="0.2">
      <c r="B9" s="52" t="s">
        <v>38</v>
      </c>
      <c r="F9" s="52" t="s">
        <v>21</v>
      </c>
      <c r="H9" s="52" t="s">
        <v>22</v>
      </c>
      <c r="J9" s="52" t="s">
        <v>42</v>
      </c>
      <c r="L9" s="52" t="s">
        <v>74</v>
      </c>
      <c r="M9" s="52" t="s">
        <v>75</v>
      </c>
      <c r="N9" s="52" t="s">
        <v>87</v>
      </c>
      <c r="O9" s="52" t="s">
        <v>88</v>
      </c>
      <c r="P9" s="52" t="s">
        <v>89</v>
      </c>
      <c r="Q9" s="52" t="s">
        <v>90</v>
      </c>
      <c r="R9" s="52" t="s">
        <v>91</v>
      </c>
      <c r="S9" s="52" t="s">
        <v>92</v>
      </c>
      <c r="W9" s="52" t="s">
        <v>40</v>
      </c>
    </row>
    <row r="12" spans="2:23" s="52" customFormat="1" x14ac:dyDescent="0.2">
      <c r="B12" s="52" t="s">
        <v>41</v>
      </c>
    </row>
    <row r="14" spans="2:23" x14ac:dyDescent="0.2">
      <c r="B14" s="1" t="s">
        <v>102</v>
      </c>
    </row>
    <row r="15" spans="2:23" x14ac:dyDescent="0.2">
      <c r="B15" s="2" t="s">
        <v>102</v>
      </c>
      <c r="F15" s="2" t="s">
        <v>77</v>
      </c>
      <c r="L15" s="54">
        <f>'Gegevens brandstof en productie'!L33</f>
        <v>0.81</v>
      </c>
      <c r="M15" s="54">
        <f>'Gegevens brandstof en productie'!M33</f>
        <v>0.81</v>
      </c>
      <c r="N15" s="54">
        <f>'Gegevens brandstof en productie'!N33</f>
        <v>0.81</v>
      </c>
      <c r="O15" s="54">
        <f>'Gegevens brandstof en productie'!O33</f>
        <v>0.81</v>
      </c>
      <c r="P15" s="54">
        <f>'Gegevens brandstof en productie'!P33</f>
        <v>0.7</v>
      </c>
      <c r="Q15" s="54">
        <f>'Gegevens brandstof en productie'!Q33</f>
        <v>0.70089999999999997</v>
      </c>
    </row>
    <row r="16" spans="2:23" x14ac:dyDescent="0.2">
      <c r="B16" s="2" t="s">
        <v>123</v>
      </c>
      <c r="F16" s="2" t="s">
        <v>103</v>
      </c>
      <c r="H16" s="62">
        <f>'Gegevens brandstof en productie'!H37</f>
        <v>0.27500000000000002</v>
      </c>
    </row>
    <row r="17" spans="2:8" x14ac:dyDescent="0.2">
      <c r="B17" s="2" t="s">
        <v>124</v>
      </c>
      <c r="F17" s="2" t="s">
        <v>103</v>
      </c>
      <c r="H17" s="62">
        <f>'Gegevens brandstof en productie'!H38</f>
        <v>0.26800000000000002</v>
      </c>
    </row>
    <row r="18" spans="2:8" x14ac:dyDescent="0.2">
      <c r="B18" s="2" t="s">
        <v>149</v>
      </c>
      <c r="F18" s="2" t="s">
        <v>73</v>
      </c>
      <c r="H18" s="66">
        <f>'Gegevens brandstof en productie'!H39</f>
        <v>0.98496322512958634</v>
      </c>
    </row>
    <row r="19" spans="2:8" x14ac:dyDescent="0.2">
      <c r="B19" s="2" t="s">
        <v>150</v>
      </c>
      <c r="F19" s="2" t="s">
        <v>73</v>
      </c>
      <c r="H19" s="66">
        <f>'Gegevens brandstof en productie'!H40</f>
        <v>0.92883535715612697</v>
      </c>
    </row>
    <row r="21" spans="2:8" x14ac:dyDescent="0.2">
      <c r="B21" s="1" t="s">
        <v>105</v>
      </c>
    </row>
    <row r="22" spans="2:8" x14ac:dyDescent="0.2">
      <c r="B22" s="2" t="s">
        <v>106</v>
      </c>
      <c r="F22" s="2" t="s">
        <v>69</v>
      </c>
      <c r="H22" s="47">
        <f>'Gegevens brandstof en productie'!H19</f>
        <v>103709394</v>
      </c>
    </row>
    <row r="23" spans="2:8" x14ac:dyDescent="0.2">
      <c r="B23" s="2" t="s">
        <v>107</v>
      </c>
      <c r="F23" s="2" t="s">
        <v>69</v>
      </c>
      <c r="H23" s="47">
        <f>'Gegevens brandstof en productie'!H20</f>
        <v>117075000</v>
      </c>
    </row>
    <row r="24" spans="2:8" x14ac:dyDescent="0.2">
      <c r="B24" s="2" t="s">
        <v>108</v>
      </c>
      <c r="F24" s="2" t="s">
        <v>69</v>
      </c>
      <c r="H24" s="47">
        <f>'Gegevens brandstof en productie'!H43</f>
        <v>15292508</v>
      </c>
    </row>
    <row r="25" spans="2:8" x14ac:dyDescent="0.2">
      <c r="B25" s="2" t="s">
        <v>109</v>
      </c>
      <c r="F25" s="2" t="s">
        <v>69</v>
      </c>
      <c r="H25" s="47">
        <f>'Gegevens brandstof en productie'!H44</f>
        <v>4603648.6225154428</v>
      </c>
    </row>
    <row r="27" spans="2:8" x14ac:dyDescent="0.2">
      <c r="B27" s="1" t="s">
        <v>112</v>
      </c>
    </row>
    <row r="28" spans="2:8" x14ac:dyDescent="0.2">
      <c r="B28" s="2" t="s">
        <v>113</v>
      </c>
      <c r="F28" s="2" t="s">
        <v>68</v>
      </c>
      <c r="H28" s="62">
        <f>'Gegevens brandstof en productie'!H23</f>
        <v>0.10184731567967673</v>
      </c>
    </row>
    <row r="29" spans="2:8" x14ac:dyDescent="0.2">
      <c r="B29" s="2" t="s">
        <v>114</v>
      </c>
      <c r="F29" s="2" t="s">
        <v>86</v>
      </c>
      <c r="H29" s="62">
        <f>'Gegevens brandstof en productie'!H24</f>
        <v>0.10440609826336932</v>
      </c>
    </row>
    <row r="30" spans="2:8" x14ac:dyDescent="0.2">
      <c r="B30" s="2" t="s">
        <v>115</v>
      </c>
      <c r="F30" s="2" t="s">
        <v>68</v>
      </c>
      <c r="H30" s="62">
        <f>'Gegevens brandstof en productie'!H45</f>
        <v>0.22565753728525106</v>
      </c>
    </row>
    <row r="31" spans="2:8" x14ac:dyDescent="0.2">
      <c r="B31" s="2" t="s">
        <v>116</v>
      </c>
      <c r="F31" s="2" t="s">
        <v>86</v>
      </c>
      <c r="H31" s="62">
        <f>'Gegevens brandstof en productie'!H46</f>
        <v>0.20163157933145207</v>
      </c>
    </row>
    <row r="33" spans="2:19" x14ac:dyDescent="0.2">
      <c r="B33" s="1" t="s">
        <v>121</v>
      </c>
    </row>
    <row r="34" spans="2:19" x14ac:dyDescent="0.2">
      <c r="B34" s="2" t="s">
        <v>260</v>
      </c>
      <c r="F34" s="2" t="s">
        <v>68</v>
      </c>
      <c r="H34" s="62">
        <f>'Gegevens brandstof en productie'!H21</f>
        <v>0.12995627909000229</v>
      </c>
    </row>
    <row r="35" spans="2:19" x14ac:dyDescent="0.2">
      <c r="B35" s="2" t="s">
        <v>264</v>
      </c>
      <c r="F35" s="2" t="s">
        <v>86</v>
      </c>
      <c r="H35" s="62">
        <f>'Gegevens brandstof en productie'!H22</f>
        <v>0.12450497405259298</v>
      </c>
    </row>
    <row r="37" spans="2:19" x14ac:dyDescent="0.2">
      <c r="B37" s="2" t="s">
        <v>110</v>
      </c>
      <c r="F37" s="2" t="s">
        <v>73</v>
      </c>
      <c r="H37" s="66">
        <f>'Gegevens brandstof en productie'!H66</f>
        <v>3.5000000000000003E-2</v>
      </c>
    </row>
    <row r="40" spans="2:19" s="52" customFormat="1" x14ac:dyDescent="0.2">
      <c r="B40" s="53" t="s">
        <v>104</v>
      </c>
    </row>
    <row r="42" spans="2:19" x14ac:dyDescent="0.2">
      <c r="B42" s="1" t="s">
        <v>209</v>
      </c>
    </row>
    <row r="43" spans="2:19" x14ac:dyDescent="0.2">
      <c r="B43" s="2" t="s">
        <v>120</v>
      </c>
      <c r="F43" s="2" t="s">
        <v>76</v>
      </c>
      <c r="N43" s="60">
        <f>'Gegevens brandstof en productie'!N16</f>
        <v>0.2278</v>
      </c>
      <c r="O43" s="60">
        <f>'Gegevens brandstof en productie'!O16</f>
        <v>0.23419999999999999</v>
      </c>
      <c r="P43" s="60">
        <f>'Gegevens brandstof en productie'!P16</f>
        <v>0.22889999999999999</v>
      </c>
      <c r="Q43" s="60">
        <f>'Gegevens brandstof en productie'!Q16</f>
        <v>0.22889999999999999</v>
      </c>
      <c r="R43" s="60">
        <f>'Gegevens brandstof en productie'!R16</f>
        <v>0.2233</v>
      </c>
      <c r="S43" s="60">
        <f>'Gegevens brandstof en productie'!S16</f>
        <v>0.22289999999999999</v>
      </c>
    </row>
    <row r="44" spans="2:19" x14ac:dyDescent="0.2">
      <c r="B44" s="2" t="s">
        <v>263</v>
      </c>
      <c r="F44" s="2" t="s">
        <v>76</v>
      </c>
      <c r="N44" s="60">
        <f>$H$34</f>
        <v>0.12995627909000229</v>
      </c>
      <c r="O44" s="60">
        <f>$H$34</f>
        <v>0.12995627909000229</v>
      </c>
      <c r="P44" s="60">
        <f>$H$35</f>
        <v>0.12450497405259298</v>
      </c>
      <c r="Q44" s="60">
        <f>$H$35</f>
        <v>0.12450497405259298</v>
      </c>
      <c r="R44" s="60">
        <f>$H$35</f>
        <v>0.12450497405259298</v>
      </c>
      <c r="S44" s="60">
        <f>$H$35</f>
        <v>0.12450497405259298</v>
      </c>
    </row>
    <row r="46" spans="2:19" x14ac:dyDescent="0.2">
      <c r="B46" s="1" t="s">
        <v>98</v>
      </c>
    </row>
    <row r="47" spans="2:19" x14ac:dyDescent="0.2">
      <c r="B47" s="2" t="s">
        <v>136</v>
      </c>
      <c r="F47" s="2" t="s">
        <v>69</v>
      </c>
      <c r="N47" s="59">
        <f>'Gegevens brandstof en productie'!N15</f>
        <v>8265383</v>
      </c>
      <c r="O47" s="59">
        <f>'Gegevens brandstof en productie'!O15</f>
        <v>8533040.0000000019</v>
      </c>
      <c r="P47" s="59">
        <f>'Gegevens brandstof en productie'!P15</f>
        <v>8847096</v>
      </c>
      <c r="Q47" s="59">
        <f>'Gegevens brandstof en productie'!Q15</f>
        <v>8196545</v>
      </c>
      <c r="R47" s="59">
        <f>'Gegevens brandstof en productie'!R15</f>
        <v>9220109</v>
      </c>
      <c r="S47" s="59">
        <f>'Gegevens brandstof en productie'!S15</f>
        <v>9088802</v>
      </c>
    </row>
    <row r="48" spans="2:19" x14ac:dyDescent="0.2">
      <c r="B48" s="2" t="s">
        <v>137</v>
      </c>
      <c r="F48" s="2" t="s">
        <v>69</v>
      </c>
      <c r="N48" s="59">
        <f>'Gegevens brandstof en productie'!N34</f>
        <v>1342250.1399999997</v>
      </c>
      <c r="O48" s="59">
        <f>'Gegevens brandstof en productie'!O34</f>
        <v>559993.23999999987</v>
      </c>
      <c r="P48" s="59">
        <f>'Gegevens brandstof en productie'!P34</f>
        <v>232090.28999999934</v>
      </c>
      <c r="Q48" s="59">
        <f>'Gegevens brandstof en productie'!Q34</f>
        <v>232720.09000000198</v>
      </c>
      <c r="R48" s="59">
        <f>'Gegevens brandstof en productie'!R34</f>
        <v>222970.00999999914</v>
      </c>
      <c r="S48" s="59">
        <f>'Gegevens brandstof en productie'!S34</f>
        <v>225110.66999999946</v>
      </c>
    </row>
    <row r="49" spans="1:23" x14ac:dyDescent="0.2">
      <c r="B49" s="2" t="s">
        <v>96</v>
      </c>
      <c r="F49" s="2" t="s">
        <v>76</v>
      </c>
      <c r="N49" s="48">
        <f t="shared" ref="N49:S49" si="0">N43-N44</f>
        <v>9.7843720909997711E-2</v>
      </c>
      <c r="O49" s="48">
        <f t="shared" si="0"/>
        <v>0.1042437209099977</v>
      </c>
      <c r="P49" s="48">
        <f t="shared" si="0"/>
        <v>0.10439502594740702</v>
      </c>
      <c r="Q49" s="48">
        <f t="shared" si="0"/>
        <v>0.10439502594740702</v>
      </c>
      <c r="R49" s="48">
        <f t="shared" si="0"/>
        <v>9.8795025947407022E-2</v>
      </c>
      <c r="S49" s="48">
        <f t="shared" si="0"/>
        <v>9.8395025947407011E-2</v>
      </c>
    </row>
    <row r="50" spans="1:23" x14ac:dyDescent="0.2">
      <c r="B50" s="2" t="s">
        <v>97</v>
      </c>
      <c r="F50" s="2" t="s">
        <v>76</v>
      </c>
      <c r="N50" s="48">
        <f>L15*$H$16*$H$18</f>
        <v>0.21940055839761538</v>
      </c>
      <c r="O50" s="48">
        <f>M15*$H$16*$H$18</f>
        <v>0.21940055839761538</v>
      </c>
      <c r="P50" s="48">
        <f>N15*$H$17*$H$19</f>
        <v>0.20163157933145207</v>
      </c>
      <c r="Q50" s="48">
        <f>O15*$H$17*$H$19</f>
        <v>0.20163157933145207</v>
      </c>
      <c r="R50" s="48">
        <f>P15*$H$17*$H$19</f>
        <v>0.17424951300248942</v>
      </c>
      <c r="S50" s="48">
        <f>Q15*$H$17*$H$19</f>
        <v>0.17447354809063548</v>
      </c>
      <c r="W50" s="2" t="s">
        <v>247</v>
      </c>
    </row>
    <row r="51" spans="1:23" x14ac:dyDescent="0.2">
      <c r="B51" s="2" t="s">
        <v>94</v>
      </c>
      <c r="F51" s="2" t="s">
        <v>76</v>
      </c>
      <c r="N51" s="61">
        <f t="shared" ref="N51:S51" si="1">(N47*N49+N48*N50)/(N47+N48)</f>
        <v>0.11482601818948271</v>
      </c>
      <c r="O51" s="61">
        <f t="shared" si="1"/>
        <v>0.11133563939646794</v>
      </c>
      <c r="P51" s="61">
        <f t="shared" si="1"/>
        <v>0.10688067379652759</v>
      </c>
      <c r="Q51" s="61">
        <f t="shared" si="1"/>
        <v>0.10707958969207684</v>
      </c>
      <c r="R51" s="61">
        <f t="shared" si="1"/>
        <v>0.10057665752280738</v>
      </c>
      <c r="S51" s="61">
        <f t="shared" si="1"/>
        <v>0.10023378992330671</v>
      </c>
    </row>
    <row r="52" spans="1:23" x14ac:dyDescent="0.2">
      <c r="N52" s="55"/>
      <c r="O52" s="55"/>
      <c r="P52" s="55"/>
      <c r="Q52" s="55"/>
      <c r="R52" s="55"/>
      <c r="S52" s="55"/>
    </row>
    <row r="53" spans="1:23" x14ac:dyDescent="0.2">
      <c r="B53" s="1" t="s">
        <v>99</v>
      </c>
      <c r="N53" s="55"/>
      <c r="O53" s="55"/>
      <c r="P53" s="55"/>
      <c r="Q53" s="55"/>
      <c r="R53" s="55"/>
      <c r="S53" s="55"/>
    </row>
    <row r="54" spans="1:23" x14ac:dyDescent="0.2">
      <c r="B54" s="2" t="s">
        <v>138</v>
      </c>
      <c r="F54" s="2" t="s">
        <v>69</v>
      </c>
      <c r="N54" s="59">
        <f>$H$22</f>
        <v>103709394</v>
      </c>
      <c r="O54" s="59">
        <f>$H$22</f>
        <v>103709394</v>
      </c>
      <c r="P54" s="59">
        <f>$H$23</f>
        <v>117075000</v>
      </c>
      <c r="Q54" s="59">
        <f>$H$23</f>
        <v>117075000</v>
      </c>
      <c r="R54" s="59">
        <f>$H$23</f>
        <v>117075000</v>
      </c>
      <c r="S54" s="59">
        <f>$H$23</f>
        <v>117075000</v>
      </c>
    </row>
    <row r="55" spans="1:23" x14ac:dyDescent="0.2">
      <c r="B55" s="2" t="s">
        <v>139</v>
      </c>
      <c r="F55" s="2" t="s">
        <v>69</v>
      </c>
      <c r="N55" s="59">
        <f>$H$24</f>
        <v>15292508</v>
      </c>
      <c r="O55" s="59">
        <f>$H$24</f>
        <v>15292508</v>
      </c>
      <c r="P55" s="59">
        <f>$H$25</f>
        <v>4603648.6225154428</v>
      </c>
      <c r="Q55" s="59">
        <f>$H$25</f>
        <v>4603648.6225154428</v>
      </c>
      <c r="R55" s="59">
        <f>$H$25</f>
        <v>4603648.6225154428</v>
      </c>
      <c r="S55" s="59">
        <f>$H$25</f>
        <v>4603648.6225154428</v>
      </c>
    </row>
    <row r="56" spans="1:23" x14ac:dyDescent="0.2">
      <c r="B56" s="2" t="s">
        <v>100</v>
      </c>
      <c r="F56" s="2" t="s">
        <v>76</v>
      </c>
      <c r="H56" s="23"/>
      <c r="N56" s="62">
        <f>$H$28</f>
        <v>0.10184731567967673</v>
      </c>
      <c r="O56" s="62">
        <f>$H$28</f>
        <v>0.10184731567967673</v>
      </c>
      <c r="P56" s="60">
        <f>$H$29</f>
        <v>0.10440609826336932</v>
      </c>
      <c r="Q56" s="60">
        <f>$H$29</f>
        <v>0.10440609826336932</v>
      </c>
      <c r="R56" s="60">
        <f>$H$29</f>
        <v>0.10440609826336932</v>
      </c>
      <c r="S56" s="60">
        <f>$H$29</f>
        <v>0.10440609826336932</v>
      </c>
    </row>
    <row r="57" spans="1:23" x14ac:dyDescent="0.2">
      <c r="B57" s="2" t="s">
        <v>101</v>
      </c>
      <c r="F57" s="2" t="s">
        <v>76</v>
      </c>
      <c r="H57" s="23"/>
      <c r="N57" s="60">
        <f>$H$30</f>
        <v>0.22565753728525106</v>
      </c>
      <c r="O57" s="60">
        <f>$H$30</f>
        <v>0.22565753728525106</v>
      </c>
      <c r="P57" s="60">
        <f>$H$31</f>
        <v>0.20163157933145207</v>
      </c>
      <c r="Q57" s="60">
        <f>$H$31</f>
        <v>0.20163157933145207</v>
      </c>
      <c r="R57" s="60">
        <f>$H$31</f>
        <v>0.20163157933145207</v>
      </c>
      <c r="S57" s="60">
        <f>$H$31</f>
        <v>0.20163157933145207</v>
      </c>
    </row>
    <row r="58" spans="1:23" x14ac:dyDescent="0.2">
      <c r="B58" s="2" t="s">
        <v>93</v>
      </c>
      <c r="F58" s="2" t="s">
        <v>76</v>
      </c>
      <c r="H58" s="23"/>
      <c r="N58" s="61">
        <f t="shared" ref="N58:S58" si="2">(N54*N56+N55*N57)/(N54+N55)</f>
        <v>0.11775772360227461</v>
      </c>
      <c r="O58" s="61">
        <f t="shared" si="2"/>
        <v>0.11775772360227461</v>
      </c>
      <c r="P58" s="61">
        <f t="shared" si="2"/>
        <v>0.10808457396193702</v>
      </c>
      <c r="Q58" s="61">
        <f t="shared" si="2"/>
        <v>0.10808457396193702</v>
      </c>
      <c r="R58" s="61">
        <f t="shared" si="2"/>
        <v>0.10808457396193702</v>
      </c>
      <c r="S58" s="61">
        <f t="shared" si="2"/>
        <v>0.10808457396193702</v>
      </c>
    </row>
    <row r="59" spans="1:23" x14ac:dyDescent="0.2">
      <c r="H59" s="23"/>
      <c r="N59" s="55"/>
      <c r="O59" s="55"/>
      <c r="P59" s="55"/>
      <c r="Q59" s="55"/>
      <c r="R59" s="55"/>
      <c r="S59" s="55"/>
    </row>
    <row r="60" spans="1:23" x14ac:dyDescent="0.2">
      <c r="H60" s="23"/>
      <c r="N60" s="55"/>
      <c r="O60" s="55"/>
      <c r="P60" s="55"/>
      <c r="Q60" s="55"/>
      <c r="R60" s="55"/>
      <c r="S60" s="55"/>
    </row>
    <row r="61" spans="1:23" s="52" customFormat="1" x14ac:dyDescent="0.2">
      <c r="B61" s="53" t="s">
        <v>80</v>
      </c>
      <c r="N61" s="56"/>
      <c r="O61" s="56"/>
      <c r="P61" s="56"/>
      <c r="Q61" s="56"/>
      <c r="R61" s="56"/>
      <c r="S61" s="56"/>
    </row>
    <row r="62" spans="1:23" x14ac:dyDescent="0.2">
      <c r="N62" s="55"/>
      <c r="O62" s="55"/>
      <c r="P62" s="55"/>
      <c r="Q62" s="55"/>
      <c r="R62" s="55"/>
      <c r="S62" s="55"/>
    </row>
    <row r="63" spans="1:23" x14ac:dyDescent="0.2">
      <c r="A63" s="10"/>
      <c r="B63" s="2" t="s">
        <v>94</v>
      </c>
      <c r="F63" s="2" t="s">
        <v>76</v>
      </c>
      <c r="N63" s="60">
        <f>N51</f>
        <v>0.11482601818948271</v>
      </c>
      <c r="O63" s="60">
        <f t="shared" ref="O63:S63" si="3">O51</f>
        <v>0.11133563939646794</v>
      </c>
      <c r="P63" s="60">
        <f t="shared" si="3"/>
        <v>0.10688067379652759</v>
      </c>
      <c r="Q63" s="60">
        <f t="shared" si="3"/>
        <v>0.10707958969207684</v>
      </c>
      <c r="R63" s="60">
        <f t="shared" si="3"/>
        <v>0.10057665752280738</v>
      </c>
      <c r="S63" s="60">
        <f t="shared" si="3"/>
        <v>0.10023378992330671</v>
      </c>
    </row>
    <row r="64" spans="1:23" x14ac:dyDescent="0.2">
      <c r="A64" s="10"/>
      <c r="B64" s="2" t="s">
        <v>93</v>
      </c>
      <c r="F64" s="2" t="s">
        <v>76</v>
      </c>
      <c r="N64" s="60">
        <f>N58</f>
        <v>0.11775772360227461</v>
      </c>
      <c r="O64" s="60">
        <f t="shared" ref="O64:S64" si="4">O58</f>
        <v>0.11775772360227461</v>
      </c>
      <c r="P64" s="60">
        <f t="shared" si="4"/>
        <v>0.10808457396193702</v>
      </c>
      <c r="Q64" s="60">
        <f t="shared" si="4"/>
        <v>0.10808457396193702</v>
      </c>
      <c r="R64" s="60">
        <f t="shared" si="4"/>
        <v>0.10808457396193702</v>
      </c>
      <c r="S64" s="60">
        <f t="shared" si="4"/>
        <v>0.10808457396193702</v>
      </c>
    </row>
    <row r="65" spans="1:25" x14ac:dyDescent="0.2">
      <c r="A65" s="10"/>
      <c r="B65" s="2" t="s">
        <v>95</v>
      </c>
      <c r="F65" s="2" t="s">
        <v>76</v>
      </c>
      <c r="N65" s="61">
        <f>N63-N64</f>
        <v>-2.9317054127919046E-3</v>
      </c>
      <c r="O65" s="61">
        <f t="shared" ref="O65:S65" si="5">O63-O64</f>
        <v>-6.4220842058066718E-3</v>
      </c>
      <c r="P65" s="61">
        <f t="shared" si="5"/>
        <v>-1.20390016540943E-3</v>
      </c>
      <c r="Q65" s="61">
        <f t="shared" si="5"/>
        <v>-1.0049842698601763E-3</v>
      </c>
      <c r="R65" s="61">
        <f t="shared" si="5"/>
        <v>-7.5079164391296388E-3</v>
      </c>
      <c r="S65" s="61">
        <f t="shared" si="5"/>
        <v>-7.8507840386303068E-3</v>
      </c>
      <c r="W65" s="2" t="s">
        <v>210</v>
      </c>
      <c r="Y65" s="31"/>
    </row>
    <row r="66" spans="1:25" x14ac:dyDescent="0.2">
      <c r="A66" s="10"/>
      <c r="B66" s="2" t="s">
        <v>78</v>
      </c>
      <c r="F66" s="2" t="s">
        <v>69</v>
      </c>
      <c r="N66" s="67">
        <f>N47+N48</f>
        <v>9607633.1400000006</v>
      </c>
      <c r="O66" s="67">
        <f t="shared" ref="O66:S66" si="6">O47+O48</f>
        <v>9093033.2400000021</v>
      </c>
      <c r="P66" s="67">
        <f t="shared" si="6"/>
        <v>9079186.2899999991</v>
      </c>
      <c r="Q66" s="67">
        <f t="shared" si="6"/>
        <v>8429265.0900000017</v>
      </c>
      <c r="R66" s="67">
        <f t="shared" si="6"/>
        <v>9443079.0099999998</v>
      </c>
      <c r="S66" s="67">
        <f t="shared" si="6"/>
        <v>9313912.6699999999</v>
      </c>
    </row>
    <row r="67" spans="1:25" x14ac:dyDescent="0.2">
      <c r="A67" s="10"/>
      <c r="B67" s="2" t="s">
        <v>82</v>
      </c>
      <c r="F67" s="2" t="s">
        <v>83</v>
      </c>
      <c r="N67" s="67">
        <f>N65*N66</f>
        <v>-28166.750080656882</v>
      </c>
      <c r="O67" s="67">
        <f t="shared" ref="O67:S67" si="7">O65*O66</f>
        <v>-58396.225153479085</v>
      </c>
      <c r="P67" s="67">
        <f t="shared" si="7"/>
        <v>-10930.433876314028</v>
      </c>
      <c r="Q67" s="67">
        <f t="shared" si="7"/>
        <v>-8471.2788219315244</v>
      </c>
      <c r="R67" s="67">
        <f t="shared" si="7"/>
        <v>-70897.84813517904</v>
      </c>
      <c r="S67" s="67">
        <f t="shared" si="7"/>
        <v>-73121.516926832584</v>
      </c>
    </row>
    <row r="68" spans="1:25" x14ac:dyDescent="0.2">
      <c r="A68" s="10"/>
    </row>
    <row r="69" spans="1:25" x14ac:dyDescent="0.2">
      <c r="A69" s="10"/>
      <c r="B69" s="2" t="s">
        <v>84</v>
      </c>
      <c r="F69" s="2" t="s">
        <v>68</v>
      </c>
      <c r="H69" s="68">
        <f>N67+O67</f>
        <v>-86562.975234135971</v>
      </c>
    </row>
    <row r="70" spans="1:25" x14ac:dyDescent="0.2">
      <c r="A70" s="10"/>
      <c r="B70" s="2" t="s">
        <v>85</v>
      </c>
      <c r="F70" s="2" t="s">
        <v>86</v>
      </c>
      <c r="H70" s="68">
        <f>SUM(P67:S67)</f>
        <v>-163421.07776025718</v>
      </c>
    </row>
    <row r="71" spans="1:25" x14ac:dyDescent="0.2">
      <c r="B71" s="2" t="s">
        <v>81</v>
      </c>
      <c r="F71" s="2" t="s">
        <v>86</v>
      </c>
      <c r="H71" s="69">
        <f>H69*(1+H37)+H70</f>
        <v>-253013.75712758792</v>
      </c>
    </row>
    <row r="74" spans="1:25" s="52" customFormat="1" x14ac:dyDescent="0.2">
      <c r="B74" s="52" t="s">
        <v>163</v>
      </c>
    </row>
    <row r="76" spans="1:25" x14ac:dyDescent="0.2">
      <c r="B76" s="2" t="s">
        <v>164</v>
      </c>
      <c r="F76" s="2" t="s">
        <v>69</v>
      </c>
      <c r="H76" s="70">
        <f>H23+H25</f>
        <v>121678648.62251544</v>
      </c>
    </row>
    <row r="77" spans="1:25" x14ac:dyDescent="0.2">
      <c r="B77" s="2" t="s">
        <v>167</v>
      </c>
      <c r="F77" s="2" t="s">
        <v>69</v>
      </c>
      <c r="H77" s="72">
        <f>'Gegevens brandstof en productie'!H62</f>
        <v>0.48039999999999999</v>
      </c>
    </row>
    <row r="78" spans="1:25" x14ac:dyDescent="0.2">
      <c r="B78" s="2" t="s">
        <v>165</v>
      </c>
      <c r="F78" s="2" t="s">
        <v>69</v>
      </c>
      <c r="H78" s="71">
        <f>H76*(1-H77)</f>
        <v>63224225.824259028</v>
      </c>
    </row>
    <row r="81" spans="2:2" x14ac:dyDescent="0.2">
      <c r="B81" s="2" t="s">
        <v>268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N52"/>
  <sheetViews>
    <sheetView showGridLines="0" zoomScale="85" zoomScaleNormal="85" workbookViewId="0">
      <pane xSplit="6" ySplit="9" topLeftCell="G10" activePane="bottomRight" state="frozen"/>
      <selection pane="topRight" activeCell="G1" sqref="G1"/>
      <selection pane="bottomLeft" activeCell="A11" sqref="A11"/>
      <selection pane="bottomRight" activeCell="G10" sqref="G10"/>
    </sheetView>
  </sheetViews>
  <sheetFormatPr defaultRowHeight="12.75" x14ac:dyDescent="0.2"/>
  <cols>
    <col min="1" max="1" width="4.7109375" style="2" customWidth="1"/>
    <col min="2" max="2" width="72.5703125" style="2" customWidth="1"/>
    <col min="3" max="3" width="4.7109375" style="2" customWidth="1"/>
    <col min="4" max="5" width="4.5703125" style="2" customWidth="1"/>
    <col min="6" max="6" width="18.5703125" style="2" customWidth="1"/>
    <col min="7" max="7" width="2.7109375" style="2" customWidth="1"/>
    <col min="8" max="8" width="16.5703125" style="74" customWidth="1"/>
    <col min="9" max="11" width="2.7109375" style="2" customWidth="1"/>
    <col min="12" max="26" width="13.7109375" style="2" customWidth="1"/>
    <col min="27" max="16384" width="9.140625" style="2"/>
  </cols>
  <sheetData>
    <row r="2" spans="2:12" s="22" customFormat="1" ht="18" x14ac:dyDescent="0.2">
      <c r="B2" s="51" t="s">
        <v>172</v>
      </c>
      <c r="H2" s="73"/>
    </row>
    <row r="4" spans="2:12" x14ac:dyDescent="0.2">
      <c r="B4" s="1" t="s">
        <v>50</v>
      </c>
      <c r="C4" s="1"/>
      <c r="D4" s="1"/>
    </row>
    <row r="5" spans="2:12" x14ac:dyDescent="0.2">
      <c r="B5" s="27" t="s">
        <v>237</v>
      </c>
      <c r="C5" s="27"/>
      <c r="D5" s="27"/>
      <c r="H5" s="75"/>
    </row>
    <row r="6" spans="2:12" x14ac:dyDescent="0.2">
      <c r="B6" s="27"/>
      <c r="C6" s="27"/>
      <c r="D6" s="27"/>
      <c r="H6" s="75"/>
    </row>
    <row r="8" spans="2:12" s="52" customFormat="1" x14ac:dyDescent="0.2">
      <c r="B8" s="52" t="s">
        <v>38</v>
      </c>
      <c r="F8" s="52" t="s">
        <v>21</v>
      </c>
      <c r="H8" s="76" t="s">
        <v>22</v>
      </c>
      <c r="L8" s="52" t="s">
        <v>40</v>
      </c>
    </row>
    <row r="11" spans="2:12" s="52" customFormat="1" x14ac:dyDescent="0.2">
      <c r="B11" s="52" t="s">
        <v>41</v>
      </c>
      <c r="H11" s="76"/>
    </row>
    <row r="13" spans="2:12" x14ac:dyDescent="0.2">
      <c r="B13" s="1" t="s">
        <v>175</v>
      </c>
    </row>
    <row r="14" spans="2:12" x14ac:dyDescent="0.2">
      <c r="B14" s="2" t="s">
        <v>177</v>
      </c>
      <c r="F14" s="2" t="s">
        <v>179</v>
      </c>
      <c r="H14" s="77">
        <f>'Gegevens brandstof en productie'!H52</f>
        <v>85.250900000000001</v>
      </c>
    </row>
    <row r="15" spans="2:12" x14ac:dyDescent="0.2">
      <c r="B15" s="2" t="s">
        <v>178</v>
      </c>
      <c r="F15" s="2" t="s">
        <v>77</v>
      </c>
      <c r="H15" s="60">
        <f>'Gegevens brandstof en productie'!H53</f>
        <v>0.81</v>
      </c>
    </row>
    <row r="16" spans="2:12" x14ac:dyDescent="0.2">
      <c r="B16" s="2" t="s">
        <v>176</v>
      </c>
      <c r="F16" s="2" t="s">
        <v>77</v>
      </c>
      <c r="H16" s="60">
        <f>'Gegevens brandstof en productie'!H54</f>
        <v>0.82</v>
      </c>
    </row>
    <row r="18" spans="2:12" x14ac:dyDescent="0.2">
      <c r="B18" s="1" t="s">
        <v>180</v>
      </c>
    </row>
    <row r="19" spans="2:12" x14ac:dyDescent="0.2">
      <c r="B19" s="2" t="s">
        <v>107</v>
      </c>
      <c r="F19" s="2" t="s">
        <v>69</v>
      </c>
      <c r="H19" s="59">
        <f>'Gegevens brandstof en productie'!H20</f>
        <v>117075000</v>
      </c>
    </row>
    <row r="20" spans="2:12" x14ac:dyDescent="0.2">
      <c r="B20" s="2" t="s">
        <v>168</v>
      </c>
      <c r="F20" s="2" t="s">
        <v>73</v>
      </c>
      <c r="H20" s="66">
        <f>'Gegevens brandstof en productie'!H25</f>
        <v>0.71524236600469782</v>
      </c>
    </row>
    <row r="21" spans="2:12" x14ac:dyDescent="0.2">
      <c r="B21" s="2" t="s">
        <v>181</v>
      </c>
      <c r="F21" s="2" t="s">
        <v>73</v>
      </c>
      <c r="H21" s="66">
        <f>'Gegevens brandstof en productie'!H26</f>
        <v>0.98101715729008687</v>
      </c>
    </row>
    <row r="22" spans="2:12" x14ac:dyDescent="0.2">
      <c r="B22" s="2" t="s">
        <v>193</v>
      </c>
      <c r="F22" s="2" t="s">
        <v>169</v>
      </c>
      <c r="H22" s="79">
        <f>'Gegevens brandstof en productie'!H27</f>
        <v>1.6050000000000001E-3</v>
      </c>
      <c r="L22" s="2" t="s">
        <v>212</v>
      </c>
    </row>
    <row r="23" spans="2:12" x14ac:dyDescent="0.2">
      <c r="B23" s="2" t="s">
        <v>191</v>
      </c>
      <c r="F23" s="2" t="s">
        <v>192</v>
      </c>
      <c r="H23" s="77">
        <f>'Gegevens brandstof en productie'!H67</f>
        <v>159</v>
      </c>
    </row>
    <row r="25" spans="2:12" x14ac:dyDescent="0.2">
      <c r="B25" s="1" t="s">
        <v>182</v>
      </c>
    </row>
    <row r="26" spans="2:12" x14ac:dyDescent="0.2">
      <c r="B26" s="2" t="s">
        <v>109</v>
      </c>
      <c r="F26" s="2" t="s">
        <v>69</v>
      </c>
      <c r="H26" s="59">
        <f>'Gegevens brandstof en productie'!H44</f>
        <v>4603648.6225154428</v>
      </c>
    </row>
    <row r="27" spans="2:12" x14ac:dyDescent="0.2">
      <c r="B27" s="2" t="s">
        <v>150</v>
      </c>
      <c r="F27" s="2" t="s">
        <v>73</v>
      </c>
      <c r="H27" s="66">
        <f>'Gegevens brandstof en productie'!H40</f>
        <v>0.92883535715612697</v>
      </c>
    </row>
    <row r="28" spans="2:12" x14ac:dyDescent="0.2">
      <c r="B28" s="2" t="s">
        <v>183</v>
      </c>
      <c r="F28" s="2" t="s">
        <v>103</v>
      </c>
      <c r="H28" s="60">
        <f>'Gegevens brandstof en productie'!H38</f>
        <v>0.26800000000000002</v>
      </c>
    </row>
    <row r="30" spans="2:12" x14ac:dyDescent="0.2">
      <c r="B30" s="1" t="s">
        <v>266</v>
      </c>
    </row>
    <row r="31" spans="2:12" x14ac:dyDescent="0.2">
      <c r="B31" s="2" t="s">
        <v>264</v>
      </c>
      <c r="F31" s="2" t="s">
        <v>86</v>
      </c>
      <c r="H31" s="60">
        <f>'Gegevens brandstof en productie'!H22</f>
        <v>0.12450497405259298</v>
      </c>
    </row>
    <row r="32" spans="2:12" x14ac:dyDescent="0.2">
      <c r="B32" s="2" t="s">
        <v>265</v>
      </c>
      <c r="F32" s="2" t="s">
        <v>86</v>
      </c>
      <c r="H32" s="60">
        <f>'Gegevens brandstof en productie'!H47</f>
        <v>0.49470102972118973</v>
      </c>
    </row>
    <row r="35" spans="1:14" s="52" customFormat="1" x14ac:dyDescent="0.2">
      <c r="B35" s="53" t="s">
        <v>173</v>
      </c>
      <c r="H35" s="76"/>
    </row>
    <row r="37" spans="1:14" x14ac:dyDescent="0.2">
      <c r="B37" s="1" t="s">
        <v>174</v>
      </c>
    </row>
    <row r="38" spans="1:14" x14ac:dyDescent="0.2">
      <c r="B38" s="27" t="s">
        <v>190</v>
      </c>
      <c r="F38" s="2" t="s">
        <v>179</v>
      </c>
      <c r="H38" s="48">
        <f>H21*H14+(1-H21)*H23*H15</f>
        <v>86.077395887031187</v>
      </c>
      <c r="L38" s="2" t="s">
        <v>275</v>
      </c>
    </row>
    <row r="39" spans="1:14" x14ac:dyDescent="0.2">
      <c r="B39" t="s">
        <v>185</v>
      </c>
      <c r="F39" s="2" t="s">
        <v>76</v>
      </c>
      <c r="H39" s="48">
        <f>H20*H22*H38</f>
        <v>9.8813751471489991E-2</v>
      </c>
    </row>
    <row r="40" spans="1:14" x14ac:dyDescent="0.2">
      <c r="B40" t="s">
        <v>186</v>
      </c>
      <c r="F40" s="2" t="s">
        <v>76</v>
      </c>
      <c r="H40" s="48">
        <f>H27*H28*H16</f>
        <v>0.20412085808863048</v>
      </c>
    </row>
    <row r="41" spans="1:14" x14ac:dyDescent="0.2">
      <c r="H41" s="75"/>
    </row>
    <row r="42" spans="1:14" x14ac:dyDescent="0.2">
      <c r="H42" s="75"/>
    </row>
    <row r="43" spans="1:14" s="52" customFormat="1" x14ac:dyDescent="0.2">
      <c r="B43" s="53" t="s">
        <v>187</v>
      </c>
      <c r="H43" s="76"/>
    </row>
    <row r="45" spans="1:14" x14ac:dyDescent="0.2">
      <c r="B45" s="1" t="s">
        <v>211</v>
      </c>
    </row>
    <row r="46" spans="1:14" x14ac:dyDescent="0.2">
      <c r="A46" s="10"/>
      <c r="B46" s="2" t="s">
        <v>93</v>
      </c>
      <c r="F46" s="2" t="s">
        <v>76</v>
      </c>
      <c r="H46" s="48">
        <f>(H39*H19+H40*H26)/(H19+H26)</f>
        <v>0.10279799128519038</v>
      </c>
    </row>
    <row r="47" spans="1:14" x14ac:dyDescent="0.2">
      <c r="A47" s="10"/>
      <c r="B47" s="2" t="s">
        <v>269</v>
      </c>
      <c r="F47" s="2" t="s">
        <v>76</v>
      </c>
      <c r="H47" s="48">
        <f>(H31*H19+H32*H26)/(H19+H26)</f>
        <v>0.13851115000073735</v>
      </c>
      <c r="N47" s="31"/>
    </row>
    <row r="48" spans="1:14" x14ac:dyDescent="0.2">
      <c r="A48" s="10"/>
      <c r="B48" s="2" t="s">
        <v>238</v>
      </c>
      <c r="F48" s="2" t="s">
        <v>76</v>
      </c>
      <c r="H48" s="50">
        <f>H46+H47</f>
        <v>0.24130914128592773</v>
      </c>
      <c r="L48" s="2" t="s">
        <v>276</v>
      </c>
    </row>
    <row r="52" spans="2:2" x14ac:dyDescent="0.2">
      <c r="B52" s="2" t="s">
        <v>268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Var. gebruikstarief 1juli 2019</vt:lpstr>
      <vt:lpstr>Input --&gt;</vt:lpstr>
      <vt:lpstr>Gegevens brandstof en productie</vt:lpstr>
      <vt:lpstr>Berekeningen --&gt;</vt:lpstr>
      <vt:lpstr>Inkoopcorrectie brandstof</vt:lpstr>
      <vt:lpstr>Schatting productieprijzen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2019-06-21T13:27:23Z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