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9980" windowHeight="7560"/>
  </bookViews>
  <sheets>
    <sheet name="Tab 1_Titelblad" sheetId="9" r:id="rId1"/>
    <sheet name="Tab 2_Toelichting" sheetId="10" r:id="rId2"/>
    <sheet name="Tab 3_Bronnen en toepassingen" sheetId="11" r:id="rId3"/>
    <sheet name="Resultaat --&gt;" sheetId="60" r:id="rId4"/>
    <sheet name="Tab 4_Totale inkomsten 2019" sheetId="25" r:id="rId5"/>
    <sheet name="Tab 5_Tarieven en RV 2019" sheetId="49" r:id="rId6"/>
    <sheet name="Input (Dataverzoek TenneT) --&gt;" sheetId="13" r:id="rId7"/>
    <sheet name="Tab 6_Correcties en prognoses" sheetId="31" r:id="rId8"/>
    <sheet name="Tab 7_Toevoeging kosten RCR" sheetId="33" r:id="rId9"/>
    <sheet name="Tab 8_Voorstel tarieven en RV" sheetId="45" r:id="rId10"/>
    <sheet name="Input (Data door ACM) --&gt;" sheetId="59" r:id="rId11"/>
    <sheet name="Tab 9_Parameters" sheetId="52" r:id="rId12"/>
    <sheet name="Tab 10_Brondata" sheetId="32" r:id="rId13"/>
    <sheet name="Tab 11_Tarieven, RV en omzet" sheetId="47" r:id="rId14"/>
    <sheet name="Berekeningen --&gt;" sheetId="15" r:id="rId15"/>
    <sheet name="Tab 12_Berekening parameters" sheetId="53" r:id="rId16"/>
    <sheet name="Tab 13_Wettelijke formule" sheetId="54" r:id="rId17"/>
    <sheet name="Tab 14_Budget systeemtaken" sheetId="29" r:id="rId18"/>
    <sheet name="Tab 15_Prognoses IKTNN" sheetId="55" r:id="rId19"/>
    <sheet name="Tab 16_Correcties OA&amp;M en IKTNN" sheetId="37" r:id="rId20"/>
    <sheet name="Tab 17_Overige correcties" sheetId="51" r:id="rId21"/>
    <sheet name="Tab 18_Omzetcorrectie" sheetId="40" r:id="rId22"/>
    <sheet name="Tab 19_ Inzet veilinggelden" sheetId="46" r:id="rId23"/>
    <sheet name="Tab 20_Controle rekenvolumina" sheetId="61" r:id="rId24"/>
    <sheet name="Tab 21_Controle tarieven" sheetId="44" r:id="rId25"/>
  </sheets>
  <definedNames>
    <definedName name="_xlnm.Print_Area" localSheetId="15">'Tab 12_Berekening parameters'!$A$1:$X$74</definedName>
    <definedName name="_xlnm.Print_Area" localSheetId="23">'Tab 20_Controle rekenvolumina'!$A$1:$P$45</definedName>
  </definedNames>
  <calcPr calcId="145621"/>
</workbook>
</file>

<file path=xl/calcChain.xml><?xml version="1.0" encoding="utf-8"?>
<calcChain xmlns="http://schemas.openxmlformats.org/spreadsheetml/2006/main">
  <c r="F14" i="45" l="1"/>
  <c r="F14" i="49"/>
  <c r="M27" i="49"/>
  <c r="N27" i="49"/>
  <c r="O27" i="49"/>
  <c r="P27" i="49"/>
  <c r="L27" i="49"/>
  <c r="M23" i="49"/>
  <c r="N23" i="49"/>
  <c r="O23" i="49"/>
  <c r="P23" i="49"/>
  <c r="L23" i="49"/>
  <c r="H49" i="61" l="1"/>
  <c r="N32" i="61"/>
  <c r="P25" i="61"/>
  <c r="O25" i="61"/>
  <c r="N25" i="61"/>
  <c r="M25" i="61"/>
  <c r="L25" i="61"/>
  <c r="H38" i="61" s="1"/>
  <c r="P24" i="61"/>
  <c r="P32" i="61" s="1"/>
  <c r="O24" i="61"/>
  <c r="N24" i="61"/>
  <c r="M24" i="61"/>
  <c r="M32" i="61" s="1"/>
  <c r="L24" i="61"/>
  <c r="L32" i="61" s="1"/>
  <c r="P23" i="61"/>
  <c r="O23" i="61"/>
  <c r="N23" i="61"/>
  <c r="M23" i="61"/>
  <c r="L23" i="61"/>
  <c r="P22" i="61"/>
  <c r="O22" i="61"/>
  <c r="O32" i="61" s="1"/>
  <c r="N22" i="61"/>
  <c r="M22" i="61"/>
  <c r="L22" i="61"/>
  <c r="P19" i="61"/>
  <c r="O19" i="61"/>
  <c r="N19" i="61"/>
  <c r="M19" i="61"/>
  <c r="L19" i="61"/>
  <c r="H41" i="61" s="1"/>
  <c r="P18" i="61"/>
  <c r="O18" i="61"/>
  <c r="N18" i="61"/>
  <c r="N31" i="61" s="1"/>
  <c r="M18" i="61"/>
  <c r="M31" i="61" s="1"/>
  <c r="L18" i="61"/>
  <c r="P17" i="61"/>
  <c r="O17" i="61"/>
  <c r="N17" i="61"/>
  <c r="M17" i="61"/>
  <c r="L17" i="61"/>
  <c r="P16" i="61"/>
  <c r="P31" i="61" s="1"/>
  <c r="O16" i="61"/>
  <c r="O31" i="61" s="1"/>
  <c r="N16" i="61"/>
  <c r="M16" i="61"/>
  <c r="L16" i="61"/>
  <c r="L31" i="61" s="1"/>
  <c r="H34" i="61" l="1"/>
  <c r="H37" i="61"/>
  <c r="H39" i="61" s="1"/>
  <c r="H42" i="61"/>
  <c r="H43" i="61" s="1"/>
  <c r="H60" i="53"/>
  <c r="T26" i="52"/>
  <c r="T27" i="52"/>
  <c r="H45" i="61" l="1"/>
  <c r="H46" i="61" s="1"/>
  <c r="R32" i="31"/>
  <c r="P52" i="61" l="1"/>
  <c r="L52" i="61"/>
  <c r="M51" i="61"/>
  <c r="O52" i="61"/>
  <c r="P51" i="61"/>
  <c r="L51" i="61"/>
  <c r="M52" i="61"/>
  <c r="N51" i="61"/>
  <c r="N52" i="61"/>
  <c r="O51" i="61"/>
  <c r="P36" i="45"/>
  <c r="O36" i="45"/>
  <c r="N36" i="45"/>
  <c r="M36" i="45"/>
  <c r="L36" i="45"/>
  <c r="P32" i="45"/>
  <c r="O32" i="45"/>
  <c r="N32" i="45"/>
  <c r="M32" i="45"/>
  <c r="L32" i="45"/>
  <c r="R31" i="51" l="1"/>
  <c r="L31" i="51"/>
  <c r="M31" i="51"/>
  <c r="N31" i="51"/>
  <c r="O31" i="51"/>
  <c r="P31" i="51"/>
  <c r="Q31" i="51"/>
  <c r="M24" i="25" l="1"/>
  <c r="L36" i="25"/>
  <c r="J36" i="25" s="1"/>
  <c r="L24" i="25"/>
  <c r="J24" i="25" l="1"/>
  <c r="S35" i="51"/>
  <c r="S36" i="51"/>
  <c r="H27" i="29" l="1"/>
  <c r="T21" i="53" l="1"/>
  <c r="T20" i="53"/>
  <c r="U17" i="53" l="1"/>
  <c r="V17" i="53"/>
  <c r="H26" i="46" l="1"/>
  <c r="T38" i="46" s="1"/>
  <c r="U20" i="46"/>
  <c r="U36" i="46" s="1"/>
  <c r="T20" i="46"/>
  <c r="T34" i="46" s="1"/>
  <c r="S20" i="46"/>
  <c r="S32" i="46" s="1"/>
  <c r="S38" i="46" l="1"/>
  <c r="S36" i="46"/>
  <c r="H59" i="52"/>
  <c r="M34" i="51" l="1"/>
  <c r="N34" i="51"/>
  <c r="O34" i="51"/>
  <c r="R35" i="51"/>
  <c r="R36" i="51"/>
  <c r="R24" i="46" l="1"/>
  <c r="R38" i="46" l="1"/>
  <c r="R34" i="46"/>
  <c r="R36" i="46"/>
  <c r="H27" i="53"/>
  <c r="V74" i="53" s="1"/>
  <c r="H26" i="53"/>
  <c r="Q69" i="53" s="1"/>
  <c r="H20" i="54"/>
  <c r="R69" i="53" l="1"/>
  <c r="S69" i="53" s="1"/>
  <c r="T69" i="53" s="1"/>
  <c r="U69" i="53" s="1"/>
  <c r="V69" i="53" s="1"/>
  <c r="P68" i="53"/>
  <c r="Q68" i="53" s="1"/>
  <c r="R68" i="53" s="1"/>
  <c r="S68" i="53" s="1"/>
  <c r="T68" i="53" s="1"/>
  <c r="U68" i="53" s="1"/>
  <c r="V68" i="53" s="1"/>
  <c r="S71" i="53"/>
  <c r="T71" i="53" s="1"/>
  <c r="U71" i="53" s="1"/>
  <c r="V71" i="53" s="1"/>
  <c r="T72" i="53"/>
  <c r="U72" i="53" s="1"/>
  <c r="V72" i="53" s="1"/>
  <c r="U73" i="53"/>
  <c r="V73" i="53" s="1"/>
  <c r="R70" i="53"/>
  <c r="S70" i="53" s="1"/>
  <c r="T70" i="53" s="1"/>
  <c r="U70" i="53" s="1"/>
  <c r="V70" i="53" s="1"/>
  <c r="V22" i="46"/>
  <c r="V38" i="46" s="1"/>
  <c r="R20" i="46"/>
  <c r="R30" i="46" s="1"/>
  <c r="H32" i="40"/>
  <c r="H31" i="40"/>
  <c r="H25" i="40"/>
  <c r="H24" i="40"/>
  <c r="H37" i="40" l="1"/>
  <c r="H36" i="40"/>
  <c r="L29" i="55" l="1"/>
  <c r="L28" i="55"/>
  <c r="L27" i="55"/>
  <c r="M24" i="55"/>
  <c r="M23" i="55"/>
  <c r="M22" i="55"/>
  <c r="S18" i="54" l="1"/>
  <c r="T18" i="54"/>
  <c r="U18" i="54"/>
  <c r="V18" i="54"/>
  <c r="Q26" i="54"/>
  <c r="Q25" i="54"/>
  <c r="Q24" i="54"/>
  <c r="Q23" i="54"/>
  <c r="Q27" i="54"/>
  <c r="R18" i="54"/>
  <c r="R33" i="54" l="1"/>
  <c r="S33" i="54" s="1"/>
  <c r="T33" i="54" s="1"/>
  <c r="R34" i="54"/>
  <c r="S34" i="54" s="1"/>
  <c r="T34" i="54" s="1"/>
  <c r="U34" i="54" s="1"/>
  <c r="V34" i="54" s="1"/>
  <c r="R35" i="54"/>
  <c r="S35" i="54" s="1"/>
  <c r="T35" i="54" s="1"/>
  <c r="R32" i="54"/>
  <c r="S32" i="54" s="1"/>
  <c r="T32" i="54" s="1"/>
  <c r="U32" i="54" s="1"/>
  <c r="V32" i="54" s="1"/>
  <c r="R31" i="54"/>
  <c r="S31" i="54" s="1"/>
  <c r="T31" i="54" s="1"/>
  <c r="U31" i="54" l="1"/>
  <c r="V31" i="54" s="1"/>
  <c r="L22" i="25"/>
  <c r="U33" i="54"/>
  <c r="V33" i="54" s="1"/>
  <c r="M22" i="25"/>
  <c r="U35" i="54"/>
  <c r="V35" i="54" s="1"/>
  <c r="M29" i="40"/>
  <c r="N29" i="40"/>
  <c r="O29" i="40"/>
  <c r="P29" i="40"/>
  <c r="L29" i="40"/>
  <c r="M22" i="40"/>
  <c r="N22" i="40"/>
  <c r="O22" i="40"/>
  <c r="P22" i="40"/>
  <c r="L22" i="40"/>
  <c r="J22" i="25" l="1"/>
  <c r="H29" i="44"/>
  <c r="H28" i="44"/>
  <c r="H25" i="44"/>
  <c r="H24" i="44"/>
  <c r="H25" i="29" l="1"/>
  <c r="L21" i="53" l="1"/>
  <c r="M21" i="53"/>
  <c r="N21" i="53"/>
  <c r="O21" i="53"/>
  <c r="P21" i="53"/>
  <c r="Q21" i="53"/>
  <c r="R21" i="53"/>
  <c r="S21" i="53"/>
  <c r="L22" i="53"/>
  <c r="M22" i="53"/>
  <c r="N22" i="53"/>
  <c r="O22" i="53"/>
  <c r="P22" i="53"/>
  <c r="Q22" i="53"/>
  <c r="R22" i="53"/>
  <c r="S22" i="53"/>
  <c r="L23" i="53"/>
  <c r="M23" i="53"/>
  <c r="N23" i="53"/>
  <c r="O23" i="53"/>
  <c r="P23" i="53"/>
  <c r="Q23" i="53"/>
  <c r="R23" i="53"/>
  <c r="S23" i="53"/>
  <c r="H18" i="40" s="1"/>
  <c r="M20" i="53"/>
  <c r="N20" i="53"/>
  <c r="O20" i="53"/>
  <c r="P20" i="53"/>
  <c r="Q20" i="53"/>
  <c r="R20" i="53"/>
  <c r="S20" i="53"/>
  <c r="L20" i="53"/>
  <c r="T48" i="53" l="1"/>
  <c r="T58" i="53" s="1"/>
  <c r="M17" i="53"/>
  <c r="M35" i="53" s="1"/>
  <c r="N17" i="53"/>
  <c r="N36" i="53" s="1"/>
  <c r="O17" i="53"/>
  <c r="O37" i="53" s="1"/>
  <c r="P17" i="53"/>
  <c r="P38" i="53" s="1"/>
  <c r="Q17" i="53"/>
  <c r="Q39" i="53" s="1"/>
  <c r="R17" i="53"/>
  <c r="R40" i="53" s="1"/>
  <c r="S17" i="53"/>
  <c r="T17" i="53"/>
  <c r="L17" i="53"/>
  <c r="L34" i="53" s="1"/>
  <c r="V65" i="53"/>
  <c r="U65" i="53"/>
  <c r="T65" i="53"/>
  <c r="S65" i="53"/>
  <c r="R65" i="53"/>
  <c r="Q65" i="53"/>
  <c r="P65" i="53"/>
  <c r="O65" i="53"/>
  <c r="T47" i="53"/>
  <c r="S47" i="53"/>
  <c r="R47" i="53"/>
  <c r="Q47" i="53"/>
  <c r="P47" i="53"/>
  <c r="O47" i="53"/>
  <c r="N47" i="53"/>
  <c r="M47" i="53"/>
  <c r="S32" i="53"/>
  <c r="R32" i="53"/>
  <c r="Q32" i="53"/>
  <c r="P32" i="53"/>
  <c r="O32" i="53"/>
  <c r="N32" i="53"/>
  <c r="M32" i="53"/>
  <c r="L32" i="53"/>
  <c r="O67" i="53"/>
  <c r="P67" i="53" s="1"/>
  <c r="Q67" i="53" s="1"/>
  <c r="R67" i="53" s="1"/>
  <c r="S67" i="53" s="1"/>
  <c r="T67" i="53" s="1"/>
  <c r="U67" i="53" s="1"/>
  <c r="V67" i="53" s="1"/>
  <c r="Q48" i="53"/>
  <c r="Q55" i="53" s="1"/>
  <c r="P48" i="53"/>
  <c r="P54" i="53" s="1"/>
  <c r="M48" i="53"/>
  <c r="M51" i="53" s="1"/>
  <c r="H23" i="29" l="1"/>
  <c r="H25" i="51"/>
  <c r="Q54" i="53"/>
  <c r="O36" i="53"/>
  <c r="P36" i="53" s="1"/>
  <c r="Q36" i="53" s="1"/>
  <c r="R36" i="53" s="1"/>
  <c r="S36" i="53" s="1"/>
  <c r="T36" i="53" s="1"/>
  <c r="S40" i="53"/>
  <c r="T40" i="53" s="1"/>
  <c r="N35" i="53"/>
  <c r="O35" i="53" s="1"/>
  <c r="P35" i="53" s="1"/>
  <c r="Q35" i="53" s="1"/>
  <c r="R35" i="53" s="1"/>
  <c r="S35" i="53" s="1"/>
  <c r="T35" i="53" s="1"/>
  <c r="Q38" i="53"/>
  <c r="R38" i="53" s="1"/>
  <c r="S38" i="53" s="1"/>
  <c r="T38" i="53" s="1"/>
  <c r="H18" i="55" s="1"/>
  <c r="M34" i="53"/>
  <c r="N34" i="53" s="1"/>
  <c r="O34" i="53" s="1"/>
  <c r="P34" i="53" s="1"/>
  <c r="Q34" i="53" s="1"/>
  <c r="R34" i="53" s="1"/>
  <c r="S34" i="53" s="1"/>
  <c r="T34" i="53" s="1"/>
  <c r="S41" i="53"/>
  <c r="T41" i="53" s="1"/>
  <c r="H19" i="29" s="1"/>
  <c r="H21" i="29"/>
  <c r="T42" i="53"/>
  <c r="H18" i="29"/>
  <c r="P37" i="53"/>
  <c r="Q37" i="53" s="1"/>
  <c r="R37" i="53" s="1"/>
  <c r="S37" i="53" s="1"/>
  <c r="T37" i="53" s="1"/>
  <c r="H17" i="55" s="1"/>
  <c r="O48" i="53"/>
  <c r="O53" i="53" s="1"/>
  <c r="P53" i="53" s="1"/>
  <c r="Q53" i="53" s="1"/>
  <c r="S48" i="53"/>
  <c r="S57" i="53" s="1"/>
  <c r="T57" i="53" s="1"/>
  <c r="N48" i="53"/>
  <c r="N52" i="53" s="1"/>
  <c r="R48" i="53"/>
  <c r="R56" i="53" s="1"/>
  <c r="R39" i="53"/>
  <c r="S39" i="53" s="1"/>
  <c r="T39" i="53" s="1"/>
  <c r="H19" i="55" s="1"/>
  <c r="M23" i="25"/>
  <c r="J23" i="25" s="1"/>
  <c r="S56" i="53" l="1"/>
  <c r="S51" i="51"/>
  <c r="S50" i="51"/>
  <c r="L35" i="55"/>
  <c r="M33" i="55"/>
  <c r="H16" i="37"/>
  <c r="H24" i="51"/>
  <c r="O52" i="53"/>
  <c r="P52" i="53" s="1"/>
  <c r="Q52" i="53" s="1"/>
  <c r="R52" i="53" s="1"/>
  <c r="S52" i="53" s="1"/>
  <c r="T52" i="53" s="1"/>
  <c r="H19" i="51" s="1"/>
  <c r="T56" i="53"/>
  <c r="H23" i="51" s="1"/>
  <c r="R53" i="53"/>
  <c r="S53" i="53" s="1"/>
  <c r="T53" i="53" s="1"/>
  <c r="H20" i="51" s="1"/>
  <c r="R54" i="53"/>
  <c r="S54" i="53" s="1"/>
  <c r="T54" i="53" s="1"/>
  <c r="H21" i="51" s="1"/>
  <c r="R55" i="53"/>
  <c r="S55" i="53" s="1"/>
  <c r="T55" i="53" s="1"/>
  <c r="H22" i="51" s="1"/>
  <c r="N51" i="53"/>
  <c r="O51" i="53" s="1"/>
  <c r="P51" i="53" s="1"/>
  <c r="Q51" i="53" s="1"/>
  <c r="R51" i="53" s="1"/>
  <c r="S51" i="53" s="1"/>
  <c r="T51" i="53" s="1"/>
  <c r="H18" i="51" s="1"/>
  <c r="M49" i="51" l="1"/>
  <c r="O49" i="51"/>
  <c r="R51" i="51"/>
  <c r="J51" i="51" s="1"/>
  <c r="R50" i="51"/>
  <c r="J50" i="51" s="1"/>
  <c r="N49" i="51"/>
  <c r="J33" i="55"/>
  <c r="M28" i="25"/>
  <c r="J28" i="25" s="1"/>
  <c r="L29" i="25"/>
  <c r="J29" i="25" s="1"/>
  <c r="J35" i="55"/>
  <c r="M39" i="25"/>
  <c r="L39" i="25"/>
  <c r="J39" i="25" l="1"/>
  <c r="L44" i="25"/>
  <c r="J44" i="25" s="1"/>
  <c r="M30" i="51"/>
  <c r="N30" i="51"/>
  <c r="O30" i="51"/>
  <c r="P30" i="51"/>
  <c r="Q30" i="51"/>
  <c r="R30" i="51"/>
  <c r="L30" i="51"/>
  <c r="M28" i="51"/>
  <c r="M41" i="51" s="1"/>
  <c r="N28" i="51"/>
  <c r="N41" i="51" s="1"/>
  <c r="O28" i="51"/>
  <c r="O41" i="51" s="1"/>
  <c r="P28" i="51"/>
  <c r="P41" i="51" s="1"/>
  <c r="Q28" i="51"/>
  <c r="Q41" i="51" s="1"/>
  <c r="R28" i="51"/>
  <c r="R41" i="51" s="1"/>
  <c r="L34" i="51"/>
  <c r="L28" i="51"/>
  <c r="L41" i="51" s="1"/>
  <c r="M22" i="37"/>
  <c r="M23" i="37"/>
  <c r="M19" i="37"/>
  <c r="M32" i="37" s="1"/>
  <c r="L19" i="37"/>
  <c r="L32" i="37" s="1"/>
  <c r="L27" i="37"/>
  <c r="L26" i="37"/>
  <c r="L37" i="25"/>
  <c r="M37" i="25"/>
  <c r="L26" i="25"/>
  <c r="M26" i="25"/>
  <c r="M25" i="25"/>
  <c r="L25" i="25"/>
  <c r="L30" i="29"/>
  <c r="J41" i="51" l="1"/>
  <c r="J37" i="25"/>
  <c r="J26" i="25"/>
  <c r="J25" i="25"/>
  <c r="L45" i="25"/>
  <c r="J45" i="25" s="1"/>
  <c r="M35" i="37"/>
  <c r="L39" i="37"/>
  <c r="L48" i="29"/>
  <c r="J35" i="37" l="1"/>
  <c r="J39" i="37"/>
  <c r="L42" i="29" l="1"/>
  <c r="L43" i="29"/>
  <c r="L41" i="29"/>
  <c r="L38" i="29"/>
  <c r="L52" i="29" l="1"/>
  <c r="O24" i="46"/>
  <c r="P24" i="46"/>
  <c r="Q24" i="46"/>
  <c r="N24" i="46"/>
  <c r="N30" i="46" s="1"/>
  <c r="Q34" i="46" l="1"/>
  <c r="Q36" i="46"/>
  <c r="Q32" i="46"/>
  <c r="P32" i="46"/>
  <c r="P30" i="46"/>
  <c r="P34" i="46"/>
  <c r="O32" i="46"/>
  <c r="O30" i="46"/>
  <c r="M28" i="40"/>
  <c r="N28" i="40"/>
  <c r="O28" i="40"/>
  <c r="P28" i="40"/>
  <c r="L28" i="40"/>
  <c r="M21" i="40"/>
  <c r="N21" i="40"/>
  <c r="O21" i="40"/>
  <c r="P21" i="40"/>
  <c r="L21" i="40"/>
  <c r="J30" i="46" l="1"/>
  <c r="J32" i="46"/>
  <c r="J34" i="46"/>
  <c r="O45" i="40"/>
  <c r="N45" i="40"/>
  <c r="M45" i="40"/>
  <c r="P40" i="40"/>
  <c r="N40" i="40"/>
  <c r="M40" i="40"/>
  <c r="L40" i="40"/>
  <c r="L51" i="25" l="1"/>
  <c r="N13" i="44"/>
  <c r="O18" i="44"/>
  <c r="M13" i="44"/>
  <c r="L14" i="44"/>
  <c r="P14" i="44"/>
  <c r="O17" i="44"/>
  <c r="N18" i="44"/>
  <c r="P17" i="44"/>
  <c r="M14" i="44"/>
  <c r="O13" i="44"/>
  <c r="M17" i="44"/>
  <c r="L18" i="44"/>
  <c r="P18" i="44"/>
  <c r="L17" i="44"/>
  <c r="L70" i="44" s="1"/>
  <c r="L73" i="44" s="1"/>
  <c r="N14" i="44"/>
  <c r="L13" i="44"/>
  <c r="L52" i="44" s="1"/>
  <c r="P13" i="44"/>
  <c r="O14" i="44"/>
  <c r="N17" i="44"/>
  <c r="M18" i="44"/>
  <c r="O40" i="40"/>
  <c r="J40" i="40" s="1"/>
  <c r="H41" i="40" s="1"/>
  <c r="L45" i="40"/>
  <c r="P45" i="40"/>
  <c r="J51" i="25" l="1"/>
  <c r="H37" i="44"/>
  <c r="H42" i="40"/>
  <c r="O44" i="51"/>
  <c r="O45" i="51"/>
  <c r="L49" i="51"/>
  <c r="J49" i="51" s="1"/>
  <c r="L45" i="51"/>
  <c r="M45" i="51"/>
  <c r="M44" i="51"/>
  <c r="N45" i="51"/>
  <c r="N44" i="51"/>
  <c r="P44" i="51"/>
  <c r="P45" i="51"/>
  <c r="L44" i="51"/>
  <c r="L74" i="44"/>
  <c r="H34" i="44"/>
  <c r="L71" i="44"/>
  <c r="J45" i="40"/>
  <c r="H46" i="40" s="1"/>
  <c r="H44" i="44"/>
  <c r="H61" i="44"/>
  <c r="L55" i="29"/>
  <c r="B61" i="10"/>
  <c r="L55" i="44" l="1"/>
  <c r="L56" i="44" s="1"/>
  <c r="L53" i="44"/>
  <c r="H47" i="40"/>
  <c r="M50" i="25" s="1"/>
  <c r="L56" i="29"/>
  <c r="L58" i="29" s="1"/>
  <c r="Q44" i="51"/>
  <c r="Q45" i="51"/>
  <c r="R45" i="51"/>
  <c r="R44" i="51"/>
  <c r="L38" i="25"/>
  <c r="M38" i="25"/>
  <c r="L40" i="37"/>
  <c r="M36" i="37"/>
  <c r="M31" i="25"/>
  <c r="B68" i="10"/>
  <c r="B62" i="10"/>
  <c r="J45" i="51" l="1"/>
  <c r="J44" i="51"/>
  <c r="J38" i="25"/>
  <c r="L50" i="25"/>
  <c r="J50" i="25" s="1"/>
  <c r="J36" i="37"/>
  <c r="M48" i="25"/>
  <c r="J48" i="25" s="1"/>
  <c r="J40" i="37"/>
  <c r="L49" i="25"/>
  <c r="J49" i="25" s="1"/>
  <c r="J32" i="37"/>
  <c r="B63" i="10"/>
  <c r="B67" i="10" s="1"/>
  <c r="L40" i="25" l="1"/>
  <c r="M42" i="25"/>
  <c r="J42" i="25" s="1"/>
  <c r="L43" i="25"/>
  <c r="J43" i="25" s="1"/>
  <c r="M41" i="25"/>
  <c r="B73" i="10"/>
  <c r="J41" i="25" l="1"/>
  <c r="M53" i="25"/>
  <c r="M57" i="25" s="1"/>
  <c r="H21" i="44" s="1"/>
  <c r="H62" i="44" s="1"/>
  <c r="J40" i="25"/>
  <c r="L53" i="25"/>
  <c r="J53" i="25" l="1"/>
  <c r="L27" i="25" l="1"/>
  <c r="L31" i="25" l="1"/>
  <c r="J31" i="25" s="1"/>
  <c r="J27" i="25"/>
  <c r="L57" i="25" l="1"/>
  <c r="H20" i="44" s="1"/>
  <c r="H38" i="44" s="1"/>
  <c r="H39" i="44" s="1"/>
  <c r="H40" i="44" s="1"/>
  <c r="H84" i="44" s="1"/>
  <c r="J57" i="25" l="1"/>
  <c r="H45" i="44"/>
  <c r="H64" i="44" s="1"/>
  <c r="H65" i="44" s="1"/>
  <c r="H47" i="44" l="1"/>
  <c r="H50" i="44" s="1"/>
  <c r="N52" i="44" s="1"/>
  <c r="H68" i="44"/>
  <c r="N70" i="44" s="1"/>
  <c r="H67" i="44"/>
  <c r="M70" i="44" s="1"/>
  <c r="H49" i="44" l="1"/>
  <c r="M52" i="44" s="1"/>
  <c r="N55" i="44"/>
  <c r="P52" i="44"/>
  <c r="N53" i="44"/>
  <c r="O70" i="44"/>
  <c r="M71" i="44"/>
  <c r="M73" i="44"/>
  <c r="N73" i="44"/>
  <c r="P70" i="44"/>
  <c r="N71" i="44"/>
  <c r="M55" i="44" l="1"/>
  <c r="M56" i="44" s="1"/>
  <c r="O52" i="44"/>
  <c r="O55" i="44" s="1"/>
  <c r="M53" i="44"/>
  <c r="N74" i="44"/>
  <c r="N56" i="44"/>
  <c r="P73" i="44"/>
  <c r="P71" i="44"/>
  <c r="O71" i="44"/>
  <c r="O73" i="44"/>
  <c r="M74" i="44"/>
  <c r="P53" i="44"/>
  <c r="P55" i="44"/>
  <c r="O53" i="44" l="1"/>
  <c r="J53" i="44" s="1"/>
  <c r="O74" i="44"/>
  <c r="J71" i="44"/>
  <c r="P56" i="44"/>
  <c r="O56" i="44"/>
  <c r="P74" i="44"/>
  <c r="H79" i="44" l="1"/>
  <c r="J56" i="44"/>
  <c r="J74" i="44"/>
  <c r="H75" i="44" s="1"/>
  <c r="H57" i="44" l="1"/>
  <c r="H80" i="44"/>
  <c r="H81" i="44" s="1"/>
  <c r="F15" i="45" l="1"/>
  <c r="F13" i="49"/>
  <c r="M87" i="44"/>
  <c r="M26" i="49" s="1"/>
  <c r="M86" i="44"/>
  <c r="M22" i="49" s="1"/>
  <c r="L87" i="44"/>
  <c r="L26" i="49" s="1"/>
  <c r="O87" i="44"/>
  <c r="O26" i="49" s="1"/>
  <c r="O86" i="44"/>
  <c r="O22" i="49" s="1"/>
  <c r="P86" i="44"/>
  <c r="P22" i="49" s="1"/>
  <c r="N87" i="44"/>
  <c r="N26" i="49" s="1"/>
  <c r="N86" i="44"/>
  <c r="N22" i="49" s="1"/>
  <c r="L86" i="44"/>
  <c r="L22" i="49" s="1"/>
  <c r="P87" i="44"/>
  <c r="P26" i="49" s="1"/>
</calcChain>
</file>

<file path=xl/sharedStrings.xml><?xml version="1.0" encoding="utf-8"?>
<sst xmlns="http://schemas.openxmlformats.org/spreadsheetml/2006/main" count="1159" uniqueCount="589">
  <si>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</si>
  <si>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</si>
  <si>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</si>
  <si>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</si>
  <si>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</si>
  <si>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</si>
  <si>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</si>
  <si>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</si>
  <si>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</si>
  <si>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</si>
  <si>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</si>
  <si>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</si>
  <si>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</si>
  <si>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</si>
  <si>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</si>
  <si>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</si>
  <si>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</si>
  <si>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</si>
  <si>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</si>
  <si>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</si>
  <si>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</si>
  <si>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</si>
  <si>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</si>
  <si>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</si>
  <si>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</si>
  <si>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</si>
  <si>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</si>
  <si>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</si>
  <si>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</si>
  <si>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</si>
  <si>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</si>
  <si>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</si>
  <si>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</si>
  <si>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</si>
  <si>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</si>
  <si>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</si>
  <si>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</si>
  <si>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</si>
  <si>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</si>
  <si>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</si>
  <si>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</si>
  <si>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</si>
  <si>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</si>
  <si>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</si>
  <si>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</si>
  <si>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</si>
  <si>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</si>
  <si>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</si>
  <si>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</si>
  <si>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</si>
  <si>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</si>
  <si>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</si>
  <si>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</si>
  <si>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</si>
  <si>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</si>
  <si>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Berekende waarde die wordt opgehaald op een ander tabblad, incl. eindresultaat van berekening</t>
  </si>
  <si>
    <t>Data en input (vermeld de bron); bij een dataverzoek: in te vullen velden</t>
  </si>
  <si>
    <t>Nr.</t>
  </si>
  <si>
    <t xml:space="preserve">Verkorte naam </t>
  </si>
  <si>
    <t>Zoals gebruikt in dit bestand, evt. incl. nummering</t>
  </si>
  <si>
    <t>Naam bestand extern</t>
  </si>
  <si>
    <t>Beschrijving berekening</t>
  </si>
  <si>
    <t>Schematische weergave en/of inhoudsopgave van de werking van dit model</t>
  </si>
  <si>
    <t>Berekening inzet veilinggelden</t>
  </si>
  <si>
    <t>CPI</t>
  </si>
  <si>
    <t>%</t>
  </si>
  <si>
    <t>Begininkomsten</t>
  </si>
  <si>
    <t>Berekening inkomsten op basis van wettelijke formule</t>
  </si>
  <si>
    <t>Toelichting vaststelling jaarlijks CPI-percentage</t>
  </si>
  <si>
    <t>in de zestiende maand voorafgaande aan het jaar t, zoals deze maandelijks wordt vastgesteld door het CBS.</t>
  </si>
  <si>
    <t>Toelichting gegevens rentepercentage tariefcorrecties</t>
  </si>
  <si>
    <t xml:space="preserve">De heffingsrente of belastingrente is een rentepercentage dat door de Nederlandse overheid wordt vastgesteld en dient als een schatting van de tijdwaarde van geld. </t>
  </si>
  <si>
    <t>De heffingsrente is in 2012 vervangen door de belastingrente, maar wordt op een vergelijkbare wijze vastgesteld. ACM noemt dit percentage in het vervolg "rentepercentage tariefcorrecties".</t>
  </si>
  <si>
    <t xml:space="preserve">De nacalculaties waarop het rentepercentage tariefcorrecties wordt toegepast kunnen zowel positief als negatief zijn; ACM past het rentepercentage tariefcorrecties symmetrisch toe. </t>
  </si>
  <si>
    <t>Rentepercentage tariefcorrecties</t>
  </si>
  <si>
    <t>Eerste kwartaal</t>
  </si>
  <si>
    <t>Tweede kwartaal</t>
  </si>
  <si>
    <t>Derde kwartaal</t>
  </si>
  <si>
    <t>Vierde kwartaal</t>
  </si>
  <si>
    <t>WACC vastgesteld in methode voor 2017-2021</t>
  </si>
  <si>
    <t>WACC-besluit 2017-2021</t>
  </si>
  <si>
    <t>Percentage wordt in besluit afgerond vastgesteld op 1 decimaal</t>
  </si>
  <si>
    <t>Frontier shift TenneT</t>
  </si>
  <si>
    <t>X-factor TenneT</t>
  </si>
  <si>
    <t>X-factor methodebesluit 2017-2021</t>
  </si>
  <si>
    <t>Overige parameters</t>
  </si>
  <si>
    <t>Vastrecht</t>
  </si>
  <si>
    <t>kW
gecontracteerd
per jaar</t>
  </si>
  <si>
    <t>kW max
per maand</t>
  </si>
  <si>
    <t>kW
gecontracteerd
per jaar
(max 600 uur)</t>
  </si>
  <si>
    <t>EHS</t>
  </si>
  <si>
    <t>Tarieven 2017</t>
  </si>
  <si>
    <t>#</t>
  </si>
  <si>
    <t>HS</t>
  </si>
  <si>
    <t>Voorstel Tennet voor 2019</t>
  </si>
  <si>
    <t>Voorstel tarieven 2019</t>
  </si>
  <si>
    <t>Berekening CPI mutatie over meerdere jaren</t>
  </si>
  <si>
    <t>Mutatie van bedrag in oorspronkelijk prijspeil naar boekjaar</t>
  </si>
  <si>
    <t>Voor bedragen oorspronkelijk in prijspeil 2010</t>
  </si>
  <si>
    <t>Voor bedragen oorspronkelijk in prijspeil 2011</t>
  </si>
  <si>
    <t>Voor bedragen oorspronkelijk in prijspeil 2012</t>
  </si>
  <si>
    <t>Voor bedragen oorspronkelijk in prijspeil 2013</t>
  </si>
  <si>
    <t>Voor bedragen oorspronkelijk in prijspeil 2014</t>
  </si>
  <si>
    <t>Voor bedragen oorspronkelijk in prijspeil 2015</t>
  </si>
  <si>
    <t>Voor bedragen oorspronkelijk in prijspeil 2016</t>
  </si>
  <si>
    <t>Voor bedragen oorspronkelijk in prijspeil 2017</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</si>
  <si>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</si>
  <si>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</si>
  <si>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</si>
  <si>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</si>
  <si>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Berekening mutatie frontier shift over meerdere jaren</t>
  </si>
  <si>
    <t>Mutatie van bedrag in oorspronkelijk efficiëntieniveau naar efficiëntieniveau van boekjaar</t>
  </si>
  <si>
    <t>Boekjaar waarvoor mutatie frontier shift berekend wordt:</t>
  </si>
  <si>
    <t>Voor bedragen oorspronkelijk in efficiëntieniveau 2014</t>
  </si>
  <si>
    <t>Voor bedragen oorspronkelijk in efficiëntieniveau 2015</t>
  </si>
  <si>
    <t>Voor bedragen oorspronkelijk in efficiëntieniveau 2016</t>
  </si>
  <si>
    <t>Voor bedragen oorspronkelijk in efficiëntieniveau 2017</t>
  </si>
  <si>
    <t>Voor bedragen oorspronkelijk in efficiëntieniveau 2018</t>
  </si>
  <si>
    <t>Voor bedragen oorspronkelijk in efficiëntieniveau 2019</t>
  </si>
  <si>
    <t>Voor bedragen oorspronkelijk in efficiëntieniveau 2020</t>
  </si>
  <si>
    <t>Dekking kosten door tariefdragers TAVT:</t>
  </si>
  <si>
    <t>kW gecontracteerd (min/max 600)</t>
  </si>
  <si>
    <t>kW max (per maand/week)</t>
  </si>
  <si>
    <t>Verhouding tarieven TAVT:</t>
  </si>
  <si>
    <t>kW max per week : kW max per maand</t>
  </si>
  <si>
    <t>Kostentoerekening EHS aan HS</t>
  </si>
  <si>
    <t>(Afname van HS af EHS) / (Afname van HS af EHS + Afname verbruikers op EHS);</t>
  </si>
  <si>
    <t>Verschil</t>
  </si>
  <si>
    <t>Tariefinkomsten EHS volgens de TarievenCode</t>
  </si>
  <si>
    <t>Tarieven EHS volgens de TarievenCode afgerond</t>
  </si>
  <si>
    <t>Tariefinkomsten EHS  volgens de TarievenCode</t>
  </si>
  <si>
    <t>Verschil door afronden tarieven</t>
  </si>
  <si>
    <t>50% kW max per maand/week</t>
  </si>
  <si>
    <t>Tariefinkomsten HS volgens de TarievenCode</t>
  </si>
  <si>
    <t>Tarieven HS volgens de TarievenCode afgerond</t>
  </si>
  <si>
    <t>Verschil niet en wel afronden tarieven</t>
  </si>
  <si>
    <t>EUR, pp 2017</t>
  </si>
  <si>
    <t>EUR, pp 2018</t>
  </si>
  <si>
    <t>EUR, pp 2019</t>
  </si>
  <si>
    <t>Parameters</t>
  </si>
  <si>
    <t>Correctie omzet aansluitdienst en meterhuur</t>
  </si>
  <si>
    <t>Data ten behoeve van inzet veilinggelden</t>
  </si>
  <si>
    <t>Data ten behoeve van budget systeemtaken</t>
  </si>
  <si>
    <t>Inkoopkosten</t>
  </si>
  <si>
    <t>Uitvoeringskosten</t>
  </si>
  <si>
    <t>InterTSO compensation</t>
  </si>
  <si>
    <t>Netto ontvangen veilinggelden per jaar</t>
  </si>
  <si>
    <t>Data ten behoeve van wettelijke formule</t>
  </si>
  <si>
    <t>Efficiënte begininkomsten</t>
  </si>
  <si>
    <t>- onderdeel transporttaken: beheerkosten EHS-netten</t>
  </si>
  <si>
    <t>- onderdeel transporttaken: schatting energie en vermogen transport EHS-netten</t>
  </si>
  <si>
    <t>- onderdeel transporttaken: beheerkosten HS-netten</t>
  </si>
  <si>
    <t>- onderdeel transporttaken: schatting energie en vermogen transport HS-netten</t>
  </si>
  <si>
    <t>kW max per maand</t>
  </si>
  <si>
    <t>kW gecontracteerd per jaar (max 600 uur)</t>
  </si>
  <si>
    <t>Beheerkosten</t>
  </si>
  <si>
    <t>Regel- en reservevermogen 2017</t>
  </si>
  <si>
    <t>Noodvermogen 2017</t>
  </si>
  <si>
    <t>Herstelvoorzieningen 2017</t>
  </si>
  <si>
    <t>GAW 2017</t>
  </si>
  <si>
    <t>Afschrijvingen 2017</t>
  </si>
  <si>
    <t>Operationele kosten 2017</t>
  </si>
  <si>
    <t>EUR, 2017</t>
  </si>
  <si>
    <t>Primaire reserve 2017</t>
  </si>
  <si>
    <t>EUR, 2019</t>
  </si>
  <si>
    <t>Vrijval saldo onbalans 2018</t>
  </si>
  <si>
    <t>Tarievenbesluit TenneT 2018</t>
  </si>
  <si>
    <t>Voor bedragen oorspronkelijk in prijspeil 2018</t>
  </si>
  <si>
    <t>Voor bedragen oorspronkelijk in efficiëntieniveau 2013</t>
  </si>
  <si>
    <t>Geschatte beheerkosten 2018</t>
  </si>
  <si>
    <t>Berekening budget 2019</t>
  </si>
  <si>
    <t>Schatting beheerkosten 2019</t>
  </si>
  <si>
    <t>Beheerkosten 2019</t>
  </si>
  <si>
    <t>Schatting inkoopkosten 2019</t>
  </si>
  <si>
    <t>Inkoopkosten 2017</t>
  </si>
  <si>
    <t>Inkoopkosten 2019</t>
  </si>
  <si>
    <t>Schatting uitvoeringskosten 2019</t>
  </si>
  <si>
    <t>Uitvoeringskosten 2017</t>
  </si>
  <si>
    <t>Uitvoeringskosten 2019</t>
  </si>
  <si>
    <t>Budget systeemtaken 2019</t>
  </si>
  <si>
    <t xml:space="preserve">Berekening totale inkomsten </t>
  </si>
  <si>
    <t>Stap 1: Totale inkomsten exclusief tariefcorrecties</t>
  </si>
  <si>
    <t>Stap 2: Tariefcorrecties</t>
  </si>
  <si>
    <t xml:space="preserve">Stap 3: Totale inkomsten </t>
  </si>
  <si>
    <t>Correctie omzet aansluitdienst en meterhuur 2017</t>
  </si>
  <si>
    <t>Correcties op grond van de algemene bevoegdheid</t>
  </si>
  <si>
    <t>Correcties op grond van een specifieke wettelijke bevoegdheid</t>
  </si>
  <si>
    <t>Correctie InterTSO compensation</t>
  </si>
  <si>
    <t>Correctie inkomsten transportdiensten EHS</t>
  </si>
  <si>
    <t>Correctie inkomsten transportdiensten HS</t>
  </si>
  <si>
    <t>Prognose InterTSO compensation 2017</t>
  </si>
  <si>
    <t>Realisatie InterTSO compensation 2017</t>
  </si>
  <si>
    <t>InterTSO compensation 2017</t>
  </si>
  <si>
    <t>Omzet aansluitdienst en meterhuur</t>
  </si>
  <si>
    <t>Prognose omzet aansluitdienst en meterhuur 2019</t>
  </si>
  <si>
    <t>Controle tarieven</t>
  </si>
  <si>
    <t>Data ten behoeve van toevoeging HS-installatie Deltius</t>
  </si>
  <si>
    <t>Data ten behoeve van correctie inkoopkosten transport naastgelegen netten</t>
  </si>
  <si>
    <t>Data ten behoeve van correctie RCR-investeringen</t>
  </si>
  <si>
    <t>Berekening van correcties</t>
  </si>
  <si>
    <t>Correctie omzet aansluitdienst en meterhuur 2017 in 2019</t>
  </si>
  <si>
    <t>Inkoopkosten transport bij regionale netbeheerder(s)</t>
  </si>
  <si>
    <t>Correctie inkoopkosten transport bij regionale netbeheerder(s)</t>
  </si>
  <si>
    <t>Correctie inkoopkosten transport bij regionale netbeheerders(s) 2017 in 2019</t>
  </si>
  <si>
    <t>Correctie InterTSO compensation 2017 in 2019</t>
  </si>
  <si>
    <t>Correctie vermogenskosten RCR-investeringen 2017 in 2019</t>
  </si>
  <si>
    <t>Correctie vermogenskosten RCR-investeringen</t>
  </si>
  <si>
    <t>Correctie vermogenskosten RCR-investeringen EHS 2017 in 2019</t>
  </si>
  <si>
    <t>Correctie vermogenskosten RCR-investeringen HS 2017 in 2019</t>
  </si>
  <si>
    <t>Berekening omzetcorrectie</t>
  </si>
  <si>
    <t>Prognose inkoopkosten transport bij regionale netbeheerder(s) 2017</t>
  </si>
  <si>
    <t>Realisatie inkoopkosten transport bij regionale netbeheerder(s) 2017</t>
  </si>
  <si>
    <t>Verschil tussen realisatie en prognose 2017</t>
  </si>
  <si>
    <t>Toevoeging HS-installatie Deltius 2019</t>
  </si>
  <si>
    <t>Toevoeging vermogenskosten RCR-investeringen 2019</t>
  </si>
  <si>
    <t>Toevoeging totale kosten RCR-investeringen 2019</t>
  </si>
  <si>
    <t>Toevoeging budget systeemtaken 2019</t>
  </si>
  <si>
    <t>Toevoeging prognose InterTSO compensation 2019</t>
  </si>
  <si>
    <t>Inzet veilinggelden 2019</t>
  </si>
  <si>
    <t>Toevoegingen RCR-investeringen</t>
  </si>
  <si>
    <t>GAW ultimo 2017</t>
  </si>
  <si>
    <t>Totale inkomsten op basis van wettelijke formule 2019</t>
  </si>
  <si>
    <t>Prognose omzet aansluitdienst en meterhuur HS 2019</t>
  </si>
  <si>
    <t>Consumenten Prijs Index</t>
  </si>
  <si>
    <t>CPI als jaarlijks percentage</t>
  </si>
  <si>
    <t xml:space="preserve">ACM gebruikt dit rentepercentage voor de vergoeding van de tijdwaarde van geld in het geval van het toekennen van correcties in de tarieven die volgen uit nacalculaties over eerdere jaren. </t>
  </si>
  <si>
    <t>Zowel de heffingsrente als de belastingrente werden/worden per kwartaal vastgesteld. ACM berekent de jaarlijkse percentages van 1 juli tot 1 juli in het volgende jaar.</t>
  </si>
  <si>
    <t>Wijziging X-factorbesluit TenneT 2017-2021 Transport</t>
  </si>
  <si>
    <t xml:space="preserve">Overige parameters </t>
  </si>
  <si>
    <t>Y-factor 2017-2021</t>
  </si>
  <si>
    <t>Dekking kosten door tariefdragers TAVT</t>
  </si>
  <si>
    <t>Verhouding tarieven TAVT</t>
  </si>
  <si>
    <t>kW gecontracteerd max 600: kW gecontracteerd min 600</t>
  </si>
  <si>
    <t>kW max per week: kW max per maand</t>
  </si>
  <si>
    <t>CPI 2019</t>
  </si>
  <si>
    <t>CPI 2017 → 2019</t>
  </si>
  <si>
    <t>Frontier shift 2017 → 2019</t>
  </si>
  <si>
    <t>Prognose omzet aansluitdienst en meterhuur EHS 2019</t>
  </si>
  <si>
    <t>Inzet veilinggelden in 2017</t>
  </si>
  <si>
    <t>Inzet veilinggelden in 2018</t>
  </si>
  <si>
    <t>Inzet veilinggelden in 2019</t>
  </si>
  <si>
    <t>Inzet veilinggelden in 2020</t>
  </si>
  <si>
    <t>Inzet veilinggelden in 2021</t>
  </si>
  <si>
    <t>kW max
per week
(max 600 uur)</t>
  </si>
  <si>
    <t>kW max per week 
(max 600 uur)</t>
  </si>
  <si>
    <t>Uitkomst</t>
  </si>
  <si>
    <t>Tarieven 2019</t>
  </si>
  <si>
    <t>Toegestane tariefinkomsten transporttarieven voor 2019 EHS</t>
  </si>
  <si>
    <t>Toegestane tariefinkomsten transporttarieven voor 2019 HS</t>
  </si>
  <si>
    <t>Berekening van prognoses</t>
  </si>
  <si>
    <t>Prognose inkoopkosten transport bij regionale netbeheerders 2019</t>
  </si>
  <si>
    <t>Prognose InterTSO compensation 2019</t>
  </si>
  <si>
    <t>Totale inkomsten op basis van wettelijke formule</t>
  </si>
  <si>
    <t>Realisatie inkoopkosten transport bij regionale netbeheerder(s) 2013</t>
  </si>
  <si>
    <t>Realisatie inkoopkosten transport bij regionale netbeheerder(s) 2014</t>
  </si>
  <si>
    <t>Realisatie inkoopkosten transport bij regionale netbeheerder(s) 2015</t>
  </si>
  <si>
    <t>Realisatie InterTSO compensation 2013</t>
  </si>
  <si>
    <t>Realisatie InterTSO compensation 2014</t>
  </si>
  <si>
    <t>Realisatie InterTSO compensation 2015</t>
  </si>
  <si>
    <t>EUR, pp 2013</t>
  </si>
  <si>
    <t>EUR, pp 2014</t>
  </si>
  <si>
    <t>EUR, pp 2015</t>
  </si>
  <si>
    <t>CPI 2013 → 2019</t>
  </si>
  <si>
    <t>CPI 2014 → 2019</t>
  </si>
  <si>
    <t>CPI 2015 → 2019</t>
  </si>
  <si>
    <t>Realisatie inkoopkosten transport bij regionale netbeheerder(s)</t>
  </si>
  <si>
    <t>Realisatie InterTSO compensation</t>
  </si>
  <si>
    <t>Verschil tussen toegestane tariefinkomsten en gerealiseerde tariefinkomsten</t>
  </si>
  <si>
    <t>De gegevens zijn afkomstig van de Belastingdienst, zie: https://www.belastingdienst.nl/wps/wcm/connect/bldcontentnl/standaard_functies/prive/contact/rechten_en_plichten_bij_de_belastingdienst/belastingrente/overzicht_percentages_belastingrente.</t>
  </si>
  <si>
    <t>Boekjaar waarvoor CPI-mutatie berekend wordt:</t>
  </si>
  <si>
    <t>CBS Statline</t>
  </si>
  <si>
    <t>Hyperlink</t>
  </si>
  <si>
    <t>Belastingdienst</t>
  </si>
  <si>
    <t>https://www.belastingdienst.nl/wps/wcm/connect/bldcontentnl/standaard_functies/prive/contact/rechten_en_plichten_bij_de_belastingdienst/belastingrente/overzicht_percentages_belastingrente</t>
  </si>
  <si>
    <t>WACC-methode bij de methodebesluiten 2017-2021</t>
  </si>
  <si>
    <t>https://www.acm.nl/nl/publicaties/publicatie/16199/WACC-methode-bij-de-methodebesluiten-2017-2021</t>
  </si>
  <si>
    <t>Frontier shift methodebesluit 2014-2016</t>
  </si>
  <si>
    <t>Frontier shift methodebesluit 2017-2021</t>
  </si>
  <si>
    <t>https://www.acm.nl/nl/publicaties/publicatie/16794/2e-Wijziging-Methodebesluit-TenneT-2014-2016-Transport</t>
  </si>
  <si>
    <t>2e Wijziging Methodebesluit TenneT 2014-2016 Transport</t>
  </si>
  <si>
    <t>https://opendata.cbs.nl/statline/#/CBS/nl/dataset/70936ned/table?ts=1532343719053</t>
  </si>
  <si>
    <t>https://www.acm.nl/nl/publicaties/publicatie/17151/Herstelmethodebesluit-TenneT-transporttaken-2017-2021-integraal-besluit</t>
  </si>
  <si>
    <t>Herstelmethodebesluit TenneT transporttaken 2017-2021 (integraal besluit)</t>
  </si>
  <si>
    <t>https://www.acm.nl/nl/publicaties/publicatie/17211/Wijziging-X-factorbesluit-TenneT-2017-2021-Transport</t>
  </si>
  <si>
    <t>https://www.acm.nl/nl/publicaties/tarievenbesluit-tennet-2018</t>
  </si>
  <si>
    <t>Bijlage 1 rekenmodule tarievenbesluit TenneT 2018</t>
  </si>
  <si>
    <t>http://wetten.overheid.nl/BWBR0037951/2018-03-24</t>
  </si>
  <si>
    <t>Tarievencode elektriciteit</t>
  </si>
  <si>
    <t>Rekenmodule HS-installatie Deltius</t>
  </si>
  <si>
    <t>Rekenmodule RCR-investeringen</t>
  </si>
  <si>
    <t xml:space="preserve">GAW-bestand TenneT </t>
  </si>
  <si>
    <t xml:space="preserve">Inkomstenberekening tarieven TenneT elektriciteit 2017 </t>
  </si>
  <si>
    <t>https://www.acm.nl/nl/publicaties/publicatie/16724/Tarievenbesluit-TenneT-2017</t>
  </si>
  <si>
    <t>Totale inkomsten EHS TOVT 2017</t>
  </si>
  <si>
    <t>Totale inkomsten EHS TAVT 2017, afname EHS</t>
  </si>
  <si>
    <t>Totale inkomsten HS TOVT 2017</t>
  </si>
  <si>
    <t>Totale inkomsten HS TAVT 2017</t>
  </si>
  <si>
    <t>Toegestane tariefinkomsten EHS 2017</t>
  </si>
  <si>
    <t>Toegestane tariefinkomsten HS 2017</t>
  </si>
  <si>
    <t>Omzetcorrectie EHS</t>
  </si>
  <si>
    <t>Realisatie tariefinkomsten EHS 2017</t>
  </si>
  <si>
    <t>Omzetcorrectie HS</t>
  </si>
  <si>
    <t>Realisatie tariefinkomsten HS 2017</t>
  </si>
  <si>
    <t>https://www.acm.nl/nl/publicaties/publicatie/15112/Bevoegdhedenovereenkomst-ACM-en-TenneT-veilingmiddelen</t>
  </si>
  <si>
    <t xml:space="preserve">Bevoegdhedenovereenkomst ACM en TenneT veilingmiddelen </t>
  </si>
  <si>
    <t>Bevoegdhedenovereenkomst veilingmiddelen</t>
  </si>
  <si>
    <t>Verslag veilinggelden 2017/2018</t>
  </si>
  <si>
    <t>Tarievenbesluit TenneT 2017</t>
  </si>
  <si>
    <t>Een kader kan worden gebruikt om aan te geven dat een bepaald veld input bevat, maar dat deze input automatisch wordt ingeladen door middel van een macro (dus NIET handmatig in te vullen)</t>
  </si>
  <si>
    <t>Grijze cijfers geven de uitkomst van een check berekening; dit is geen resultaat waarmee verder wordt gerekend</t>
  </si>
  <si>
    <t>EUR, pp boekjaar</t>
  </si>
  <si>
    <t>EUR, pp 2020</t>
  </si>
  <si>
    <t>EUR, pp 2021</t>
  </si>
  <si>
    <t>kW gecontracteerd per jaar</t>
  </si>
  <si>
    <t>Tarieven, rekenvolumes en inkomsten</t>
  </si>
  <si>
    <t>ACM/18/033141</t>
  </si>
  <si>
    <t>N.v.t.</t>
  </si>
  <si>
    <t>Ja</t>
  </si>
  <si>
    <t>Transporttaak</t>
  </si>
  <si>
    <t>Systeemtaak</t>
  </si>
  <si>
    <t>Restitutie systeemdienstentarieven n.a.v. DOW-uitspraak: claimperiode vóór 1-7-2011</t>
  </si>
  <si>
    <t>Restitutie systeemdienstentarieven n.a.v. DOW-uitspraak: claimperiode na 1-7-2011</t>
  </si>
  <si>
    <t>Correctie inkomsten systeemdiensten 2011-2014</t>
  </si>
  <si>
    <t>Berekening van correcties: transporttaak</t>
  </si>
  <si>
    <t>Correctie inkomsten systeemdiensten 2011-2014 in 2019</t>
  </si>
  <si>
    <t>Berekening van correcties: systeemtaak</t>
  </si>
  <si>
    <t>Correctie systeemdienstentarieven n.a.v. DOW-uitspraak: claimperiode na 1-7-2011 in 2019</t>
  </si>
  <si>
    <t>Correctie systeemdienstentarieven n.a.v. DOW-uitspraak: claimperiode vóór 1-7-2011 in 2019</t>
  </si>
  <si>
    <t>Verwachte tariefinkomsten met tarievenvoorstel 2019</t>
  </si>
  <si>
    <t>kW gecontracteerd (min/max 600 uur)</t>
  </si>
  <si>
    <t>kW gecontracteerd max 600 uur : kWgecontracteerd min 600 uur</t>
  </si>
  <si>
    <t>50% kW gecontracteerd</t>
  </si>
  <si>
    <t>50% kW max per maand</t>
  </si>
  <si>
    <t>Totale inkomsten EHS TOVT</t>
  </si>
  <si>
    <t>Totale inkomsten EHS TAVT</t>
  </si>
  <si>
    <t>Totale inkomsten EHS TAVT uit EHS</t>
  </si>
  <si>
    <t>Totale inkomsten HS TOVT</t>
  </si>
  <si>
    <t>Totale inkomsten HS TAVT (zonder EHS)</t>
  </si>
  <si>
    <t>Totale inkomsten HS TAVT (met EHS)</t>
  </si>
  <si>
    <t>Tarieven EHS volgens de TarievenCode</t>
  </si>
  <si>
    <t xml:space="preserve">Tarieven HS volgens de TarievenCode </t>
  </si>
  <si>
    <t>Tarieven 2019 EHS</t>
  </si>
  <si>
    <t>Tarieven 2019 HS</t>
  </si>
  <si>
    <t>Toegestane tariefinkomsten uit transporttarieven 2019</t>
  </si>
  <si>
    <t>Voldoet het tarievenvoorstel van TenneT?</t>
  </si>
  <si>
    <t>Overige opmerkingen</t>
  </si>
  <si>
    <t>Totale inkomsten 2019</t>
  </si>
  <si>
    <t>Totaal tariefcorrecties 2019</t>
  </si>
  <si>
    <t>Totale inkomsten exclusief tariefcorrecties 2019</t>
  </si>
  <si>
    <t>Inputs</t>
  </si>
  <si>
    <t>Berekeningen</t>
  </si>
  <si>
    <t>Resultaten</t>
  </si>
  <si>
    <t>Hulpberekeningen</t>
  </si>
  <si>
    <t>Tabblad 1 - Titelblad</t>
  </si>
  <si>
    <t>Tabblad 2 - Toelichting bij dit bestand</t>
  </si>
  <si>
    <t>Tabblad 3 - Bronnenoverzicht en specifieke toepassingen</t>
  </si>
  <si>
    <t>Tabblad 4 - Totale inkomsten TenneT 2019</t>
  </si>
  <si>
    <t>Tabblad 6 - Correcties en prognoses</t>
  </si>
  <si>
    <t>Tabblad 7 - Toevoeging geschatte kosten RCR-investeringen</t>
  </si>
  <si>
    <t>Tabblad 12 - Berekening op basis van parameters</t>
  </si>
  <si>
    <t>Tabblad 13 - Inkomsten op basis van wettelijke formule</t>
  </si>
  <si>
    <t>Tabblad 14 - Budget systeemtaken</t>
  </si>
  <si>
    <t>Tabblad 15 - Prognoses inkoopkosten transport naastgelegen netten</t>
  </si>
  <si>
    <t>Tabblad 16 - Correcties omzet aansluitdienst &amp; meterhuur en inkoopkosten transport naastgelegen netten</t>
  </si>
  <si>
    <t>Tabblad 17 - Overige correcties</t>
  </si>
  <si>
    <t>Tabblad 19 - Inzet veilinggelden</t>
  </si>
  <si>
    <t>Tabblad 21 - Controle tarieven</t>
  </si>
  <si>
    <t>Postbus 16326</t>
  </si>
  <si>
    <t>2500 BH DEN HAAG</t>
  </si>
  <si>
    <t>Tab 6_Correcties en prognoses</t>
  </si>
  <si>
    <t>Tab 7_Toevoegingen kosten RCR</t>
  </si>
  <si>
    <t>Tab 8_Voorstel tarieven en RV</t>
  </si>
  <si>
    <t>Tab 12_Berekening parameters</t>
  </si>
  <si>
    <t>Tab 13_Wettelijke formule</t>
  </si>
  <si>
    <t>Tab 14_Budget systeemtaken</t>
  </si>
  <si>
    <t>Tab 16_Correcties OA&amp;M en IKTNN</t>
  </si>
  <si>
    <t>Tab 17_Overige correcties</t>
  </si>
  <si>
    <t>Tab 18_Omzetcorrectie</t>
  </si>
  <si>
    <t>Tab 19_Inzet veilinggelden</t>
  </si>
  <si>
    <t>Tab 15_Prognoses IKTNN</t>
  </si>
  <si>
    <t>Tab 20_Controle rekenvolume</t>
  </si>
  <si>
    <t>Tab 21_Controle tarieven</t>
  </si>
  <si>
    <t>Toevoeging prognose inkoopkosten transport bij regionale netbeheerder(s) 2019</t>
  </si>
  <si>
    <t>Omzetcorrectie op basis van volumeverschillen 2017 in 2019</t>
  </si>
  <si>
    <t>Tabblad 18 - Omzetcorrectie op basis van volumeverschillen</t>
  </si>
  <si>
    <t>Omzetcorrectie op basis van volumeverschillen HS 2017 in 2019</t>
  </si>
  <si>
    <t>Omzetcorrectie op basis van volumeverschillen EHS 2017 in 2019</t>
  </si>
  <si>
    <t xml:space="preserve">De totale inkomsten die hier berekend zijn, worden op Tab_21 Controle tarieven gebruikt om het tarievenvoorstel van TenneT te controleren. </t>
  </si>
  <si>
    <t>Tab 9_Parameters</t>
  </si>
  <si>
    <t>Tab 10_Brondata</t>
  </si>
  <si>
    <t>Tab 11_Tarieven, RV en omzet</t>
  </si>
  <si>
    <t xml:space="preserve">Tabblad 9 - Parameters </t>
  </si>
  <si>
    <t>Tabblad 10 - Brondata</t>
  </si>
  <si>
    <t>Netto veilinggelden</t>
  </si>
  <si>
    <t>Zijn de tarieven conform voorstel TenneT?</t>
  </si>
  <si>
    <t>Voldoet het voorstel voor de tarieven?</t>
  </si>
  <si>
    <t>De inkomsten voor 2020 en 2021 betreffen een schatting bedoeld ter indicatie.</t>
  </si>
  <si>
    <t>Rentepercentage tariefcorrecties 2018→ 2019</t>
  </si>
  <si>
    <t>Rentepercentage tariefcorrecties 2017 → 2019</t>
  </si>
  <si>
    <t>Rentepercentage tariefcorrecties 2011 → 2019</t>
  </si>
  <si>
    <t>Rentepercentage tariefcorrecties 2012 → 2019</t>
  </si>
  <si>
    <t>Rentepercentage tariefcorrecties 2013 → 2019</t>
  </si>
  <si>
    <t>Rentepercentage tariefcorrecties 2014 → 2019</t>
  </si>
  <si>
    <t>Rentepercentage tariefcorrecties 2015 → 2019</t>
  </si>
  <si>
    <t>Rentepercentage tariefcorrecties 2016 → 2019</t>
  </si>
  <si>
    <t>ja/nee</t>
  </si>
  <si>
    <t>kW gecontracteerd
per jaar
(max 600 uur)</t>
  </si>
  <si>
    <t>kW gecontracteerd
per jaar</t>
  </si>
  <si>
    <t>Reële WACC vóór belastingen bestaand vermogen</t>
  </si>
  <si>
    <t>Reële WACC vóór belastingen bestaand vermogen 2019</t>
  </si>
  <si>
    <t>WACC</t>
  </si>
  <si>
    <t>Frontier shift, X-factor, Y-factor, OPEX-percentage</t>
  </si>
  <si>
    <t>https://www.acm.nl/nl/publicaties/publicatie/16965/Methodebesluit-GTS-2017-2021</t>
  </si>
  <si>
    <t>Methodebesluit GTS 2017-2021</t>
  </si>
  <si>
    <t>MB TenneT 2014-2016 Transport</t>
  </si>
  <si>
    <t>MB TenneT 2017-2021 Transport</t>
  </si>
  <si>
    <t>MB GTS 2017-2021</t>
  </si>
  <si>
    <t>XB TenneT 2017-2021</t>
  </si>
  <si>
    <t>TB TenneT 2017</t>
  </si>
  <si>
    <t>TB TenneT 2018</t>
  </si>
  <si>
    <t>Rekenmodule TB TenneT 2017</t>
  </si>
  <si>
    <t>Rekenmodule TB TenneT 2018</t>
  </si>
  <si>
    <t>RD TenneT 2013</t>
  </si>
  <si>
    <t>RD TenneT 2014</t>
  </si>
  <si>
    <t>RD TenneT 2015</t>
  </si>
  <si>
    <t>RD TenneT 2017</t>
  </si>
  <si>
    <t xml:space="preserve">Bedrag is inclusief belastingrente. </t>
  </si>
  <si>
    <r>
      <rPr>
        <b/>
        <sz val="10"/>
        <rFont val="Arial"/>
        <family val="2"/>
      </rPr>
      <t>Beschrijving resultaat</t>
    </r>
    <r>
      <rPr>
        <sz val="10"/>
        <rFont val="Arial"/>
        <family val="2"/>
      </rPr>
      <t xml:space="preserve">
Dit tabblad is een overzicht van de totale inkomsten 2019 van de beheerder van het landelijke hoogspanningsnet, TenneT TSO B.V. De ACM bepaalt de totale inkomsten inclusief tariefcorrecties in drie stappen:
1: de ACM berekent de totale inkomsten exclusief tariefcorrecties;
2: de ACM bepaalt de tariefcorrecties;
3: de berekening van de totale inkomsten inclusief tariefcorrecties.
</t>
    </r>
    <r>
      <rPr>
        <i/>
        <sz val="10"/>
        <rFont val="Arial"/>
        <family val="2"/>
      </rPr>
      <t xml:space="preserve">
Toelichting bij bijzonderheden</t>
    </r>
    <r>
      <rPr>
        <sz val="10"/>
        <rFont val="Arial"/>
        <family val="2"/>
      </rPr>
      <t xml:space="preserve">
Bedragen zijn inclusief het rentepercentage voor tariefcorrecties.
</t>
    </r>
  </si>
  <si>
    <t>Controles</t>
  </si>
  <si>
    <r>
      <rPr>
        <b/>
        <sz val="10"/>
        <rFont val="Arial"/>
        <family val="2"/>
      </rPr>
      <t>Beschrijving gegevens</t>
    </r>
    <r>
      <rPr>
        <sz val="10"/>
        <rFont val="Arial"/>
        <family val="2"/>
      </rPr>
      <t xml:space="preserve">
Op dit tabblad vult TenneT gegevens in ten behoeve van de berekening van de totale inkomsten in 2019.
De ACM schrijft een aantal correcties en prognoses voor die TenneT in moet vullen. In de groene cellen is er ruimte voor TenneT om hier extra correcties en/of prognoses aan toe te voegen.</t>
    </r>
  </si>
  <si>
    <r>
      <rPr>
        <b/>
        <sz val="10"/>
        <rFont val="Arial"/>
        <family val="2"/>
      </rPr>
      <t>Beschrijving gegevens</t>
    </r>
    <r>
      <rPr>
        <sz val="10"/>
        <rFont val="Arial"/>
        <family val="2"/>
      </rPr>
      <t xml:space="preserve">
Op dit tabblad vult TenneT voor RCR-investeringen de geschatte vermogenskosten (voor investeringen in aanbouw) en de geschatte totale kosten (voor investeringen in gebruik) in 2019 in. De omvang van deze kosten wordt berekend in een aparte rekenmodule. </t>
    </r>
  </si>
  <si>
    <t>Controle 2: veroorzaken de verwachte volumina een wijziging van meer dan 1% in de inkomsten?</t>
  </si>
  <si>
    <t>Rekenvolumina 2019 EHS</t>
  </si>
  <si>
    <t>Rekenvolumina 2019 HS</t>
  </si>
  <si>
    <t>Voorstel tarieven en rekenvolumina 2019</t>
  </si>
  <si>
    <t>Voorstel rekenvolumina 2019</t>
  </si>
  <si>
    <t>Realisatie volumina 2017</t>
  </si>
  <si>
    <t>Realisatie volumina EHS 2017</t>
  </si>
  <si>
    <t>Realisatie volumina HS 2017</t>
  </si>
  <si>
    <t>Toevoeging als bedoeld in artikel 41b, eerste en derde lid, van de E-wet</t>
  </si>
  <si>
    <t>Deze correctie verrekent de inkomsten op het EHS netvlak als gevolgd van wijzigingen in de inkomsten van de transportdiensten in afgelopen jaren. Wijzigingen kunnen bijvoorbeeld plaatsvinden door het wijzigen van een factuur of als gevolg van een geschilprocedure.</t>
  </si>
  <si>
    <t>Deze correctie verrekent de inkomsten op het HS netvlak als gevolgd van wijzigingen in de inkomsten van de transportdiensten in afgelopen jaren. Wijzigingen kunnen bijvoorbeeld plaatsvinden door het wijzigen van een factuur of als gevolg van een geschilprocedure.</t>
  </si>
  <si>
    <t>Deze correctie verrekent de inkomsten als gevolg van de afrekening van voorschotten over de periode 2011-2014, waarbij meetdata pas laat is ontvangen van de klanten.</t>
  </si>
  <si>
    <t xml:space="preserve">In het methodebesluit systeemtaken 2014-2016 heeft de ACM geconcludeerd dat, ten gevolge van de uitspraak van het CBb van 23 juli 2012 inzake DOW Benelux B.V. bepaalde afnemers in het verleden onverschuldigde systeemdiensten hebben betaald. Deze correctie verrekent de wijzigingen in inkomsten uit de systeemdienstentarieven omdat TenneT deze afnemers dient te restitueren. </t>
  </si>
  <si>
    <t>Deze correctie verrekent de inkomsten op het EHS netvlak als gevolg van een verschil tussen de realisatie en de prognose van de aansluitdienst en meterhuur in 2017.</t>
  </si>
  <si>
    <t>Deze correctie verrekent de inkomsten op het HS netvlak als gevolg van een verschil tussen de realisatie en de prognose van de aansluitdienst en meterhuur in 2017.</t>
  </si>
  <si>
    <r>
      <rPr>
        <b/>
        <sz val="10"/>
        <rFont val="Arial"/>
        <family val="2"/>
      </rPr>
      <t>Beschrijving gegevens</t>
    </r>
    <r>
      <rPr>
        <sz val="10"/>
        <rFont val="Arial"/>
        <family val="2"/>
      </rPr>
      <t xml:space="preserve">
Op dit tabblad vult TenneT de gerealiseerde volumina 2017 in en de voorgestelde tarieven en rekenvolumina voor 2019. De rekenvolumina representeren de afzet die in een jaar te verwachten is. 
De controles hieronder gaan na of de getallen die TenneT invult voor respectievelijk de tarieven en de rekenvolumina voldoen aan de Tarievencode Elektriciteit en de bepalingen in het methodebesluit 2017-2021.
</t>
    </r>
  </si>
  <si>
    <t>Tabblad 8 - Voorstel tarieven en rekenvolumina</t>
  </si>
  <si>
    <t>Geschatte beheerkosten 2018 zijn in het tarievenbesluit 2018 berekend door op de beheerkosten 2017 de y-factor toe te passen en te corrigeren voor inflatie</t>
  </si>
  <si>
    <t>TenneT heeft deze prognose opgegeven in haar tarievenvoorstel 2017 en volgt uit de realisatie in 2015</t>
  </si>
  <si>
    <t>TenneT heeft deze prognose opgegeven in haar tarievenvoorstel 2017, en is gebaseerd op de gerealiseerde baten in 2015 gecorrigeerd voor inflatie.</t>
  </si>
  <si>
    <t>Het overige gedeelte van EHS TAVT wordt door toedoen van het cascade-beginsel afgenomen door HS</t>
  </si>
  <si>
    <r>
      <rPr>
        <b/>
        <sz val="10"/>
        <rFont val="Arial"/>
        <family val="2"/>
      </rPr>
      <t>Beschrijving berekening</t>
    </r>
    <r>
      <rPr>
        <sz val="10"/>
        <rFont val="Arial"/>
        <family val="2"/>
      </rPr>
      <t xml:space="preserve">
Op dit tabblad berekent de ACM de toegestane inkomsten van TenneT voor de algemene transporttaken op basis van de wettelijke formule. Dit is de formule in artikel 41b, eerste lid, onderdeel d, van de E-wet waarmee de ACM de x-factor en de rekenvolumina toepast op de totale inkomsten.
</t>
    </r>
    <r>
      <rPr>
        <i/>
        <sz val="10"/>
        <rFont val="Arial"/>
        <family val="2"/>
      </rPr>
      <t xml:space="preserve">
Toelichting bij bijzonderheden
</t>
    </r>
    <r>
      <rPr>
        <sz val="10"/>
        <rFont val="Arial"/>
        <family val="2"/>
      </rPr>
      <t>De inkomsten voor 2020 en 2021 betreffen een schatting bedoeld ter indicatie.</t>
    </r>
  </si>
  <si>
    <t>Rentepercentage tariefcorrecties 2018 → 2019</t>
  </si>
  <si>
    <t>Rekenvolumina 2018</t>
  </si>
  <si>
    <t>Controle en berekening rekenvolumina 2019</t>
  </si>
  <si>
    <t>Verwachte omzet 2019 obv voorstel rekenvolumina 2019 EHS</t>
  </si>
  <si>
    <t>Verwachte omzet 2019 obv voorstel rekenvolumina 2019 HS</t>
  </si>
  <si>
    <t>Verwachte omzet 2019 obv voorstel rekenvolumina 2019 Totaal</t>
  </si>
  <si>
    <t>Verwachte omzet 2019 obv rekenvolumina 2018 EHS</t>
  </si>
  <si>
    <t>Verwachte omzet 2019 obv rekenvolumina 2018 HS</t>
  </si>
  <si>
    <t>Verwachte omzet 2019 obv rekenvolumina 2018 Totaal</t>
  </si>
  <si>
    <t>Verschil omzet 2019 obv voorstel rekenvolumina 2019 en rekenvolumina 2018</t>
  </si>
  <si>
    <t xml:space="preserve">De ACM heeft de rekenvolumina (de afzet die in een jaar te verwachten is) voor de reguleringsperiode 2017-2021 in het Tarievenbesluit 2018 bijgesteld. De ACM hanteert niet langer als uitgangspunt de gerealiseerde volumina in 2015, zoals randnummer 290 van het methodebesluit voorschrijft, maar de door TenneT voorgestelde rekenvolumina 2018 op basis van de gerealiseerde volumina in 2016. </t>
  </si>
  <si>
    <t>Correctie vermogenskosten RCR-investeringen EHS 2016 in 2019: Friese netten</t>
  </si>
  <si>
    <t>Toevoeging vermogenskosten RCR-investeringen 2018 in 2019: Friese netten</t>
  </si>
  <si>
    <t xml:space="preserve">TenneT mag voor de RCR-investeringen Friese netten voor het lopende jaar 2018 nog een schatting van de vermogenskosten opgeven, omdat deze investeringen pas in 2018 de officiële RCR-status kregen terwijl ze al in aanbouw waren. </t>
  </si>
  <si>
    <t xml:space="preserve">Bedrag is inclusief belastingrente. De investering Friese netten EHS is al sinds 2016 in aanbouw, maar heeft pas in 2018 de officiële RCR-status gekregen. Om die reden wordt de vermogenskostenvergoeding voor 2016 pas in dit tarievenbesluit meegenomen. </t>
  </si>
  <si>
    <t xml:space="preserve">De investering Friese netten EHS is al sinds 2016 in aanbouw, maar heeft pas in 2018 de officiële RCR-status gekregen. Om die reden wordt de vermogenskostenvergoeding voor 2016 pas in dit tarievenbesluit meegenomen. </t>
  </si>
  <si>
    <t>Zijn de verwachte tariefinkomsten minder of gelijk aan de toegestane tariefinkomsten?</t>
  </si>
  <si>
    <t xml:space="preserve">minder of gelijk aan de toegestane tariefinkomsten? </t>
  </si>
  <si>
    <t>Tariefinkomsten op basis van niet-afgeronde tarieven</t>
  </si>
  <si>
    <t>Tariefinkomsten op basis van afgeronde tarieven</t>
  </si>
  <si>
    <t>Tarievenbesluit TenneT TSO B.V. 2019</t>
  </si>
  <si>
    <t>Tab 4_Totale inkomsten 2019</t>
  </si>
  <si>
    <t>Tab 5_Tarieven en RV 2019</t>
  </si>
  <si>
    <t>MB TenneT 2014-2016 Transport, p.73, rnnr. 196</t>
  </si>
  <si>
    <t>Frontier shift periode 2014-2016</t>
  </si>
  <si>
    <t>Frontier shift periode 2017-2021</t>
  </si>
  <si>
    <t>X-factor periode 2017-2021</t>
  </si>
  <si>
    <t>Y-factor periode 2017-2021</t>
  </si>
  <si>
    <t>WACC-besluit 2017-2021, p. 26, rnnrn 96 en 97; MB GTS 2017-2021, p. 41, vtnt. 37</t>
  </si>
  <si>
    <t>MB TenneT 2017-2021 Transport, p.70, rnnr. 244</t>
  </si>
  <si>
    <t>XB TenneT 2017-2021, p. 9, rnnr. 29</t>
  </si>
  <si>
    <t>Tarievencode elektricteit, artikel 3.7.5 a</t>
  </si>
  <si>
    <t>Tarievencode elektricteit, artikel 3.7.5 b</t>
  </si>
  <si>
    <t>Tarievencode elektricteit, artikel 3.7.5a a</t>
  </si>
  <si>
    <t>Tarievencode elektriciteit, artikel 3.7.5a b</t>
  </si>
  <si>
    <r>
      <rPr>
        <b/>
        <sz val="10"/>
        <rFont val="Arial"/>
        <family val="2"/>
      </rPr>
      <t>Beschrijving berekening</t>
    </r>
    <r>
      <rPr>
        <sz val="10"/>
        <rFont val="Arial"/>
        <family val="2"/>
      </rPr>
      <t xml:space="preserve">
Op dit tabblad berekent de ACM samengestelde percentages voor de toepassing van de CPI, het rentepercentage tariefcorrecties en de frontier shift. Percentages worden weergegeven met één decimaal, maar kunnen uit meer decimalen bestaan. Bij de toepassing van deze samengestelde percentages wordt niet tussentijds afgerond. </t>
    </r>
  </si>
  <si>
    <t>https://www.acm.nl/nl/publicaties/publicatie/16172/Formules-bij-methodebesluit-TenneT-Systeemtaken-2017---2021</t>
  </si>
  <si>
    <t>Formules bij MB TenneT Systeemtaken 2017-2021</t>
  </si>
  <si>
    <t>Formules bij MB TenneT Systeemtaken 2017-2021, formule 11</t>
  </si>
  <si>
    <t>Formules bij MB TenneT Systeemtaken 2017-2021, formule 12</t>
  </si>
  <si>
    <t>Formules bij MB TenneT Systeemtaken 2017-2021, formule 8 en 9</t>
  </si>
  <si>
    <t>Formules bij MB TenneT Systeemtaken 2017-2021, formule 7</t>
  </si>
  <si>
    <t>Formules bij MB TenneT Systeemtaken 2017-2021, formule 13</t>
  </si>
  <si>
    <r>
      <rPr>
        <b/>
        <sz val="10"/>
        <rFont val="Arial"/>
        <family val="2"/>
      </rPr>
      <t>Beschrijving berekening</t>
    </r>
    <r>
      <rPr>
        <sz val="10"/>
        <rFont val="Arial"/>
        <family val="2"/>
      </rPr>
      <t xml:space="preserve">
Op dit tabblad berekent de ACM de prognoses voor de inkoopkosten transport naastgelegen netten 2019. Deze bestaan uit de inkoopkosten transport bij regionale netbeheerders en de InterTSO compensation. ACM schat deze kosten aan de hand van het gemiddelde over 2013 tot en met 2015 en toepassing van een inflatiecorrectie. (Bron: MB TenneT 2017-2021 Transport, p. 90, rnnr. 324)</t>
    </r>
  </si>
  <si>
    <r>
      <rPr>
        <b/>
        <sz val="10"/>
        <rFont val="Arial"/>
        <family val="2"/>
      </rPr>
      <t>Beschrijving berekening</t>
    </r>
    <r>
      <rPr>
        <sz val="10"/>
        <rFont val="Arial"/>
        <family val="2"/>
      </rPr>
      <t xml:space="preserve">
Op dit tabblad berekent de ACM de correcties voor de omzet aansluitdienst en meterhuur 2017 en voor de inkoopkosten transport naastgelegen netten 2017. Die laatste categorie omvat de inkoopkosten transport bij regionale netbeheerder(s) en de InterTSO compensation. De ACM berekent telkens het verschil tussen de realisatie en de prognose, vervolgens wordt dit bedrag met het rentepercentage tariefcorrecties aangepast.
</t>
    </r>
    <r>
      <rPr>
        <i/>
        <sz val="10"/>
        <rFont val="Arial"/>
        <family val="2"/>
      </rPr>
      <t xml:space="preserve">
Toelichting bij bijzonderheden</t>
    </r>
    <r>
      <rPr>
        <sz val="10"/>
        <rFont val="Arial"/>
        <family val="2"/>
      </rPr>
      <t xml:space="preserve">
Bedragen in de berekening zijn inclusief het rentepercentage voor tariefcorrecties.</t>
    </r>
  </si>
  <si>
    <t>Aantal jaren waarover netto veilinggelden worden verdeeld</t>
  </si>
  <si>
    <t>Bevoegdhedenovereenkomst veilingmiddelen, p. 5, rnnr. 2.6</t>
  </si>
  <si>
    <t>Bevoegdhedenovereenkomsten veilingmiddelen, p. 4, rnnr 2.5</t>
  </si>
  <si>
    <t>Beschikbaar voor teruggave in 2017-2020 per jaar</t>
  </si>
  <si>
    <t>Beschikbaar voor teruggave in 2021-2024 per jaar</t>
  </si>
  <si>
    <t>De bedragen voor 2022-2024 zijn niet opgenomen</t>
  </si>
  <si>
    <r>
      <rPr>
        <b/>
        <sz val="10"/>
        <rFont val="Arial"/>
        <family val="2"/>
      </rPr>
      <t>Beschrijving berekening</t>
    </r>
    <r>
      <rPr>
        <sz val="10"/>
        <rFont val="Arial"/>
        <family val="2"/>
      </rPr>
      <t xml:space="preserve">
Op dit tabblad berekent de ACM hoeveel veilinggelden TenneT moet inzetten ter verlaging van de transporttarieven in 2019. Het bedrag aan netto ontvangen veilinggelden wordt over een aantal jaren verdeeld om tariefschommelingen te beperken.
</t>
    </r>
    <r>
      <rPr>
        <i/>
        <sz val="10"/>
        <rFont val="Arial"/>
        <family val="2"/>
      </rPr>
      <t xml:space="preserve">
Toelichting bij bijzonderheden</t>
    </r>
    <r>
      <rPr>
        <sz val="10"/>
        <rFont val="Arial"/>
        <family val="2"/>
      </rPr>
      <t xml:space="preserve">
Op de inzet veilinggelden wordt niet het rentepercentage voor tariefcorrecties toegepast omdat de netto ontvangen veilinggelden al inclusief de netto rentebaten zijn.</t>
    </r>
  </si>
  <si>
    <t>Verschil in de inkomsten groter dan 1%?</t>
  </si>
  <si>
    <t xml:space="preserve">Als deze controle tot een 'ja' leidt, dan veranderen de inkomsten van TenneT op basis van de verwachte volumina met meer dan 1% ten opzichte van de inkomsten op basis de rekenvolumina 2018. </t>
  </si>
  <si>
    <t>Tarievencode Elektriciteit 3.6.3 a</t>
  </si>
  <si>
    <t>Als de verwachte tariefinkomsten hoger zijn dan de toegestane tariefinkomsten, dan voldoet het voorstel niet.</t>
  </si>
  <si>
    <t>In deze rij wordt voor elke tariefdrager het tarief afgeleid uit het vastrechttarief en de tarievencodebepalingen. De formule verschilt per tariefdrager.</t>
  </si>
  <si>
    <t>Dit getal mag niet positief zijn, indien dit wel het geval, dan handmatig een afgerond tarief aanpassen.</t>
  </si>
  <si>
    <t>Op dit tabblad staan per jaar de gegevens die de ACM gebruikt voor de berekening van de totale inkomsten van TenneT in 2019. Bij elk gegeven is een bron aangegeven.</t>
  </si>
  <si>
    <t>Berekening b: wat zijn de HS-tarieven volgens de TarievenCode?</t>
  </si>
  <si>
    <t xml:space="preserve">Controle berekening: zijn de tariefinkomsten op basis van de tarieven volgens de TarievenCode </t>
  </si>
  <si>
    <t>Tabblad 20 - Controle rekenvolumina</t>
  </si>
  <si>
    <r>
      <rPr>
        <b/>
        <sz val="10"/>
        <rFont val="Arial"/>
        <family val="2"/>
      </rPr>
      <t>Beschrijving berekening</t>
    </r>
    <r>
      <rPr>
        <sz val="10"/>
        <rFont val="Arial"/>
        <family val="2"/>
      </rPr>
      <t xml:space="preserve">
Op dit tabblad berekent de ACM de omzet van TenneT in 2017 op basis van daadwerkelijk gefactureerde volumina. De ACM berekent vervolgens de correctie op de omzet 2017, door het verschil te nemen tussen de toegestane tariefinkomsten (op basis van de rekenvolumina 2017) en de gerealiseerde tariefinkomsten (op basis van de daadwerkelijk gefactureerde volumina). Op deze tariefcorrectie wordt nog het rentepercentage voor tariefcorrecties toegepast. </t>
    </r>
  </si>
  <si>
    <t>Zijn de voorgestelde volumina gelijk aan de realisaties 2017?</t>
  </si>
  <si>
    <t>Rekenvolumina 2019</t>
  </si>
  <si>
    <t>Tabblad 5 - Tarieven en rekenvolumina 2019</t>
  </si>
  <si>
    <t>Zijn de rekenvolumina conform voorstel TenneT?</t>
  </si>
  <si>
    <t xml:space="preserve">De hardroze cel betreft een voorlopige waarde, omdat het verslag veilinggelden 2017/2018 nog niet is vastgesteld. </t>
  </si>
  <si>
    <t>Berekening a: wat zijn de EHS-tarieven volgens de TarievenCode?</t>
  </si>
  <si>
    <t>Controle: verwachte tariefinkomsten minder of gelijk aan toegestane inkomsten?</t>
  </si>
  <si>
    <r>
      <rPr>
        <b/>
        <sz val="10"/>
        <rFont val="Arial"/>
        <family val="2"/>
      </rPr>
      <t>Beschrijving gegevens</t>
    </r>
    <r>
      <rPr>
        <sz val="10"/>
        <rFont val="Arial"/>
        <family val="2"/>
      </rPr>
      <t xml:space="preserve">
Op dit blad staan inputgegevens voor relevante parameters in de berekening van de totale inkomsten en de tarieven. Deze parameters betreffen achtereenvolgens: CPI, rentepercentage tariefcorrecties, WACC, frontier shift, x-factoren en overige parameters.</t>
    </r>
  </si>
  <si>
    <t>Rekenmodule TB TenneT 2018, tab Systeemtaken, cel D40</t>
  </si>
  <si>
    <t>XB TenneT 2017-2021, tab Overzicht paramaters, cel D23</t>
  </si>
  <si>
    <t>XB TenneT 2017-2021, tab Overzicht paramaters, cel D24</t>
  </si>
  <si>
    <t>XB TenneT 2017-2021, tab Overzicht paramaters, cel D25</t>
  </si>
  <si>
    <t>XB TenneT 2017-2021, tab Overzicht paramaters, cel D26</t>
  </si>
  <si>
    <t>XB TenneT 2017-2021, tab Overzicht paramaters, cel D21</t>
  </si>
  <si>
    <t>Rekenmodule HS-installatie Deltius, tab 2, cel D61</t>
  </si>
  <si>
    <t>RD TenneT 2017, tab 13, cel F60</t>
  </si>
  <si>
    <t>RD TenneT 2017, tab 13, cel F61</t>
  </si>
  <si>
    <t>RD TenneT 2017, tab 13, cel F62</t>
  </si>
  <si>
    <t>RD TenneT 2017, tab 13, cel F63</t>
  </si>
  <si>
    <t>RD TenneT 2017, tab 12, D32</t>
  </si>
  <si>
    <t>Rekenmodule TB TenneT 2018, tab Kosten systeemtaken, cel F25</t>
  </si>
  <si>
    <t>GAW-bestand TenneT, tab 7d, cel U69</t>
  </si>
  <si>
    <t>GAW-bestand TenneT, tab 7d, cel U31</t>
  </si>
  <si>
    <t>TB TenneT 2018, p. 19</t>
  </si>
  <si>
    <t>TB TenneT 2017, p. 26</t>
  </si>
  <si>
    <t>Rekenmodule TB TenneT 2017, tab 14, cel C9</t>
  </si>
  <si>
    <t>Rekenmodule TB TenneT 2017, tab 14, cel C11</t>
  </si>
  <si>
    <t>Rekenmodule TB TenneT 2017, tab 14, cel C17</t>
  </si>
  <si>
    <t>Rekenmodule TB TenneT 2017, tab 14, cel C19</t>
  </si>
  <si>
    <t>Rekenmodule TB TenneT 2017, tab 10, cel K60</t>
  </si>
  <si>
    <t>Rekenmodule TB TenneT 2017, tab 10, cel K61</t>
  </si>
  <si>
    <t>Rekenmodule TB TenneT 2017, tab 3, rij 55</t>
  </si>
  <si>
    <t>RD TenneT 2013 (tab 7, cel D13), 2014 (tab 7, cel D13), 2015 (tab 9, cel D11) en 2017 (tab 9, cel D13)</t>
  </si>
  <si>
    <t>RD TenneT 2013 (tab 8, cel D13), 2014 (tab 8, cel D13), 2015 (tab 10, cel D11) en 2017 (tab 10, cel D13)</t>
  </si>
  <si>
    <t>Tabblad 11 - Tarieven, rekenvolumina en omzet</t>
  </si>
  <si>
    <r>
      <rPr>
        <b/>
        <sz val="10"/>
        <rFont val="Arial"/>
        <family val="2"/>
      </rPr>
      <t>Beschrijving berekening</t>
    </r>
    <r>
      <rPr>
        <sz val="10"/>
        <rFont val="Arial"/>
        <family val="2"/>
      </rPr>
      <t xml:space="preserve">
Op dit tabblad staan per tariefdrager de tarieven 2017, rekenvolumina 2018 en totale inkomsten 2017, uitgesplitst voor de netvlakken EHS en HS. Bij elk gegeven is een bron aangegeven.</t>
    </r>
  </si>
  <si>
    <r>
      <rPr>
        <sz val="10"/>
        <rFont val="Arial"/>
        <family val="2"/>
      </rPr>
      <t xml:space="preserve">Op dit tabblad berekent de ACM de overige correcties. Een aantal van de correcties zijn voorgeschreven door de ACM. TenneT heeft hiervoor de bedragen ingevuld. In de oranje cellen in kolom B staan correcties die TenneT hier aan heeft toegevoegd.
</t>
    </r>
    <r>
      <rPr>
        <i/>
        <sz val="10"/>
        <rFont val="Arial"/>
        <family val="2"/>
      </rPr>
      <t>Toelichting bij bijzonderheden</t>
    </r>
    <r>
      <rPr>
        <sz val="10"/>
        <rFont val="Arial"/>
        <family val="2"/>
      </rPr>
      <t xml:space="preserve">
Bedragen in de berekening zijn inclusief het rentepercentage voor tariefcorrecties.</t>
    </r>
  </si>
  <si>
    <t>Rekenmodule RCR-investeringen, tab 4</t>
  </si>
  <si>
    <t>Rekenmodule TB TenneT 2017, tab 3, rij 24; Rekenmodule TB TenneT 2018, tab Inzet Veilinggelden, E23, rij 55; Verslag veilinggelden 2017/2018, tab 2, cel J44</t>
  </si>
  <si>
    <t>Correctie omzet aansluitdienst en meterhuur HS 2016</t>
  </si>
  <si>
    <t>https://www.acm.nl/nl/publicaties/verslag-veilingopbrengsten-tennet-2017-2018</t>
  </si>
  <si>
    <t>Rentepercentage tariefcorrecties van 31/12/2017 tot 1/7/2019</t>
  </si>
  <si>
    <t>Rekenmodule netbeheerder van het landelijke hoogspanningsnet 2019</t>
  </si>
  <si>
    <t>Rekenmodule RCR-investeringen, Rekenmodule HS-installatie Deltius</t>
  </si>
  <si>
    <t>Deze rekenmodule wordt gebruikt bij het vaststellen van het Tarievenbesluit TenneT 2019.</t>
  </si>
  <si>
    <t>Deze rekenmodule bevat alle gegevens die nodig zijn om de tarieven voor het landelijk hoogspanningsnet te berekenen voor het jaar 2019.</t>
  </si>
  <si>
    <r>
      <rPr>
        <b/>
        <sz val="10"/>
        <rFont val="Arial"/>
        <family val="2"/>
      </rPr>
      <t>Beschrijving resultaat</t>
    </r>
    <r>
      <rPr>
        <sz val="10"/>
        <rFont val="Arial"/>
        <family val="2"/>
      </rPr>
      <t xml:space="preserve">
Op dit tabblad geeft de ACM de tarieven en rekenvolumina per tariefdrager voor 2019 weer.
De controles hieronder gaan na of de tarieven en rekenvolumina die in dit resultaat worden weergegeven gelijk zijn aan de tarieven en rekenvolumina die TenneT heeft voorgesteld.</t>
    </r>
  </si>
  <si>
    <t>De relatieve wijziging van de consumentenprijsindex wordt berekend uit het quotiënt van deze index, gepubliceerd in de vierde maand voorafgaande aan het jaar t, en van deze index, gepubliceerd</t>
  </si>
  <si>
    <t>De gegevens zijn afkomstig uit StatLine, zie voor recente CPI-cijfers: https://opendata.cbs.nl/statline/#/CBS/nl/dataset/70936ned/table?ts=1532343719053.</t>
  </si>
  <si>
    <t>Voor de toepassing van dit CPI-percentage in de wettelijke formule moet dit getal nog vermenigvuldigd worden met 100.</t>
  </si>
  <si>
    <t>De zachtroze cellen betreffen voorlopige CPI-cijfers voor 2020 en 2021 zoals gehanteerd in het X-factorbesluit 2017-2021.</t>
  </si>
  <si>
    <t>Voor de eerste twee kwartalen van 2019 hanteert de ACM de meest recent vastgestelde belastingrente.</t>
  </si>
  <si>
    <r>
      <rPr>
        <b/>
        <sz val="10"/>
        <rFont val="Arial"/>
        <family val="2"/>
      </rPr>
      <t>Beschrijving berekening</t>
    </r>
    <r>
      <rPr>
        <sz val="10"/>
        <rFont val="Arial"/>
        <family val="2"/>
      </rPr>
      <t xml:space="preserve">
Op dit tabblad berekent de ACM het budget dat TenneT in 2019 ter beschikking krijgt voor het uitvoeren van de systeemtaken. Het budget voor systeemtaken bestaat uit beheerkosten, inkoopkosten en uitvoeringskosten. De wijze van berekening is omgeschreven in het Methodebesluit TenneT 2017-2021 Systeem en de bijbehorende formulebijlage.</t>
    </r>
  </si>
  <si>
    <t>TenneT mag een voorstel doen tot wijziging van de rekenvolumima. Op dit tabblad controleert de ACM de voorgestelde rekenvolumina 2019.  Eerst controleert de ACM of de voorgestelde rekenvolumina 2019 overeenkomen met de realisaties 2017. Daarna controleert de ACM of de verwachte volumina een wijziging van meer dan 1% van de inkomsten van TenneT in 2019 veroorzaken. Indien dit het geval is, is de ACM voornemens om de rekenvolumina aan te passen aan de actuele verwachtingen van TenneT. (Bron: MB Tennet 2017-2021 Transport, p. 8)</t>
  </si>
  <si>
    <t>Controle 1: zijn de rekenvolumina 2019 gelijk aan de realisaties 2017?</t>
  </si>
  <si>
    <t>Verschil rekenvolumina 2019 en realisaties 2017 EHS</t>
  </si>
  <si>
    <t>Verschil rekenvolumina 2019 en realisaties 2017 HS</t>
  </si>
  <si>
    <t>Zijn de rekenvolumina 2019 gelijk aan de realisaties 2017?</t>
  </si>
  <si>
    <t xml:space="preserve">Als deze controle tot een 'ja' leidt, dan zijn de voorgestelde volumina door TenneT gelijk aan de gerealiseerde volumina 2017. </t>
  </si>
  <si>
    <t>Tennet doet een voorstel voor de tarieven 2019. Op dit tabblad controleert de ACM het voorstel voor de tarieven van TenneT. Eerst berekent de ACM of de voorgestelde tarieven voldoen aan de toegestane inkomsten. Daarna berekent ACM zelf de tarieven aan de hand van de Tarievencode Elektriciteit. Indien het voorstel van TenneT niet voldoet, dan stelt de ACM de tarieven vast op basis van de zelf berekende tarieven.</t>
  </si>
  <si>
    <t>Rekenmodule tarievenbesluit TenneT 2019</t>
  </si>
  <si>
    <t>ACM/UIT/495421</t>
  </si>
  <si>
    <t>Correctie inkomsten transportdiensten EHS 2016 in 2019</t>
  </si>
  <si>
    <t>Correctie inkomsten transportdiensten HS 2016 in 2019</t>
  </si>
  <si>
    <t>Correctie omzet aansluitdienst en meterhuur HS 2016 in 2019</t>
  </si>
  <si>
    <t>Correctie omzet aansluitdienst en meterhuur EHS 2017</t>
  </si>
  <si>
    <t>Correctie inkomsten transportdiensten EHS 2016</t>
  </si>
  <si>
    <t>Correctie omzet aansluitdienst en meterhuur HS 2017</t>
  </si>
  <si>
    <t>Correctie inkomsten transportdiensten HS 2016</t>
  </si>
  <si>
    <t>Totaal</t>
  </si>
  <si>
    <t>Stelt de ACM de rekenvolumina gewijzigd vast?</t>
  </si>
  <si>
    <t>e-mail : DE-tarievenbesluiten@acm.nl</t>
  </si>
  <si>
    <r>
      <rPr>
        <i/>
        <sz val="10"/>
        <rFont val="Arial"/>
        <family val="2"/>
      </rPr>
      <t xml:space="preserve">Opmerking TenneT: </t>
    </r>
    <r>
      <rPr>
        <sz val="10"/>
        <rFont val="Arial"/>
        <family val="2"/>
      </rPr>
      <t>Bedrijfsvertrouwelijk</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</si>
</sst>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3" formatCode="_ * #,##0.00_ ;_ * \-#,##0.00_ ;_ * &quot;-&quot;??_ ;_ @_ "/>
    <numFmt numFmtId="164" formatCode="_-* #,##0_-;_-* #,##0\-;_-* &quot;-&quot;??_-;_-@_-"/>
    <numFmt numFmtId="165" formatCode="0.0%"/>
    <numFmt numFmtId="166" formatCode="_ * #,##0.000_ ;_ * \-#,##0.000_ ;_ * &quot;-&quot;??_ ;_ @_ "/>
    <numFmt numFmtId="167" formatCode="_ * #,##0_ ;_ * \-#,##0_ ;_ * &quot;-&quot;??_ ;_ @_ "/>
    <numFmt numFmtId="168" formatCode="_ * #,##0.000_ ;_ * \-#,##0.000_ ;_ * &quot;-&quot;???_ ;_ @_ "/>
    <numFmt numFmtId="169" formatCode="#,##0.00_ ;\-#,##0.00\ "/>
  </numFmts>
  <fonts count="26">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sz val="10"/>
      <name val="DTLArgoT"/>
    </font>
    <font>
      <sz val="10"/>
      <color indexed="8"/>
      <name val="Arial"/>
      <family val="2"/>
    </font>
    <font>
      <sz val="12"/>
      <name val="Times New Roman"/>
      <family val="1"/>
    </font>
    <font>
      <sz val="10"/>
      <color indexed="8"/>
      <name val="MS Sans Serif"/>
      <family val="2"/>
    </font>
    <font>
      <b/>
      <sz val="10"/>
      <color indexed="8"/>
      <name val="Arial"/>
      <family val="2"/>
    </font>
    <font>
      <sz val="11"/>
      <color indexed="8"/>
      <name val="Arial"/>
      <family val="2"/>
    </font>
    <font>
      <sz val="10"/>
      <color theme="0"/>
      <name val="Arial"/>
      <family val="2"/>
    </font>
  </fonts>
  <fills count="2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37">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alignment vertical="top"/>
    </xf>
    <xf numFmtId="49" fontId="8" fillId="5" borderId="1">
      <alignment vertical="top"/>
    </xf>
    <xf numFmtId="49" fontId="5" fillId="22" borderId="1">
      <alignment vertical="top"/>
    </xf>
    <xf numFmtId="49" fontId="5" fillId="0" borderId="0">
      <alignment vertical="top"/>
    </xf>
    <xf numFmtId="43" fontId="4" fillId="15" borderId="0">
      <alignment vertical="top"/>
    </xf>
    <xf numFmtId="43" fontId="4" fillId="14" borderId="0">
      <alignment vertical="top"/>
    </xf>
    <xf numFmtId="43" fontId="4" fillId="12" borderId="0">
      <alignment vertical="top"/>
    </xf>
    <xf numFmtId="43" fontId="4" fillId="6" borderId="0">
      <alignment vertical="top"/>
    </xf>
    <xf numFmtId="43" fontId="4" fillId="8" borderId="0">
      <alignment vertical="top"/>
    </xf>
    <xf numFmtId="43" fontId="4" fillId="16" borderId="0">
      <alignment vertical="top"/>
    </xf>
    <xf numFmtId="49" fontId="10" fillId="0" borderId="0">
      <alignment vertical="top"/>
    </xf>
    <xf numFmtId="49" fontId="9" fillId="0" borderId="0">
      <alignment vertical="top"/>
    </xf>
    <xf numFmtId="0" fontId="15" fillId="18" borderId="3" applyNumberFormat="0" applyAlignment="0" applyProtection="0"/>
    <xf numFmtId="0" fontId="16" fillId="19" borderId="4" applyNumberFormat="0" applyAlignment="0" applyProtection="0"/>
    <xf numFmtId="0" fontId="17" fillId="19" borderId="3" applyNumberFormat="0" applyAlignment="0" applyProtection="0"/>
    <xf numFmtId="0" fontId="18" fillId="0" borderId="5" applyNumberFormat="0" applyFill="0" applyAlignment="0" applyProtection="0"/>
    <xf numFmtId="0" fontId="12" fillId="20" borderId="6" applyNumberFormat="0" applyAlignment="0" applyProtection="0"/>
    <xf numFmtId="0" fontId="14" fillId="21" borderId="7" applyNumberFormat="0" applyFont="0" applyAlignment="0" applyProtection="0"/>
    <xf numFmtId="9" fontId="14" fillId="0" borderId="0" applyFont="0" applyFill="0" applyBorder="0" applyAlignment="0" applyProtection="0"/>
    <xf numFmtId="0" fontId="19" fillId="0" borderId="0"/>
    <xf numFmtId="0" fontId="4" fillId="0" borderId="0"/>
    <xf numFmtId="0" fontId="21" fillId="0" borderId="0"/>
    <xf numFmtId="0" fontId="19" fillId="0" borderId="0"/>
    <xf numFmtId="0" fontId="22" fillId="0" borderId="0"/>
    <xf numFmtId="9" fontId="19" fillId="0" borderId="0" applyFont="0" applyFill="0" applyBorder="0" applyAlignment="0" applyProtection="0"/>
    <xf numFmtId="0" fontId="22" fillId="0" borderId="0"/>
    <xf numFmtId="0" fontId="4" fillId="0" borderId="0"/>
    <xf numFmtId="0" fontId="4" fillId="0" borderId="0"/>
    <xf numFmtId="0" fontId="4" fillId="0" borderId="0"/>
    <xf numFmtId="9" fontId="14" fillId="0" borderId="0" applyFont="0" applyFill="0" applyBorder="0" applyAlignment="0" applyProtection="0"/>
    <xf numFmtId="0" fontId="4" fillId="0" borderId="0"/>
    <xf numFmtId="0" fontId="4" fillId="0" borderId="0"/>
    <xf numFmtId="0" fontId="4" fillId="0" borderId="0"/>
  </cellStyleXfs>
  <cellXfs count="254">
    <xf numFmtId="0" fontId="0" fillId="0" borderId="0" xfId="0"/>
    <xf numFmtId="0" fontId="5" fillId="0" borderId="0" xfId="4" applyFont="1">
      <alignment vertical="top"/>
    </xf>
    <xf numFmtId="0" fontId="4" fillId="0" borderId="0" xfId="4">
      <alignment vertical="top"/>
    </xf>
    <xf numFmtId="0" fontId="6" fillId="0" borderId="0" xfId="4" applyFont="1">
      <alignment vertical="top"/>
    </xf>
    <xf numFmtId="0" fontId="9" fillId="0" borderId="0" xfId="4" applyFont="1">
      <alignment vertical="top"/>
    </xf>
    <xf numFmtId="0" fontId="10" fillId="0" borderId="0" xfId="4" applyFont="1">
      <alignment vertical="top"/>
    </xf>
    <xf numFmtId="0" fontId="4" fillId="0" borderId="2" xfId="4" applyBorder="1">
      <alignment vertical="top"/>
    </xf>
    <xf numFmtId="49" fontId="5" fillId="22" borderId="1" xfId="6">
      <alignment vertical="top"/>
    </xf>
    <xf numFmtId="0" fontId="4" fillId="0" borderId="0" xfId="4" applyFill="1">
      <alignment vertical="top"/>
    </xf>
    <xf numFmtId="0" fontId="6" fillId="0" borderId="2" xfId="4" applyFont="1" applyBorder="1" applyAlignment="1">
      <alignment horizontal="left" vertical="top" wrapText="1"/>
    </xf>
    <xf numFmtId="0" fontId="4" fillId="0" borderId="2" xfId="4" applyBorder="1" applyAlignment="1">
      <alignment horizontal="left" vertical="top" wrapText="1"/>
    </xf>
    <xf numFmtId="0" fontId="8" fillId="5" borderId="1" xfId="4" applyFont="1" applyFill="1" applyBorder="1">
      <alignment vertical="top"/>
    </xf>
    <xf numFmtId="0" fontId="7" fillId="5" borderId="1" xfId="4" applyFont="1" applyFill="1" applyBorder="1">
      <alignment vertical="top"/>
    </xf>
    <xf numFmtId="0" fontId="10" fillId="0" borderId="0" xfId="4" applyFont="1" applyFill="1">
      <alignment vertical="top"/>
    </xf>
    <xf numFmtId="0" fontId="4" fillId="9" borderId="0" xfId="4" applyFill="1">
      <alignment vertical="top"/>
    </xf>
    <xf numFmtId="0" fontId="4" fillId="10" borderId="0" xfId="4" applyFill="1">
      <alignment vertical="top"/>
    </xf>
    <xf numFmtId="0" fontId="4" fillId="11" borderId="0" xfId="4" applyFill="1">
      <alignment vertical="top"/>
    </xf>
    <xf numFmtId="0" fontId="4" fillId="7" borderId="0" xfId="4" applyFill="1">
      <alignment vertical="top"/>
    </xf>
    <xf numFmtId="0" fontId="9" fillId="0" borderId="0" xfId="4" applyFont="1" applyFill="1">
      <alignment vertical="top"/>
    </xf>
    <xf numFmtId="1" fontId="4" fillId="12" borderId="0" xfId="4" applyNumberFormat="1" applyFill="1">
      <alignment vertical="top"/>
    </xf>
    <xf numFmtId="2" fontId="4" fillId="13" borderId="0" xfId="4" applyNumberFormat="1" applyFill="1">
      <alignment vertical="top"/>
    </xf>
    <xf numFmtId="1" fontId="4" fillId="0" borderId="0" xfId="4" applyNumberFormat="1" applyFill="1">
      <alignment vertical="top"/>
    </xf>
    <xf numFmtId="1" fontId="9" fillId="0" borderId="0" xfId="4" applyNumberFormat="1" applyFont="1" applyFill="1">
      <alignment vertical="top"/>
    </xf>
    <xf numFmtId="1" fontId="6" fillId="0" borderId="0" xfId="4" applyNumberFormat="1" applyFont="1" applyFill="1" applyBorder="1">
      <alignment vertical="top"/>
    </xf>
    <xf numFmtId="0" fontId="6" fillId="9" borderId="2" xfId="4" applyFont="1" applyFill="1" applyBorder="1">
      <alignment vertical="top"/>
    </xf>
    <xf numFmtId="0" fontId="11" fillId="0" borderId="0" xfId="4" applyFont="1">
      <alignment vertical="top"/>
    </xf>
    <xf numFmtId="0" fontId="11" fillId="0" borderId="0" xfId="4" applyFont="1" applyFill="1">
      <alignment vertical="top"/>
    </xf>
    <xf numFmtId="49" fontId="6" fillId="22" borderId="2" xfId="6" applyFont="1" applyBorder="1">
      <alignment vertical="top"/>
    </xf>
    <xf numFmtId="0" fontId="8" fillId="5" borderId="1" xfId="5" applyNumberFormat="1">
      <alignment vertical="top"/>
    </xf>
    <xf numFmtId="0" fontId="13" fillId="0" borderId="0" xfId="4" applyFont="1">
      <alignment vertical="top"/>
    </xf>
    <xf numFmtId="0" fontId="6" fillId="9" borderId="0" xfId="4" applyFont="1" applyFill="1">
      <alignment vertical="top"/>
    </xf>
    <xf numFmtId="0" fontId="6" fillId="11" borderId="0" xfId="4" applyFont="1" applyFill="1">
      <alignment vertical="top"/>
    </xf>
    <xf numFmtId="0" fontId="4" fillId="17" borderId="0" xfId="4" applyFill="1">
      <alignment vertical="top"/>
    </xf>
    <xf numFmtId="49" fontId="6" fillId="22" borderId="0" xfId="6" applyFont="1" applyBorder="1">
      <alignment vertical="top"/>
    </xf>
    <xf numFmtId="0" fontId="4" fillId="0" borderId="0" xfId="4" applyFont="1">
      <alignment vertical="top"/>
    </xf>
    <xf numFmtId="49" fontId="4" fillId="22" borderId="2" xfId="6" applyFont="1" applyBorder="1">
      <alignment vertical="top"/>
    </xf>
    <xf numFmtId="0" fontId="4" fillId="0" borderId="2" xfId="4" applyFont="1" applyBorder="1">
      <alignment vertical="top"/>
    </xf>
    <xf numFmtId="49" fontId="10" fillId="0" borderId="0" xfId="14">
      <alignment vertical="top"/>
    </xf>
    <xf numFmtId="0" fontId="5" fillId="22" borderId="1" xfId="6" applyNumberFormat="1" applyAlignment="1">
      <alignment horizontal="left" vertical="top" wrapText="1"/>
    </xf>
    <xf numFmtId="3" fontId="4" fillId="0" borderId="0" xfId="4" applyNumberFormat="1" applyFill="1">
      <alignment vertical="top"/>
    </xf>
    <xf numFmtId="0" fontId="4" fillId="0" borderId="0" xfId="4" applyFont="1" applyFill="1">
      <alignment vertical="top"/>
    </xf>
    <xf numFmtId="3" fontId="4" fillId="7" borderId="0" xfId="4" applyNumberFormat="1" applyFill="1">
      <alignment vertical="top"/>
    </xf>
    <xf numFmtId="49" fontId="5" fillId="22" borderId="1" xfId="6" applyAlignment="1">
      <alignment vertical="top" wrapText="1"/>
    </xf>
    <xf numFmtId="0" fontId="4" fillId="0" borderId="0" xfId="4" applyAlignment="1">
      <alignment horizontal="left" vertical="top"/>
    </xf>
    <xf numFmtId="3" fontId="20" fillId="0" borderId="0" xfId="23" applyNumberFormat="1" applyFont="1" applyFill="1" applyBorder="1" applyAlignment="1" applyProtection="1">
      <protection locked="0"/>
    </xf>
    <xf numFmtId="3" fontId="4" fillId="0" borderId="0" xfId="4" applyNumberFormat="1">
      <alignment vertical="top"/>
    </xf>
    <xf numFmtId="49" fontId="10" fillId="22" borderId="1" xfId="6" applyFont="1">
      <alignment vertical="top"/>
    </xf>
    <xf numFmtId="167" fontId="4" fillId="16" borderId="0" xfId="13" applyNumberFormat="1">
      <alignment vertical="top"/>
    </xf>
    <xf numFmtId="167" fontId="4" fillId="14" borderId="0" xfId="9" applyNumberFormat="1">
      <alignment vertical="top"/>
    </xf>
    <xf numFmtId="167" fontId="4" fillId="15" borderId="0" xfId="8" applyNumberFormat="1">
      <alignment vertical="top"/>
    </xf>
    <xf numFmtId="168" fontId="4" fillId="0" borderId="0" xfId="4" applyNumberFormat="1">
      <alignment vertical="top"/>
    </xf>
    <xf numFmtId="0" fontId="4" fillId="0" borderId="0" xfId="24" applyFont="1"/>
    <xf numFmtId="43" fontId="4" fillId="6" borderId="0" xfId="11">
      <alignment vertical="top"/>
    </xf>
    <xf numFmtId="49" fontId="5" fillId="22" borderId="1" xfId="6" applyFont="1" applyAlignment="1">
      <alignment vertical="top" wrapText="1"/>
    </xf>
    <xf numFmtId="4" fontId="13" fillId="0" borderId="0" xfId="4" applyNumberFormat="1" applyFont="1">
      <alignment vertical="top"/>
    </xf>
    <xf numFmtId="167" fontId="4" fillId="0" borderId="0" xfId="11" applyNumberFormat="1" applyFill="1">
      <alignment vertical="top"/>
    </xf>
    <xf numFmtId="49" fontId="4" fillId="0" borderId="0" xfId="4" applyNumberFormat="1">
      <alignment vertical="top"/>
    </xf>
    <xf numFmtId="167" fontId="4" fillId="0" borderId="0" xfId="13" applyNumberFormat="1" applyFill="1">
      <alignment vertical="top"/>
    </xf>
    <xf numFmtId="41" fontId="4" fillId="14" borderId="0" xfId="9" applyNumberFormat="1">
      <alignment vertical="top"/>
    </xf>
    <xf numFmtId="167" fontId="4" fillId="0" borderId="0" xfId="4" applyNumberFormat="1">
      <alignment vertical="top"/>
    </xf>
    <xf numFmtId="3" fontId="4" fillId="0" borderId="0" xfId="25" applyNumberFormat="1" applyFont="1" applyFill="1" applyBorder="1" applyAlignment="1" applyProtection="1">
      <alignment vertical="center"/>
    </xf>
    <xf numFmtId="3" fontId="5" fillId="0" borderId="0" xfId="25" applyNumberFormat="1" applyFont="1" applyFill="1" applyBorder="1" applyAlignment="1" applyProtection="1">
      <alignment vertical="center"/>
    </xf>
    <xf numFmtId="39" fontId="4" fillId="0" borderId="0" xfId="26" applyNumberFormat="1" applyFont="1" applyFill="1" applyBorder="1" applyAlignment="1" applyProtection="1">
      <alignment vertical="center"/>
    </xf>
    <xf numFmtId="3" fontId="4" fillId="0" borderId="0" xfId="25" applyNumberFormat="1" applyFont="1" applyBorder="1" applyAlignment="1" applyProtection="1">
      <alignment vertical="center"/>
    </xf>
    <xf numFmtId="0" fontId="5" fillId="0" borderId="0" xfId="27" applyFont="1" applyBorder="1"/>
    <xf numFmtId="0" fontId="4" fillId="0" borderId="0" xfId="27" applyFont="1" applyFill="1" applyBorder="1"/>
    <xf numFmtId="0" fontId="20" fillId="0" borderId="0" xfId="27" applyFont="1" applyFill="1" applyBorder="1"/>
    <xf numFmtId="0" fontId="4" fillId="0" borderId="0" xfId="29" applyFont="1" applyFill="1" applyBorder="1"/>
    <xf numFmtId="4" fontId="4" fillId="0" borderId="0" xfId="27" applyNumberFormat="1" applyFont="1" applyFill="1" applyBorder="1"/>
    <xf numFmtId="0" fontId="4" fillId="0" borderId="0" xfId="27" quotePrefix="1" applyFont="1" applyFill="1" applyBorder="1"/>
    <xf numFmtId="3" fontId="4" fillId="0" borderId="0" xfId="27" applyNumberFormat="1" applyFont="1" applyFill="1" applyBorder="1"/>
    <xf numFmtId="0" fontId="4" fillId="0" borderId="0" xfId="29" applyFont="1" applyBorder="1"/>
    <xf numFmtId="165" fontId="4" fillId="14" borderId="0" xfId="9" applyNumberFormat="1">
      <alignment vertical="top"/>
    </xf>
    <xf numFmtId="164" fontId="4" fillId="0" borderId="0" xfId="27" applyNumberFormat="1" applyFont="1" applyFill="1" applyBorder="1"/>
    <xf numFmtId="0" fontId="4" fillId="0" borderId="0" xfId="4" applyBorder="1">
      <alignment vertical="top"/>
    </xf>
    <xf numFmtId="39" fontId="4" fillId="0" borderId="0" xfId="30" applyNumberFormat="1" applyFont="1" applyFill="1" applyBorder="1" applyAlignment="1" applyProtection="1">
      <alignment vertical="center"/>
    </xf>
    <xf numFmtId="0" fontId="4" fillId="0" borderId="0" xfId="27" applyFont="1" applyBorder="1"/>
    <xf numFmtId="3" fontId="4" fillId="0" borderId="0" xfId="27" applyNumberFormat="1" applyFont="1" applyBorder="1"/>
    <xf numFmtId="169" fontId="4" fillId="14" borderId="0" xfId="9" applyNumberFormat="1">
      <alignment vertical="top"/>
    </xf>
    <xf numFmtId="41" fontId="4" fillId="14" borderId="0" xfId="9" applyNumberFormat="1" applyFill="1">
      <alignment vertical="top"/>
    </xf>
    <xf numFmtId="0" fontId="4" fillId="0" borderId="0" xfId="31" applyFont="1" applyFill="1" applyBorder="1"/>
    <xf numFmtId="3" fontId="4" fillId="0" borderId="0" xfId="25" applyNumberFormat="1" applyFont="1" applyBorder="1" applyAlignment="1" applyProtection="1">
      <alignment horizontal="center" vertical="center"/>
    </xf>
    <xf numFmtId="166" fontId="4" fillId="0" borderId="0" xfId="13" applyNumberFormat="1" applyFill="1">
      <alignment vertical="top"/>
    </xf>
    <xf numFmtId="0" fontId="5" fillId="22" borderId="1" xfId="4" applyFont="1" applyFill="1" applyBorder="1">
      <alignment vertical="top"/>
    </xf>
    <xf numFmtId="0" fontId="4" fillId="22" borderId="1" xfId="4" applyFill="1" applyBorder="1">
      <alignment vertical="top"/>
    </xf>
    <xf numFmtId="0" fontId="8" fillId="5" borderId="1" xfId="5" applyNumberFormat="1" applyFont="1">
      <alignment vertical="top"/>
    </xf>
    <xf numFmtId="0" fontId="5" fillId="22" borderId="1" xfId="6" applyNumberFormat="1" applyAlignment="1">
      <alignment horizontal="left" vertical="top"/>
    </xf>
    <xf numFmtId="167" fontId="4" fillId="15" borderId="0" xfId="4" applyNumberFormat="1" applyFill="1">
      <alignment vertical="top"/>
    </xf>
    <xf numFmtId="43" fontId="4" fillId="15" borderId="0" xfId="8">
      <alignment vertical="top"/>
    </xf>
    <xf numFmtId="49" fontId="4" fillId="0" borderId="0" xfId="4" applyNumberFormat="1" applyAlignment="1">
      <alignment horizontal="left" vertical="top"/>
    </xf>
    <xf numFmtId="49" fontId="5" fillId="22" borderId="1" xfId="6" applyFont="1">
      <alignment vertical="top"/>
    </xf>
    <xf numFmtId="4" fontId="4" fillId="0" borderId="0" xfId="4" applyNumberFormat="1" applyFont="1" applyFill="1">
      <alignment vertical="top"/>
    </xf>
    <xf numFmtId="3" fontId="4" fillId="0" borderId="0" xfId="4" applyNumberFormat="1" applyFont="1" applyFill="1">
      <alignment vertical="top"/>
    </xf>
    <xf numFmtId="0" fontId="7" fillId="5" borderId="1" xfId="5" applyNumberFormat="1" applyFont="1">
      <alignment vertical="top"/>
    </xf>
    <xf numFmtId="43" fontId="4" fillId="14" borderId="0" xfId="9" applyFont="1">
      <alignment vertical="top"/>
    </xf>
    <xf numFmtId="0" fontId="5" fillId="0" borderId="0" xfId="4" applyFont="1">
      <alignment vertical="top"/>
    </xf>
    <xf numFmtId="0" fontId="4" fillId="0" borderId="0" xfId="4">
      <alignment vertical="top"/>
    </xf>
    <xf numFmtId="0" fontId="4" fillId="0" borderId="0" xfId="4" applyFont="1">
      <alignment vertical="top"/>
    </xf>
    <xf numFmtId="0" fontId="13" fillId="0" borderId="0" xfId="4" applyFont="1">
      <alignment vertical="top"/>
    </xf>
    <xf numFmtId="0" fontId="9" fillId="0" borderId="0" xfId="4" applyFont="1">
      <alignment vertical="top"/>
    </xf>
    <xf numFmtId="49" fontId="5" fillId="22" borderId="1" xfId="6">
      <alignment vertical="top"/>
    </xf>
    <xf numFmtId="49" fontId="5" fillId="22" borderId="1" xfId="6" applyFont="1" applyAlignment="1">
      <alignment vertical="top" wrapText="1"/>
    </xf>
    <xf numFmtId="39" fontId="4" fillId="0" borderId="0" xfId="26" applyNumberFormat="1" applyFont="1" applyFill="1" applyBorder="1" applyAlignment="1" applyProtection="1">
      <alignment vertical="center"/>
    </xf>
    <xf numFmtId="165" fontId="4" fillId="14" borderId="0" xfId="33" applyNumberFormat="1" applyFont="1" applyFill="1" applyAlignment="1">
      <alignment vertical="top"/>
    </xf>
    <xf numFmtId="167" fontId="4" fillId="7" borderId="0" xfId="4" applyNumberFormat="1" applyFill="1">
      <alignment vertical="top"/>
    </xf>
    <xf numFmtId="165" fontId="4" fillId="0" borderId="0" xfId="33" applyNumberFormat="1" applyFont="1" applyFill="1" applyAlignment="1">
      <alignment vertical="top"/>
    </xf>
    <xf numFmtId="165" fontId="4" fillId="16" borderId="0" xfId="13" applyNumberFormat="1">
      <alignment vertical="top"/>
    </xf>
    <xf numFmtId="3" fontId="4" fillId="0" borderId="0" xfId="25" applyNumberFormat="1" applyFont="1" applyFill="1" applyBorder="1" applyAlignment="1" applyProtection="1">
      <alignment vertical="center"/>
    </xf>
    <xf numFmtId="43" fontId="4" fillId="0" borderId="0" xfId="4" applyNumberFormat="1" applyFill="1">
      <alignment vertical="top"/>
    </xf>
    <xf numFmtId="43" fontId="4" fillId="16" borderId="0" xfId="13" applyNumberFormat="1" applyFill="1">
      <alignment vertical="top"/>
    </xf>
    <xf numFmtId="167" fontId="4" fillId="6" borderId="0" xfId="11" applyNumberFormat="1">
      <alignment vertical="top"/>
    </xf>
    <xf numFmtId="0" fontId="5" fillId="0" borderId="0" xfId="4" applyFont="1" applyFill="1">
      <alignment vertical="top"/>
    </xf>
    <xf numFmtId="43" fontId="4" fillId="16" borderId="0" xfId="13">
      <alignment vertical="top"/>
    </xf>
    <xf numFmtId="43" fontId="4" fillId="14" borderId="0" xfId="9">
      <alignment vertical="top"/>
    </xf>
    <xf numFmtId="43" fontId="4" fillId="14" borderId="0" xfId="9" applyAlignment="1">
      <alignment horizontal="left" vertical="top"/>
    </xf>
    <xf numFmtId="43" fontId="4" fillId="15" borderId="0" xfId="8" applyNumberFormat="1">
      <alignment vertical="top"/>
    </xf>
    <xf numFmtId="43" fontId="4" fillId="0" borderId="0" xfId="9" applyFill="1">
      <alignment vertical="top"/>
    </xf>
    <xf numFmtId="167" fontId="4" fillId="0" borderId="0" xfId="9" applyNumberFormat="1" applyFill="1">
      <alignment vertical="top"/>
    </xf>
    <xf numFmtId="9" fontId="4" fillId="16" borderId="0" xfId="13" applyNumberFormat="1">
      <alignment vertical="top"/>
    </xf>
    <xf numFmtId="10" fontId="4" fillId="16" borderId="0" xfId="13" applyNumberFormat="1">
      <alignment vertical="top"/>
    </xf>
    <xf numFmtId="43" fontId="4" fillId="0" borderId="0" xfId="13" applyFill="1">
      <alignment vertical="top"/>
    </xf>
    <xf numFmtId="165" fontId="4" fillId="6" borderId="0" xfId="11" applyNumberFormat="1">
      <alignment vertical="top"/>
    </xf>
    <xf numFmtId="9" fontId="4" fillId="6" borderId="0" xfId="11" applyNumberFormat="1">
      <alignment vertical="top"/>
    </xf>
    <xf numFmtId="0" fontId="4" fillId="0" borderId="0" xfId="34" applyFont="1" applyFill="1"/>
    <xf numFmtId="0" fontId="23" fillId="23" borderId="8" xfId="0" applyFont="1" applyFill="1" applyBorder="1" applyAlignment="1">
      <alignment vertical="top"/>
    </xf>
    <xf numFmtId="0" fontId="23" fillId="23" borderId="9" xfId="0" applyFont="1" applyFill="1" applyBorder="1" applyAlignment="1">
      <alignment vertical="top"/>
    </xf>
    <xf numFmtId="0" fontId="24" fillId="24" borderId="10" xfId="0" applyFont="1" applyFill="1" applyBorder="1" applyAlignment="1">
      <alignment vertical="top"/>
    </xf>
    <xf numFmtId="0" fontId="24" fillId="24" borderId="11" xfId="0" applyFont="1" applyFill="1" applyBorder="1" applyAlignment="1">
      <alignment vertical="top"/>
    </xf>
    <xf numFmtId="0" fontId="24" fillId="24" borderId="0" xfId="0" applyFont="1" applyFill="1" applyBorder="1" applyAlignment="1">
      <alignment vertical="top"/>
    </xf>
    <xf numFmtId="0" fontId="4" fillId="0" borderId="12" xfId="34" applyFont="1" applyFill="1" applyBorder="1"/>
    <xf numFmtId="0" fontId="24" fillId="24" borderId="13" xfId="0" applyFont="1" applyFill="1" applyBorder="1" applyAlignment="1">
      <alignment vertical="top"/>
    </xf>
    <xf numFmtId="0" fontId="20" fillId="24" borderId="14" xfId="0" applyFont="1" applyFill="1" applyBorder="1" applyAlignment="1">
      <alignment vertical="top"/>
    </xf>
    <xf numFmtId="0" fontId="20" fillId="24" borderId="15" xfId="0" applyFont="1" applyFill="1" applyBorder="1" applyAlignment="1">
      <alignment vertical="top"/>
    </xf>
    <xf numFmtId="0" fontId="20" fillId="24" borderId="16" xfId="0" applyFont="1" applyFill="1" applyBorder="1" applyAlignment="1">
      <alignment vertical="top"/>
    </xf>
    <xf numFmtId="0" fontId="20" fillId="24" borderId="0" xfId="0" applyFont="1" applyFill="1" applyBorder="1" applyAlignment="1">
      <alignment vertical="top"/>
    </xf>
    <xf numFmtId="0" fontId="20" fillId="24" borderId="17" xfId="0" applyFont="1" applyFill="1" applyBorder="1" applyAlignment="1">
      <alignment vertical="top"/>
    </xf>
    <xf numFmtId="0" fontId="20" fillId="6" borderId="0" xfId="0" applyFont="1" applyFill="1" applyBorder="1" applyAlignment="1">
      <alignment horizontal="center" vertical="top"/>
    </xf>
    <xf numFmtId="0" fontId="20" fillId="24" borderId="18" xfId="0" applyFont="1" applyFill="1" applyBorder="1" applyAlignment="1">
      <alignment vertical="top"/>
    </xf>
    <xf numFmtId="0" fontId="20" fillId="24" borderId="19" xfId="0" applyFont="1" applyFill="1" applyBorder="1" applyAlignment="1">
      <alignment vertical="top"/>
    </xf>
    <xf numFmtId="0" fontId="20" fillId="24" borderId="20" xfId="0" applyFont="1" applyFill="1" applyBorder="1" applyAlignment="1">
      <alignment vertical="top"/>
    </xf>
    <xf numFmtId="0" fontId="20" fillId="24" borderId="21" xfId="0" applyFont="1" applyFill="1" applyBorder="1" applyAlignment="1">
      <alignment vertical="top"/>
    </xf>
    <xf numFmtId="0" fontId="10" fillId="0" borderId="0" xfId="34" applyFont="1" applyFill="1"/>
    <xf numFmtId="0" fontId="20" fillId="14" borderId="0" xfId="0" applyFont="1" applyFill="1" applyBorder="1" applyAlignment="1">
      <alignment horizontal="center" vertical="top"/>
    </xf>
    <xf numFmtId="0" fontId="4" fillId="0" borderId="0" xfId="34" applyFont="1" applyFill="1" applyBorder="1"/>
    <xf numFmtId="0" fontId="20" fillId="24" borderId="0" xfId="0" applyFont="1" applyFill="1" applyAlignment="1">
      <alignment vertical="top"/>
    </xf>
    <xf numFmtId="0" fontId="20" fillId="15" borderId="0" xfId="0" applyFont="1" applyFill="1" applyBorder="1" applyAlignment="1">
      <alignment horizontal="center" vertical="top"/>
    </xf>
    <xf numFmtId="0" fontId="4" fillId="0" borderId="22" xfId="4" applyBorder="1">
      <alignment vertical="top"/>
    </xf>
    <xf numFmtId="0" fontId="4" fillId="0" borderId="23" xfId="4" applyBorder="1">
      <alignment vertical="top"/>
    </xf>
    <xf numFmtId="0" fontId="23" fillId="23" borderId="24" xfId="0" applyFont="1" applyFill="1" applyBorder="1" applyAlignment="1">
      <alignment vertical="top"/>
    </xf>
    <xf numFmtId="0" fontId="4" fillId="0" borderId="12" xfId="4" applyBorder="1">
      <alignment vertical="top"/>
    </xf>
    <xf numFmtId="0" fontId="4" fillId="0" borderId="25" xfId="4" applyBorder="1">
      <alignment vertical="top"/>
    </xf>
    <xf numFmtId="0" fontId="4" fillId="0" borderId="13" xfId="4" applyBorder="1">
      <alignment vertical="top"/>
    </xf>
    <xf numFmtId="0" fontId="4" fillId="0" borderId="2" xfId="4" applyFont="1" applyBorder="1" applyAlignment="1">
      <alignment horizontal="left" vertical="top" wrapText="1"/>
    </xf>
    <xf numFmtId="0" fontId="12" fillId="5" borderId="1" xfId="4" applyFont="1" applyFill="1" applyBorder="1">
      <alignment vertical="top"/>
    </xf>
    <xf numFmtId="0" fontId="4" fillId="14" borderId="0" xfId="4" applyFill="1">
      <alignment vertical="top"/>
    </xf>
    <xf numFmtId="0" fontId="6" fillId="14" borderId="0" xfId="4" applyFont="1" applyFill="1">
      <alignment vertical="top"/>
    </xf>
    <xf numFmtId="165" fontId="4" fillId="12" borderId="0" xfId="10" applyNumberFormat="1">
      <alignment vertical="top"/>
    </xf>
    <xf numFmtId="41" fontId="4" fillId="6" borderId="0" xfId="11" applyNumberFormat="1">
      <alignment vertical="top"/>
    </xf>
    <xf numFmtId="41" fontId="4" fillId="16" borderId="0" xfId="13" applyNumberFormat="1">
      <alignment vertical="top"/>
    </xf>
    <xf numFmtId="168" fontId="4" fillId="7" borderId="0" xfId="4" applyNumberFormat="1" applyFill="1">
      <alignment vertical="top"/>
    </xf>
    <xf numFmtId="43" fontId="4" fillId="12" borderId="0" xfId="10">
      <alignment vertical="top"/>
    </xf>
    <xf numFmtId="10" fontId="4" fillId="12" borderId="0" xfId="10" applyNumberFormat="1">
      <alignment vertical="top"/>
    </xf>
    <xf numFmtId="10" fontId="4" fillId="6" borderId="0" xfId="11" applyNumberFormat="1">
      <alignment vertical="top"/>
    </xf>
    <xf numFmtId="10" fontId="4" fillId="0" borderId="0" xfId="4" applyNumberFormat="1">
      <alignment vertical="top"/>
    </xf>
    <xf numFmtId="10" fontId="4" fillId="14" borderId="0" xfId="9" applyNumberFormat="1">
      <alignment vertical="top"/>
    </xf>
    <xf numFmtId="10" fontId="4" fillId="7" borderId="0" xfId="4" applyNumberFormat="1" applyFill="1">
      <alignment vertical="top"/>
    </xf>
    <xf numFmtId="0" fontId="4" fillId="0" borderId="0" xfId="4">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0" fontId="4" fillId="0" borderId="0" xfId="4">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0" fontId="4" fillId="0" borderId="0" xfId="4">
      <alignment vertical="top"/>
    </xf>
    <xf numFmtId="0" fontId="8" fillId="5" borderId="1" xfId="5" applyNumberFormat="1" applyFont="1">
      <alignment vertical="top"/>
    </xf>
    <xf numFmtId="49" fontId="4" fillId="0" borderId="0" xfId="14" applyFont="1">
      <alignment vertical="top"/>
    </xf>
    <xf numFmtId="49" fontId="4" fillId="0" borderId="0" xfId="14" applyFont="1">
      <alignment vertical="top"/>
    </xf>
    <xf numFmtId="49" fontId="4" fillId="0" borderId="0" xfId="14" applyFont="1">
      <alignment vertical="top"/>
    </xf>
    <xf numFmtId="0" fontId="4" fillId="0" borderId="0" xfId="4">
      <alignment vertical="top"/>
    </xf>
    <xf numFmtId="0" fontId="13" fillId="0" borderId="0" xfId="4" applyFont="1">
      <alignment vertical="top"/>
    </xf>
    <xf numFmtId="49" fontId="4" fillId="0" borderId="0" xfId="14" applyFont="1">
      <alignment vertical="top"/>
    </xf>
    <xf numFmtId="0" fontId="4" fillId="0" borderId="0" xfId="4">
      <alignment vertical="top"/>
    </xf>
    <xf numFmtId="167" fontId="4" fillId="7" borderId="0" xfId="9" applyNumberFormat="1" applyFill="1">
      <alignment vertical="top"/>
    </xf>
    <xf numFmtId="0" fontId="4" fillId="0" borderId="0" xfId="4">
      <alignment vertical="top"/>
    </xf>
    <xf numFmtId="0" fontId="4" fillId="0" borderId="0" xfId="4">
      <alignment vertical="top"/>
    </xf>
    <xf numFmtId="167" fontId="4" fillId="7" borderId="0" xfId="8" applyNumberFormat="1" applyFill="1">
      <alignment vertical="top"/>
    </xf>
    <xf numFmtId="0" fontId="4" fillId="0" borderId="2" xfId="4" applyFont="1" applyBorder="1" applyAlignment="1">
      <alignment horizontal="left" vertical="top" wrapText="1"/>
    </xf>
    <xf numFmtId="0" fontId="4" fillId="0" borderId="0" xfId="4">
      <alignment vertical="top"/>
    </xf>
    <xf numFmtId="0" fontId="4" fillId="24" borderId="0" xfId="27" applyFont="1" applyFill="1" applyBorder="1"/>
    <xf numFmtId="0" fontId="4" fillId="24" borderId="0" xfId="4" applyFill="1">
      <alignment vertical="top"/>
    </xf>
    <xf numFmtId="41" fontId="4" fillId="0" borderId="0" xfId="4" applyNumberFormat="1">
      <alignment vertical="top"/>
    </xf>
    <xf numFmtId="49" fontId="13" fillId="0" borderId="0" xfId="14" applyFont="1">
      <alignment vertical="top"/>
    </xf>
    <xf numFmtId="169" fontId="4" fillId="12" borderId="0" xfId="9" applyNumberFormat="1" applyFill="1">
      <alignment vertical="top"/>
    </xf>
    <xf numFmtId="43" fontId="4" fillId="12" borderId="0" xfId="10" applyFill="1">
      <alignment vertical="top"/>
    </xf>
    <xf numFmtId="49" fontId="4" fillId="0" borderId="0" xfId="14" applyFont="1" applyFill="1">
      <alignment vertical="top"/>
    </xf>
    <xf numFmtId="49" fontId="5" fillId="0" borderId="0" xfId="14" applyFont="1">
      <alignment vertical="top"/>
    </xf>
    <xf numFmtId="167" fontId="4" fillId="16" borderId="0" xfId="13" applyNumberFormat="1" applyFill="1">
      <alignment vertical="top"/>
    </xf>
    <xf numFmtId="0" fontId="4" fillId="0" borderId="0" xfId="4">
      <alignment vertical="top"/>
    </xf>
    <xf numFmtId="49" fontId="4" fillId="22" borderId="1" xfId="6" applyFont="1">
      <alignment vertical="top"/>
    </xf>
    <xf numFmtId="167" fontId="4" fillId="6" borderId="0" xfId="11" applyNumberFormat="1" applyFont="1">
      <alignment vertical="top"/>
    </xf>
    <xf numFmtId="0" fontId="25" fillId="0" borderId="0" xfId="4" applyFont="1" applyFill="1">
      <alignment vertical="top"/>
    </xf>
    <xf numFmtId="0" fontId="4" fillId="24" borderId="2" xfId="4" applyFont="1" applyFill="1" applyBorder="1">
      <alignment vertical="top"/>
    </xf>
    <xf numFmtId="43" fontId="4" fillId="6" borderId="0" xfId="11" applyNumberFormat="1">
      <alignment vertical="top"/>
    </xf>
    <xf numFmtId="43" fontId="4" fillId="6" borderId="0" xfId="11" applyFont="1">
      <alignment vertical="top"/>
    </xf>
    <xf numFmtId="4" fontId="4" fillId="0" borderId="0" xfId="4" applyNumberFormat="1" applyFont="1">
      <alignment vertical="top"/>
    </xf>
    <xf numFmtId="0" fontId="4" fillId="0" borderId="0" xfId="4" applyFont="1">
      <alignment vertical="top"/>
    </xf>
    <xf numFmtId="167" fontId="4" fillId="6" borderId="0" xfId="11" applyNumberFormat="1">
      <alignment vertical="top"/>
    </xf>
    <xf numFmtId="165" fontId="4" fillId="6" borderId="0" xfId="11" applyNumberFormat="1">
      <alignment vertical="top"/>
    </xf>
    <xf numFmtId="10" fontId="4" fillId="6" borderId="0" xfId="11" applyNumberFormat="1">
      <alignment vertical="top"/>
    </xf>
    <xf numFmtId="167" fontId="4" fillId="6" borderId="0" xfId="11" applyNumberFormat="1" applyFont="1">
      <alignment vertical="top"/>
    </xf>
    <xf numFmtId="0" fontId="5" fillId="0" borderId="0" xfId="4" applyFont="1">
      <alignment vertical="top"/>
    </xf>
    <xf numFmtId="0" fontId="4" fillId="0" borderId="0" xfId="4">
      <alignment vertical="top"/>
    </xf>
    <xf numFmtId="0" fontId="4" fillId="0" borderId="0" xfId="4" applyFont="1">
      <alignment vertical="top"/>
    </xf>
    <xf numFmtId="49" fontId="5" fillId="22" borderId="1" xfId="6">
      <alignment vertical="top"/>
    </xf>
    <xf numFmtId="0" fontId="4" fillId="0" borderId="0" xfId="4" applyFill="1">
      <alignment vertical="top"/>
    </xf>
    <xf numFmtId="0" fontId="4" fillId="0" borderId="0" xfId="4" applyFont="1" applyFill="1">
      <alignment vertical="top"/>
    </xf>
    <xf numFmtId="3" fontId="4" fillId="0" borderId="0" xfId="4" applyNumberFormat="1">
      <alignment vertical="top"/>
    </xf>
    <xf numFmtId="167" fontId="4" fillId="16" borderId="0" xfId="13" applyNumberFormat="1">
      <alignment vertical="top"/>
    </xf>
    <xf numFmtId="167" fontId="4" fillId="6" borderId="0" xfId="11" applyNumberFormat="1">
      <alignment vertical="top"/>
    </xf>
    <xf numFmtId="49" fontId="4" fillId="0" borderId="0" xfId="14" applyFont="1">
      <alignment vertical="top"/>
    </xf>
    <xf numFmtId="0" fontId="4" fillId="0" borderId="0" xfId="4">
      <alignment vertical="top"/>
    </xf>
    <xf numFmtId="0" fontId="4" fillId="0" borderId="0" xfId="4" applyFont="1">
      <alignment vertical="top"/>
    </xf>
    <xf numFmtId="0" fontId="4" fillId="0" borderId="0" xfId="4" applyFill="1">
      <alignment vertical="top"/>
    </xf>
    <xf numFmtId="167" fontId="4" fillId="0" borderId="0" xfId="11" applyNumberFormat="1" applyFill="1">
      <alignment vertical="top"/>
    </xf>
    <xf numFmtId="41" fontId="4" fillId="0" borderId="0" xfId="4" applyNumberFormat="1" applyFill="1">
      <alignment vertical="top"/>
    </xf>
    <xf numFmtId="49" fontId="5" fillId="22" borderId="1" xfId="6" applyFont="1">
      <alignment vertical="top"/>
    </xf>
    <xf numFmtId="43" fontId="4" fillId="16" borderId="0" xfId="13" applyNumberFormat="1" applyFill="1">
      <alignment vertical="top"/>
    </xf>
    <xf numFmtId="167" fontId="4" fillId="6" borderId="0" xfId="11" applyNumberFormat="1">
      <alignment vertical="top"/>
    </xf>
    <xf numFmtId="43" fontId="4" fillId="14" borderId="0" xfId="9" applyNumberFormat="1">
      <alignment vertical="top"/>
    </xf>
    <xf numFmtId="43" fontId="4" fillId="16" borderId="0" xfId="13" applyNumberFormat="1">
      <alignment vertical="top"/>
    </xf>
    <xf numFmtId="43" fontId="4" fillId="15" borderId="0" xfId="8" applyNumberFormat="1">
      <alignment vertical="top"/>
    </xf>
    <xf numFmtId="167" fontId="4" fillId="6" borderId="0" xfId="11" applyNumberFormat="1" applyFont="1">
      <alignment vertical="top"/>
    </xf>
    <xf numFmtId="43" fontId="4" fillId="6" borderId="0" xfId="11" applyFont="1">
      <alignment vertical="top"/>
    </xf>
    <xf numFmtId="4" fontId="4" fillId="6" borderId="0" xfId="4" applyNumberFormat="1" applyFont="1" applyFill="1">
      <alignment vertical="top"/>
    </xf>
    <xf numFmtId="0" fontId="4" fillId="0" borderId="0" xfId="4">
      <alignment vertical="top"/>
    </xf>
    <xf numFmtId="0" fontId="4" fillId="0" borderId="0" xfId="4">
      <alignment vertical="top"/>
    </xf>
    <xf numFmtId="0" fontId="4" fillId="0" borderId="0" xfId="4">
      <alignment vertical="top"/>
    </xf>
    <xf numFmtId="41" fontId="4" fillId="15" borderId="0" xfId="8" applyNumberFormat="1">
      <alignment vertical="top"/>
    </xf>
    <xf numFmtId="0" fontId="4" fillId="0" borderId="0" xfId="4">
      <alignment vertical="top"/>
    </xf>
    <xf numFmtId="43" fontId="4" fillId="25" borderId="0" xfId="13" applyFill="1">
      <alignment vertical="top"/>
    </xf>
    <xf numFmtId="167" fontId="4" fillId="25" borderId="0" xfId="11" applyNumberFormat="1" applyFill="1">
      <alignment vertical="top"/>
    </xf>
    <xf numFmtId="0" fontId="4" fillId="0" borderId="0" xfId="4" applyAlignment="1">
      <alignment vertical="top" wrapText="1"/>
    </xf>
    <xf numFmtId="0" fontId="4" fillId="0" borderId="0" xfId="4">
      <alignment vertical="top"/>
    </xf>
    <xf numFmtId="0" fontId="4" fillId="0" borderId="0" xfId="4" applyFont="1" applyAlignment="1">
      <alignment vertical="top" wrapText="1"/>
    </xf>
    <xf numFmtId="0" fontId="4" fillId="0" borderId="0" xfId="4" applyFont="1" applyAlignment="1">
      <alignment horizontal="left" vertical="top" wrapText="1"/>
    </xf>
    <xf numFmtId="3" fontId="4" fillId="0" borderId="0" xfId="25" applyNumberFormat="1" applyFont="1" applyFill="1" applyBorder="1" applyAlignment="1" applyProtection="1">
      <alignment vertical="center"/>
    </xf>
    <xf numFmtId="0" fontId="4" fillId="0" borderId="0" xfId="4" applyAlignment="1">
      <alignment horizontal="left" vertical="top" wrapText="1"/>
    </xf>
    <xf numFmtId="0" fontId="13" fillId="0" borderId="0" xfId="4" applyFont="1" applyAlignment="1">
      <alignment horizontal="left" vertical="top" wrapText="1"/>
    </xf>
    <xf numFmtId="0" fontId="9" fillId="0" borderId="0" xfId="4" applyFont="1" applyAlignment="1">
      <alignment horizontal="left" vertical="top" wrapText="1"/>
    </xf>
    <xf numFmtId="0" fontId="4" fillId="24" borderId="0" xfId="4" applyFont="1" applyFill="1" applyAlignment="1">
      <alignment horizontal="left" vertical="top" wrapText="1"/>
    </xf>
  </cellXfs>
  <cellStyles count="37">
    <cellStyle name="_x000d__x000a_JournalTemplate=C:\COMFO\CTALK\JOURSTD.TPL_x000d__x000a_LbStateAddress=3 3 0 251 1 89 2 311_x000d__x000a_LbStateJou" xfId="23"/>
    <cellStyle name="_x000d__x000a_JournalTemplate=C:\COMFO\CTALK\JOURSTD.TPL_x000d__x000a_LbStateAddress=3 3 0 251 1 89 2 311_x000d__x000a_LbStateJou 10 2" xfId="35"/>
    <cellStyle name="_x000d__x000a_JournalTemplate=C:\COMFO\CTALK\JOURSTD.TPL_x000d__x000a_LbStateAddress=3 3 0 251 1 89 2 311_x000d__x000a_LbStateJou 16" xfId="26"/>
    <cellStyle name="_x000d__x000a_JournalTemplate=C:\COMFO\CTALK\JOURSTD.TPL_x000d__x000a_LbStateAddress=3 3 0 251 1 89 2 311_x000d__x000a_LbStateJou_111028 KB Berekening nacalculaties_v2" xfId="32"/>
    <cellStyle name="_kop1 Bladtitel" xfId="5"/>
    <cellStyle name="_kop2 Bloktitel" xfId="6"/>
    <cellStyle name="_kop3 Subkop" xfId="7"/>
    <cellStyle name="Berekening" xfId="18" builtinId="22" hidden="1"/>
    <cellStyle name="Cel (tussen)resultaat" xfId="8"/>
    <cellStyle name="Cel Berekening" xfId="9"/>
    <cellStyle name="Cel Bijzonderheid" xfId="10"/>
    <cellStyle name="Cel Input" xfId="11"/>
    <cellStyle name="Cel PM extern" xfId="12"/>
    <cellStyle name="Cel Verwijzing" xfId="13"/>
    <cellStyle name="Controlecel" xfId="20" builtinId="23" hidden="1"/>
    <cellStyle name="Gekoppelde cel" xfId="19" builtinId="24" hidden="1"/>
    <cellStyle name="Goed" xfId="1" builtinId="26" hidden="1"/>
    <cellStyle name="Invoer" xfId="16" builtinId="20" hidden="1"/>
    <cellStyle name="Neutraal" xfId="3" builtinId="28" hidden="1"/>
    <cellStyle name="Normal 2" xfId="36"/>
    <cellStyle name="Notitie" xfId="21" builtinId="10" hidden="1"/>
    <cellStyle name="Ongeldig" xfId="2" builtinId="27" hidden="1"/>
    <cellStyle name="Opm. INTERN" xfId="14"/>
    <cellStyle name="Procent" xfId="33" builtinId="5"/>
    <cellStyle name="Procent 2 2 2 2" xfId="28"/>
    <cellStyle name="Procent 6" xfId="22"/>
    <cellStyle name="Standaard" xfId="0" builtinId="0"/>
    <cellStyle name="Standaard 2 2 2" xfId="24"/>
    <cellStyle name="Standaard ACM-DE" xfId="4"/>
    <cellStyle name="Standaard_111103 Herberekening tarieven TenneT 2007" xfId="31"/>
    <cellStyle name="Standaard_Berekening tarieven intern_1" xfId="27"/>
    <cellStyle name="Standaard_Handboek TSO (260202)" xfId="25"/>
    <cellStyle name="Standaard_NG-TAR(i)-10-08 Concept" xfId="34"/>
    <cellStyle name="Standaard_Tabellen - CIV2" xfId="30"/>
    <cellStyle name="Standaard_test3" xfId="29"/>
    <cellStyle name="Toelichting" xfId="15"/>
    <cellStyle name="Uitvoer" xfId="17" builtinId="21" hidden="1"/>
  </cellStyles>
  <dxfs count="0"/>
  <tableStyles count="0" defaultTableStyle="TableStyleMedium2" defaultPivotStyle="PivotStyleLight16"/>
  <colors>
    <mruColors>
      <color rgb="FFFFFFCC"/>
      <color rgb="FFFF66FF"/>
      <color rgb="FFFFCC99"/>
      <color rgb="FFFFCCFF"/>
      <color rgb="FF5F1F7A"/>
      <color rgb="FFCCFFCC"/>
      <color rgb="FFCCC8D9"/>
      <color rgb="FFCCFF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156882</xdr:colOff>
      <xdr:row>14</xdr:row>
      <xdr:rowOff>89647</xdr:rowOff>
    </xdr:from>
    <xdr:to>
      <xdr:col>10</xdr:col>
      <xdr:colOff>392205</xdr:colOff>
      <xdr:row>14</xdr:row>
      <xdr:rowOff>89648</xdr:rowOff>
    </xdr:to>
    <xdr:cxnSp macro="">
      <xdr:nvCxnSpPr>
        <xdr:cNvPr id="21" name="Rechte verbindingslijn met pijl 20"/>
        <xdr:cNvCxnSpPr/>
      </xdr:nvCxnSpPr>
      <xdr:spPr>
        <a:xfrm>
          <a:off x="7250206" y="2554941"/>
          <a:ext cx="683558"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112058</xdr:colOff>
      <xdr:row>14</xdr:row>
      <xdr:rowOff>112059</xdr:rowOff>
    </xdr:from>
    <xdr:to>
      <xdr:col>10</xdr:col>
      <xdr:colOff>425823</xdr:colOff>
      <xdr:row>18</xdr:row>
      <xdr:rowOff>33617</xdr:rowOff>
    </xdr:to>
    <xdr:cxnSp macro="">
      <xdr:nvCxnSpPr>
        <xdr:cNvPr id="29" name="Rechte verbindingslijn met pijl 28"/>
        <xdr:cNvCxnSpPr/>
      </xdr:nvCxnSpPr>
      <xdr:spPr>
        <a:xfrm>
          <a:off x="7205382" y="2577353"/>
          <a:ext cx="762000" cy="6387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22092</xdr:colOff>
      <xdr:row>14</xdr:row>
      <xdr:rowOff>120064</xdr:rowOff>
    </xdr:from>
    <xdr:to>
      <xdr:col>5</xdr:col>
      <xdr:colOff>435749</xdr:colOff>
      <xdr:row>18</xdr:row>
      <xdr:rowOff>87406</xdr:rowOff>
    </xdr:to>
    <xdr:cxnSp macro="">
      <xdr:nvCxnSpPr>
        <xdr:cNvPr id="47" name="Rechte verbindingslijn met pijl 46"/>
        <xdr:cNvCxnSpPr/>
      </xdr:nvCxnSpPr>
      <xdr:spPr>
        <a:xfrm>
          <a:off x="4123445" y="2585358"/>
          <a:ext cx="413657" cy="68451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5054</xdr:colOff>
      <xdr:row>22</xdr:row>
      <xdr:rowOff>123265</xdr:rowOff>
    </xdr:from>
    <xdr:to>
      <xdr:col>9</xdr:col>
      <xdr:colOff>100852</xdr:colOff>
      <xdr:row>22</xdr:row>
      <xdr:rowOff>125147</xdr:rowOff>
    </xdr:to>
    <xdr:cxnSp macro="">
      <xdr:nvCxnSpPr>
        <xdr:cNvPr id="59" name="Rechte verbindingslijn met pijl 58"/>
        <xdr:cNvCxnSpPr/>
      </xdr:nvCxnSpPr>
      <xdr:spPr>
        <a:xfrm flipV="1">
          <a:off x="4106407" y="4022912"/>
          <a:ext cx="3087769" cy="18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27</xdr:row>
      <xdr:rowOff>62760</xdr:rowOff>
    </xdr:from>
    <xdr:to>
      <xdr:col>9</xdr:col>
      <xdr:colOff>107574</xdr:colOff>
      <xdr:row>38</xdr:row>
      <xdr:rowOff>112058</xdr:rowOff>
    </xdr:to>
    <xdr:cxnSp macro="">
      <xdr:nvCxnSpPr>
        <xdr:cNvPr id="79" name="Rechte verbindingslijn met pijl 78"/>
        <xdr:cNvCxnSpPr/>
      </xdr:nvCxnSpPr>
      <xdr:spPr>
        <a:xfrm flipV="1">
          <a:off x="4123765" y="4701995"/>
          <a:ext cx="3077133" cy="2021534"/>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7292</xdr:colOff>
      <xdr:row>14</xdr:row>
      <xdr:rowOff>91870</xdr:rowOff>
    </xdr:from>
    <xdr:to>
      <xdr:col>9</xdr:col>
      <xdr:colOff>103090</xdr:colOff>
      <xdr:row>14</xdr:row>
      <xdr:rowOff>93752</xdr:rowOff>
    </xdr:to>
    <xdr:cxnSp macro="">
      <xdr:nvCxnSpPr>
        <xdr:cNvPr id="80" name="Rechte verbindingslijn met pijl 79"/>
        <xdr:cNvCxnSpPr/>
      </xdr:nvCxnSpPr>
      <xdr:spPr>
        <a:xfrm flipV="1">
          <a:off x="4108645" y="2557164"/>
          <a:ext cx="3087769" cy="18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107576</xdr:colOff>
      <xdr:row>22</xdr:row>
      <xdr:rowOff>107577</xdr:rowOff>
    </xdr:from>
    <xdr:to>
      <xdr:col>10</xdr:col>
      <xdr:colOff>432547</xdr:colOff>
      <xdr:row>25</xdr:row>
      <xdr:rowOff>96371</xdr:rowOff>
    </xdr:to>
    <xdr:cxnSp macro="">
      <xdr:nvCxnSpPr>
        <xdr:cNvPr id="88" name="Rechte verbindingslijn met pijl 87"/>
        <xdr:cNvCxnSpPr/>
      </xdr:nvCxnSpPr>
      <xdr:spPr>
        <a:xfrm>
          <a:off x="7200900" y="4007224"/>
          <a:ext cx="773206" cy="52667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145678</xdr:colOff>
      <xdr:row>22</xdr:row>
      <xdr:rowOff>100854</xdr:rowOff>
    </xdr:from>
    <xdr:to>
      <xdr:col>10</xdr:col>
      <xdr:colOff>381001</xdr:colOff>
      <xdr:row>22</xdr:row>
      <xdr:rowOff>100855</xdr:rowOff>
    </xdr:to>
    <xdr:cxnSp macro="">
      <xdr:nvCxnSpPr>
        <xdr:cNvPr id="89" name="Rechte verbindingslijn met pijl 88"/>
        <xdr:cNvCxnSpPr/>
      </xdr:nvCxnSpPr>
      <xdr:spPr>
        <a:xfrm>
          <a:off x="7239002" y="4000501"/>
          <a:ext cx="683558" cy="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134470</xdr:colOff>
      <xdr:row>18</xdr:row>
      <xdr:rowOff>89647</xdr:rowOff>
    </xdr:from>
    <xdr:to>
      <xdr:col>11</xdr:col>
      <xdr:colOff>0</xdr:colOff>
      <xdr:row>22</xdr:row>
      <xdr:rowOff>100853</xdr:rowOff>
    </xdr:to>
    <xdr:cxnSp macro="">
      <xdr:nvCxnSpPr>
        <xdr:cNvPr id="90" name="Rechte verbindingslijn met pijl 89"/>
        <xdr:cNvCxnSpPr/>
      </xdr:nvCxnSpPr>
      <xdr:spPr>
        <a:xfrm flipV="1">
          <a:off x="7227794" y="3272118"/>
          <a:ext cx="762000" cy="7283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123264</xdr:colOff>
      <xdr:row>15</xdr:row>
      <xdr:rowOff>33618</xdr:rowOff>
    </xdr:from>
    <xdr:to>
      <xdr:col>10</xdr:col>
      <xdr:colOff>381000</xdr:colOff>
      <xdr:row>22</xdr:row>
      <xdr:rowOff>112060</xdr:rowOff>
    </xdr:to>
    <xdr:cxnSp macro="">
      <xdr:nvCxnSpPr>
        <xdr:cNvPr id="91" name="Rechte verbindingslijn met pijl 90"/>
        <xdr:cNvCxnSpPr/>
      </xdr:nvCxnSpPr>
      <xdr:spPr>
        <a:xfrm flipV="1">
          <a:off x="7216588" y="2678206"/>
          <a:ext cx="705971" cy="133350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107576</xdr:colOff>
      <xdr:row>19</xdr:row>
      <xdr:rowOff>156882</xdr:rowOff>
    </xdr:from>
    <xdr:to>
      <xdr:col>11</xdr:col>
      <xdr:colOff>0</xdr:colOff>
      <xdr:row>27</xdr:row>
      <xdr:rowOff>73959</xdr:rowOff>
    </xdr:to>
    <xdr:cxnSp macro="">
      <xdr:nvCxnSpPr>
        <xdr:cNvPr id="96" name="Rechte verbindingslijn met pijl 95"/>
        <xdr:cNvCxnSpPr/>
      </xdr:nvCxnSpPr>
      <xdr:spPr>
        <a:xfrm flipV="1">
          <a:off x="7200900" y="3518647"/>
          <a:ext cx="788894" cy="1351430"/>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129990</xdr:colOff>
      <xdr:row>26</xdr:row>
      <xdr:rowOff>100852</xdr:rowOff>
    </xdr:from>
    <xdr:to>
      <xdr:col>10</xdr:col>
      <xdr:colOff>403412</xdr:colOff>
      <xdr:row>27</xdr:row>
      <xdr:rowOff>51548</xdr:rowOff>
    </xdr:to>
    <xdr:cxnSp macro="">
      <xdr:nvCxnSpPr>
        <xdr:cNvPr id="99" name="Rechte verbindingslijn met pijl 98"/>
        <xdr:cNvCxnSpPr/>
      </xdr:nvCxnSpPr>
      <xdr:spPr>
        <a:xfrm flipV="1">
          <a:off x="7223314" y="4717676"/>
          <a:ext cx="721657" cy="129990"/>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136710</xdr:colOff>
      <xdr:row>27</xdr:row>
      <xdr:rowOff>125514</xdr:rowOff>
    </xdr:from>
    <xdr:to>
      <xdr:col>11</xdr:col>
      <xdr:colOff>13446</xdr:colOff>
      <xdr:row>30</xdr:row>
      <xdr:rowOff>114308</xdr:rowOff>
    </xdr:to>
    <xdr:cxnSp macro="">
      <xdr:nvCxnSpPr>
        <xdr:cNvPr id="101" name="Rechte verbindingslijn met pijl 100"/>
        <xdr:cNvCxnSpPr/>
      </xdr:nvCxnSpPr>
      <xdr:spPr>
        <a:xfrm>
          <a:off x="7230034" y="4921632"/>
          <a:ext cx="773206" cy="526676"/>
        </a:xfrm>
        <a:prstGeom prst="straightConnector1">
          <a:avLst/>
        </a:prstGeom>
        <a:ln>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22</xdr:row>
      <xdr:rowOff>156882</xdr:rowOff>
    </xdr:from>
    <xdr:to>
      <xdr:col>10</xdr:col>
      <xdr:colOff>403412</xdr:colOff>
      <xdr:row>38</xdr:row>
      <xdr:rowOff>78441</xdr:rowOff>
    </xdr:to>
    <xdr:cxnSp macro="">
      <xdr:nvCxnSpPr>
        <xdr:cNvPr id="107" name="Rechte verbindingslijn met pijl 106"/>
        <xdr:cNvCxnSpPr/>
      </xdr:nvCxnSpPr>
      <xdr:spPr>
        <a:xfrm>
          <a:off x="4123765" y="4056529"/>
          <a:ext cx="3821206" cy="279026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33618</xdr:colOff>
      <xdr:row>32</xdr:row>
      <xdr:rowOff>145676</xdr:rowOff>
    </xdr:from>
    <xdr:to>
      <xdr:col>11</xdr:col>
      <xdr:colOff>11206</xdr:colOff>
      <xdr:row>46</xdr:row>
      <xdr:rowOff>89647</xdr:rowOff>
    </xdr:to>
    <xdr:cxnSp macro="">
      <xdr:nvCxnSpPr>
        <xdr:cNvPr id="110" name="Rechte verbindingslijn met pijl 109"/>
        <xdr:cNvCxnSpPr/>
      </xdr:nvCxnSpPr>
      <xdr:spPr>
        <a:xfrm>
          <a:off x="4134971" y="5681382"/>
          <a:ext cx="3866029" cy="281267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33618</xdr:colOff>
      <xdr:row>46</xdr:row>
      <xdr:rowOff>145676</xdr:rowOff>
    </xdr:from>
    <xdr:to>
      <xdr:col>11</xdr:col>
      <xdr:colOff>11208</xdr:colOff>
      <xdr:row>50</xdr:row>
      <xdr:rowOff>67235</xdr:rowOff>
    </xdr:to>
    <xdr:cxnSp macro="">
      <xdr:nvCxnSpPr>
        <xdr:cNvPr id="114" name="Rechte verbindingslijn met pijl 113"/>
        <xdr:cNvCxnSpPr/>
      </xdr:nvCxnSpPr>
      <xdr:spPr>
        <a:xfrm>
          <a:off x="4134971" y="8191500"/>
          <a:ext cx="3866031" cy="638735"/>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32</xdr:row>
      <xdr:rowOff>123265</xdr:rowOff>
    </xdr:from>
    <xdr:to>
      <xdr:col>11</xdr:col>
      <xdr:colOff>56030</xdr:colOff>
      <xdr:row>49</xdr:row>
      <xdr:rowOff>123265</xdr:rowOff>
    </xdr:to>
    <xdr:cxnSp macro="">
      <xdr:nvCxnSpPr>
        <xdr:cNvPr id="115" name="Rechte verbindingslijn met pijl 114"/>
        <xdr:cNvCxnSpPr/>
      </xdr:nvCxnSpPr>
      <xdr:spPr>
        <a:xfrm>
          <a:off x="4123765" y="5658971"/>
          <a:ext cx="3922059" cy="3406588"/>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22412</xdr:colOff>
      <xdr:row>32</xdr:row>
      <xdr:rowOff>112059</xdr:rowOff>
    </xdr:from>
    <xdr:to>
      <xdr:col>10</xdr:col>
      <xdr:colOff>403412</xdr:colOff>
      <xdr:row>34</xdr:row>
      <xdr:rowOff>89648</xdr:rowOff>
    </xdr:to>
    <xdr:cxnSp macro="">
      <xdr:nvCxnSpPr>
        <xdr:cNvPr id="118" name="Rechte verbindingslijn met pijl 117"/>
        <xdr:cNvCxnSpPr/>
      </xdr:nvCxnSpPr>
      <xdr:spPr>
        <a:xfrm>
          <a:off x="4123765" y="5647765"/>
          <a:ext cx="3821206" cy="33617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11206</xdr:colOff>
      <xdr:row>46</xdr:row>
      <xdr:rowOff>100852</xdr:rowOff>
    </xdr:from>
    <xdr:to>
      <xdr:col>11</xdr:col>
      <xdr:colOff>22412</xdr:colOff>
      <xdr:row>46</xdr:row>
      <xdr:rowOff>145676</xdr:rowOff>
    </xdr:to>
    <xdr:cxnSp macro="">
      <xdr:nvCxnSpPr>
        <xdr:cNvPr id="121" name="Rechte verbindingslijn met pijl 120"/>
        <xdr:cNvCxnSpPr/>
      </xdr:nvCxnSpPr>
      <xdr:spPr>
        <a:xfrm>
          <a:off x="4112559" y="8146676"/>
          <a:ext cx="3899647" cy="44824"/>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13446</xdr:colOff>
      <xdr:row>14</xdr:row>
      <xdr:rowOff>125507</xdr:rowOff>
    </xdr:from>
    <xdr:to>
      <xdr:col>16</xdr:col>
      <xdr:colOff>896471</xdr:colOff>
      <xdr:row>40</xdr:row>
      <xdr:rowOff>112059</xdr:rowOff>
    </xdr:to>
    <xdr:cxnSp macro="">
      <xdr:nvCxnSpPr>
        <xdr:cNvPr id="125" name="Rechte verbindingslijn met pijl 124"/>
        <xdr:cNvCxnSpPr/>
      </xdr:nvCxnSpPr>
      <xdr:spPr>
        <a:xfrm>
          <a:off x="10703858" y="2590801"/>
          <a:ext cx="2093260" cy="4648199"/>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8964</xdr:colOff>
      <xdr:row>18</xdr:row>
      <xdr:rowOff>87407</xdr:rowOff>
    </xdr:from>
    <xdr:to>
      <xdr:col>16</xdr:col>
      <xdr:colOff>638735</xdr:colOff>
      <xdr:row>40</xdr:row>
      <xdr:rowOff>112059</xdr:rowOff>
    </xdr:to>
    <xdr:cxnSp macro="">
      <xdr:nvCxnSpPr>
        <xdr:cNvPr id="127" name="Rechte verbindingslijn met pijl 126"/>
        <xdr:cNvCxnSpPr/>
      </xdr:nvCxnSpPr>
      <xdr:spPr>
        <a:xfrm>
          <a:off x="10699376" y="3269878"/>
          <a:ext cx="1840006" cy="396912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15688</xdr:colOff>
      <xdr:row>22</xdr:row>
      <xdr:rowOff>82925</xdr:rowOff>
    </xdr:from>
    <xdr:to>
      <xdr:col>16</xdr:col>
      <xdr:colOff>392206</xdr:colOff>
      <xdr:row>40</xdr:row>
      <xdr:rowOff>89647</xdr:rowOff>
    </xdr:to>
    <xdr:cxnSp macro="">
      <xdr:nvCxnSpPr>
        <xdr:cNvPr id="129" name="Rechte verbindingslijn met pijl 128"/>
        <xdr:cNvCxnSpPr/>
      </xdr:nvCxnSpPr>
      <xdr:spPr>
        <a:xfrm>
          <a:off x="10706100" y="3982572"/>
          <a:ext cx="1586753" cy="3234016"/>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56030</xdr:rowOff>
    </xdr:from>
    <xdr:to>
      <xdr:col>16</xdr:col>
      <xdr:colOff>78441</xdr:colOff>
      <xdr:row>40</xdr:row>
      <xdr:rowOff>56030</xdr:rowOff>
    </xdr:to>
    <xdr:cxnSp macro="">
      <xdr:nvCxnSpPr>
        <xdr:cNvPr id="131" name="Rechte verbindingslijn met pijl 130"/>
        <xdr:cNvCxnSpPr/>
      </xdr:nvCxnSpPr>
      <xdr:spPr>
        <a:xfrm>
          <a:off x="10690412" y="4672854"/>
          <a:ext cx="1288676" cy="2510117"/>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29134</xdr:colOff>
      <xdr:row>30</xdr:row>
      <xdr:rowOff>40348</xdr:rowOff>
    </xdr:from>
    <xdr:to>
      <xdr:col>15</xdr:col>
      <xdr:colOff>358589</xdr:colOff>
      <xdr:row>40</xdr:row>
      <xdr:rowOff>89647</xdr:rowOff>
    </xdr:to>
    <xdr:cxnSp macro="">
      <xdr:nvCxnSpPr>
        <xdr:cNvPr id="133" name="Rechte verbindingslijn met pijl 132"/>
        <xdr:cNvCxnSpPr/>
      </xdr:nvCxnSpPr>
      <xdr:spPr>
        <a:xfrm>
          <a:off x="10719546" y="5374348"/>
          <a:ext cx="934572" cy="184224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2238</xdr:colOff>
      <xdr:row>34</xdr:row>
      <xdr:rowOff>80696</xdr:rowOff>
    </xdr:from>
    <xdr:to>
      <xdr:col>15</xdr:col>
      <xdr:colOff>44824</xdr:colOff>
      <xdr:row>40</xdr:row>
      <xdr:rowOff>100853</xdr:rowOff>
    </xdr:to>
    <xdr:cxnSp macro="">
      <xdr:nvCxnSpPr>
        <xdr:cNvPr id="135" name="Rechte verbindingslijn met pijl 134"/>
        <xdr:cNvCxnSpPr/>
      </xdr:nvCxnSpPr>
      <xdr:spPr>
        <a:xfrm>
          <a:off x="10692650" y="6131872"/>
          <a:ext cx="647703" cy="109592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602874</xdr:colOff>
      <xdr:row>38</xdr:row>
      <xdr:rowOff>53801</xdr:rowOff>
    </xdr:from>
    <xdr:to>
      <xdr:col>14</xdr:col>
      <xdr:colOff>582706</xdr:colOff>
      <xdr:row>41</xdr:row>
      <xdr:rowOff>168089</xdr:rowOff>
    </xdr:to>
    <xdr:cxnSp macro="">
      <xdr:nvCxnSpPr>
        <xdr:cNvPr id="137" name="Rechte verbindingslijn met pijl 136"/>
        <xdr:cNvCxnSpPr/>
      </xdr:nvCxnSpPr>
      <xdr:spPr>
        <a:xfrm>
          <a:off x="10688168" y="6822154"/>
          <a:ext cx="584950" cy="652170"/>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6722</xdr:colOff>
      <xdr:row>42</xdr:row>
      <xdr:rowOff>75841</xdr:rowOff>
    </xdr:from>
    <xdr:to>
      <xdr:col>14</xdr:col>
      <xdr:colOff>571500</xdr:colOff>
      <xdr:row>42</xdr:row>
      <xdr:rowOff>89647</xdr:rowOff>
    </xdr:to>
    <xdr:cxnSp macro="">
      <xdr:nvCxnSpPr>
        <xdr:cNvPr id="139" name="Rechte verbindingslijn met pijl 138"/>
        <xdr:cNvCxnSpPr/>
      </xdr:nvCxnSpPr>
      <xdr:spPr>
        <a:xfrm>
          <a:off x="4108075" y="7561370"/>
          <a:ext cx="7153837" cy="13806"/>
        </a:xfrm>
        <a:prstGeom prst="straightConnector1">
          <a:avLst/>
        </a:prstGeom>
        <a:ln cmpd="sng">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22412</xdr:colOff>
      <xdr:row>44</xdr:row>
      <xdr:rowOff>44823</xdr:rowOff>
    </xdr:from>
    <xdr:to>
      <xdr:col>16</xdr:col>
      <xdr:colOff>526677</xdr:colOff>
      <xdr:row>50</xdr:row>
      <xdr:rowOff>11205</xdr:rowOff>
    </xdr:to>
    <xdr:cxnSp macro="">
      <xdr:nvCxnSpPr>
        <xdr:cNvPr id="141" name="Rechte verbindingslijn met pijl 140"/>
        <xdr:cNvCxnSpPr/>
      </xdr:nvCxnSpPr>
      <xdr:spPr>
        <a:xfrm flipH="1">
          <a:off x="10712824" y="7888941"/>
          <a:ext cx="1714500" cy="1400735"/>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46</xdr:row>
      <xdr:rowOff>0</xdr:rowOff>
    </xdr:from>
    <xdr:to>
      <xdr:col>14</xdr:col>
      <xdr:colOff>593912</xdr:colOff>
      <xdr:row>51</xdr:row>
      <xdr:rowOff>22411</xdr:rowOff>
    </xdr:to>
    <xdr:cxnSp macro="">
      <xdr:nvCxnSpPr>
        <xdr:cNvPr id="144" name="Rechte verbindingslijn met pijl 143"/>
        <xdr:cNvCxnSpPr/>
      </xdr:nvCxnSpPr>
      <xdr:spPr>
        <a:xfrm>
          <a:off x="10690412" y="8561294"/>
          <a:ext cx="593912" cy="918882"/>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62752</xdr:colOff>
      <xdr:row>50</xdr:row>
      <xdr:rowOff>62759</xdr:rowOff>
    </xdr:from>
    <xdr:to>
      <xdr:col>14</xdr:col>
      <xdr:colOff>549088</xdr:colOff>
      <xdr:row>51</xdr:row>
      <xdr:rowOff>145676</xdr:rowOff>
    </xdr:to>
    <xdr:cxnSp macro="">
      <xdr:nvCxnSpPr>
        <xdr:cNvPr id="146" name="Rechte verbindingslijn met pijl 145"/>
        <xdr:cNvCxnSpPr/>
      </xdr:nvCxnSpPr>
      <xdr:spPr>
        <a:xfrm>
          <a:off x="10753164" y="9341230"/>
          <a:ext cx="486336" cy="262211"/>
        </a:xfrm>
        <a:prstGeom prst="straightConnector1">
          <a:avLst/>
        </a:prstGeom>
        <a:ln cmpd="sng">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cm.nl/nl/publicaties/publicatie/16199/WACC-methode-bij-de-methodebesluiten-2017-2021" TargetMode="External"/><Relationship Id="rId7" Type="http://schemas.openxmlformats.org/officeDocument/2006/relationships/hyperlink" Target="https://www.acm.nl/nl/publicaties/tarievenbesluit-tennet-2018" TargetMode="External"/><Relationship Id="rId2" Type="http://schemas.openxmlformats.org/officeDocument/2006/relationships/hyperlink" Target="https://www.acm.nl/nl/publicaties/publicatie/16794/2e-Wijziging-Methodebesluit-TenneT-2014-2016-Transport" TargetMode="External"/><Relationship Id="rId1" Type="http://schemas.openxmlformats.org/officeDocument/2006/relationships/hyperlink" Target="https://www.acm.nl/nl/publicaties/publicatie/17151/Herstelmethodebesluit-TenneT-transporttaken-2017-2021-integraal-besluit" TargetMode="External"/><Relationship Id="rId6" Type="http://schemas.openxmlformats.org/officeDocument/2006/relationships/hyperlink" Target="https://www.acm.nl/nl/publicaties/publicatie/15112/Bevoegdhedenovereenkomst-ACM-en-TenneT-veilingmiddelen" TargetMode="External"/><Relationship Id="rId5" Type="http://schemas.openxmlformats.org/officeDocument/2006/relationships/hyperlink" Target="https://www.acm.nl/nl/publicaties/publicatie/17211/Wijziging-X-factorbesluit-TenneT-2017-2021-Transport" TargetMode="External"/><Relationship Id="rId4" Type="http://schemas.openxmlformats.org/officeDocument/2006/relationships/hyperlink" Target="https://www.acm.nl/nl/publicaties/publicatie/16965/Methodebesluit-GTS-2017-20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B2:E38"/>
  <sheetViews>
    <sheetView showGridLines="0" tabSelected="1" zoomScale="85" zoomScaleNormal="85" workbookViewId="0">
      <pane ySplit="3" topLeftCell="A4" activePane="bottomLeft" state="frozen"/>
      <selection pane="bottomLeft"/>
    </sheetView>
  </sheetViews>
  <sheetFormatPr defaultRowHeight="12.75"/>
  <cols>
    <col min="1" max="1" width="2.85546875" style="2" customWidth="1"/>
    <col min="2" max="2" width="39.85546875" style="2" customWidth="1"/>
    <col min="3" max="3" width="91.85546875" style="2" customWidth="1"/>
    <col min="4" max="16384" width="9.140625" style="2"/>
  </cols>
  <sheetData>
    <row r="2" spans="2:3" s="12" customFormat="1" ht="18">
      <c r="B2" s="11" t="s">
        <v>353</v>
      </c>
    </row>
    <row r="6" spans="2:3">
      <c r="B6" s="3"/>
    </row>
    <row r="13" spans="2:3" s="7" customFormat="1">
      <c r="B13" s="7" t="s">
        <v>0</v>
      </c>
    </row>
    <row r="14" spans="2:3" s="8" customFormat="1"/>
    <row r="15" spans="2:3">
      <c r="B15" s="9" t="s">
        <v>1</v>
      </c>
      <c r="C15" s="10" t="s">
        <v>315</v>
      </c>
    </row>
    <row r="16" spans="2:3">
      <c r="B16" s="9" t="s">
        <v>2</v>
      </c>
      <c r="C16" s="190" t="s">
        <v>576</v>
      </c>
    </row>
    <row r="17" spans="2:5">
      <c r="B17" s="9" t="s">
        <v>3</v>
      </c>
      <c r="C17" s="190" t="s">
        <v>558</v>
      </c>
    </row>
    <row r="18" spans="2:5">
      <c r="B18" s="9" t="s">
        <v>4</v>
      </c>
      <c r="C18" s="190" t="s">
        <v>473</v>
      </c>
    </row>
    <row r="19" spans="2:5">
      <c r="B19" s="9" t="s">
        <v>5</v>
      </c>
      <c r="C19" s="190" t="s">
        <v>316</v>
      </c>
    </row>
    <row r="20" spans="2:5">
      <c r="B20" s="9" t="s">
        <v>6</v>
      </c>
      <c r="C20" s="10" t="s">
        <v>577</v>
      </c>
    </row>
    <row r="21" spans="2:5">
      <c r="B21" s="9" t="s">
        <v>7</v>
      </c>
      <c r="C21" s="190" t="s">
        <v>559</v>
      </c>
    </row>
    <row r="22" spans="2:5">
      <c r="B22" s="9" t="s">
        <v>8</v>
      </c>
      <c r="C22" s="10" t="s">
        <v>316</v>
      </c>
    </row>
    <row r="25" spans="2:5" s="7" customFormat="1">
      <c r="B25" s="7" t="s">
        <v>9</v>
      </c>
    </row>
    <row r="27" spans="2:5">
      <c r="B27" s="9" t="s">
        <v>10</v>
      </c>
      <c r="C27" s="10" t="s">
        <v>317</v>
      </c>
    </row>
    <row r="28" spans="2:5">
      <c r="B28" s="9" t="s">
        <v>11</v>
      </c>
      <c r="C28" s="10" t="s">
        <v>317</v>
      </c>
    </row>
    <row r="29" spans="2:5" ht="25.5">
      <c r="B29" s="9" t="s">
        <v>12</v>
      </c>
      <c r="C29" s="10" t="s">
        <v>317</v>
      </c>
      <c r="E29" s="37"/>
    </row>
    <row r="30" spans="2:5">
      <c r="B30" s="9" t="s">
        <v>13</v>
      </c>
      <c r="C30" s="10" t="s">
        <v>316</v>
      </c>
    </row>
    <row r="31" spans="2:5">
      <c r="B31" s="152" t="s">
        <v>345</v>
      </c>
      <c r="C31" s="10" t="s">
        <v>316</v>
      </c>
    </row>
    <row r="34" spans="2:2" s="7" customFormat="1">
      <c r="B34" s="7" t="s">
        <v>14</v>
      </c>
    </row>
    <row r="36" spans="2:2">
      <c r="B36" s="97" t="s">
        <v>367</v>
      </c>
    </row>
    <row r="37" spans="2:2">
      <c r="B37" s="97" t="s">
        <v>368</v>
      </c>
    </row>
    <row r="38" spans="2:2">
      <c r="B38" s="97" t="s">
        <v>587</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R36"/>
  <sheetViews>
    <sheetView showGridLines="0" zoomScale="85" zoomScaleNormal="85" workbookViewId="0">
      <pane xSplit="6" ySplit="18" topLeftCell="G19" activePane="bottomRight" state="frozen"/>
      <selection pane="topRight"/>
      <selection pane="bottomLeft"/>
      <selection pane="bottomRight"/>
    </sheetView>
  </sheetViews>
  <sheetFormatPr defaultRowHeight="12.75"/>
  <cols>
    <col min="1" max="1" width="4" style="2" customWidth="1"/>
    <col min="2" max="2" width="58.710937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30" width="13.7109375" style="2" customWidth="1"/>
    <col min="31" max="16384" width="9.140625" style="2"/>
  </cols>
  <sheetData>
    <row r="2" spans="2:8" s="28" customFormat="1" ht="18">
      <c r="B2" s="178" t="s">
        <v>447</v>
      </c>
    </row>
    <row r="3" spans="2:8">
      <c r="B3" s="29"/>
    </row>
    <row r="4" spans="2:8" s="96" customFormat="1" ht="12.75" customHeight="1">
      <c r="B4" s="247" t="s">
        <v>446</v>
      </c>
      <c r="C4" s="247"/>
      <c r="D4" s="247"/>
      <c r="E4" s="247"/>
    </row>
    <row r="5" spans="2:8" s="96" customFormat="1">
      <c r="B5" s="247"/>
      <c r="C5" s="247"/>
      <c r="D5" s="247"/>
      <c r="E5" s="247"/>
    </row>
    <row r="6" spans="2:8" s="96" customFormat="1">
      <c r="B6" s="247"/>
      <c r="C6" s="247"/>
      <c r="D6" s="247"/>
      <c r="E6" s="247"/>
    </row>
    <row r="7" spans="2:8" s="96" customFormat="1">
      <c r="B7" s="247"/>
      <c r="C7" s="247"/>
      <c r="D7" s="247"/>
      <c r="E7" s="247"/>
    </row>
    <row r="8" spans="2:8" s="96" customFormat="1">
      <c r="B8" s="247"/>
      <c r="C8" s="247"/>
      <c r="D8" s="247"/>
      <c r="E8" s="247"/>
    </row>
    <row r="9" spans="2:8">
      <c r="B9" s="247"/>
      <c r="C9" s="247"/>
      <c r="D9" s="247"/>
      <c r="E9" s="247"/>
    </row>
    <row r="10" spans="2:8" s="96" customFormat="1">
      <c r="B10" s="247"/>
      <c r="C10" s="247"/>
      <c r="D10" s="247"/>
      <c r="E10" s="247"/>
    </row>
    <row r="11" spans="2:8" s="177" customFormat="1">
      <c r="B11" s="247"/>
      <c r="C11" s="247"/>
      <c r="D11" s="247"/>
      <c r="E11" s="247"/>
    </row>
    <row r="12" spans="2:8">
      <c r="B12" s="34"/>
      <c r="C12" s="34"/>
      <c r="D12" s="34"/>
      <c r="H12" s="29"/>
    </row>
    <row r="13" spans="2:8">
      <c r="B13" s="95" t="s">
        <v>428</v>
      </c>
      <c r="C13" s="34"/>
      <c r="D13" s="34"/>
      <c r="H13" s="29"/>
    </row>
    <row r="14" spans="2:8" s="96" customFormat="1">
      <c r="B14" s="97" t="s">
        <v>516</v>
      </c>
      <c r="C14" s="97"/>
      <c r="D14" s="97"/>
      <c r="F14" s="112" t="str">
        <f>'Tab 20_Controle rekenvolumina'!H34</f>
        <v>ja</v>
      </c>
    </row>
    <row r="15" spans="2:8">
      <c r="B15" s="97" t="s">
        <v>395</v>
      </c>
      <c r="C15" s="34"/>
      <c r="D15" s="34"/>
      <c r="F15" s="112" t="str">
        <f>'Tab 21_Controle tarieven'!H84</f>
        <v>ja</v>
      </c>
    </row>
    <row r="16" spans="2:8" s="96" customFormat="1">
      <c r="B16" s="97"/>
      <c r="C16" s="97"/>
      <c r="D16" s="97"/>
      <c r="F16" s="120"/>
    </row>
    <row r="17" spans="2:18" s="100" customFormat="1" ht="38.25">
      <c r="B17" s="100" t="s">
        <v>47</v>
      </c>
      <c r="F17" s="100" t="s">
        <v>28</v>
      </c>
      <c r="H17" s="100" t="s">
        <v>29</v>
      </c>
      <c r="J17" s="100" t="s">
        <v>51</v>
      </c>
      <c r="L17" s="100" t="s">
        <v>86</v>
      </c>
      <c r="M17" s="42" t="s">
        <v>407</v>
      </c>
      <c r="N17" s="42" t="s">
        <v>88</v>
      </c>
      <c r="O17" s="42" t="s">
        <v>406</v>
      </c>
      <c r="P17" s="42" t="s">
        <v>243</v>
      </c>
      <c r="R17" s="100" t="s">
        <v>49</v>
      </c>
    </row>
    <row r="20" spans="2:18" s="7" customFormat="1">
      <c r="B20" s="7" t="s">
        <v>436</v>
      </c>
      <c r="R20" s="46"/>
    </row>
    <row r="22" spans="2:18" s="96" customFormat="1">
      <c r="B22" s="95" t="s">
        <v>90</v>
      </c>
    </row>
    <row r="23" spans="2:18">
      <c r="B23" s="2" t="s">
        <v>437</v>
      </c>
      <c r="F23" s="2" t="s">
        <v>92</v>
      </c>
      <c r="L23" s="207">
        <v>22.55</v>
      </c>
      <c r="M23" s="235">
        <v>1212716</v>
      </c>
      <c r="N23" s="235">
        <v>12026541</v>
      </c>
      <c r="O23" s="235">
        <v>235262</v>
      </c>
      <c r="P23" s="235">
        <v>3215320</v>
      </c>
      <c r="R23" s="97"/>
    </row>
    <row r="24" spans="2:18">
      <c r="L24" s="225"/>
      <c r="M24" s="225"/>
      <c r="N24" s="225"/>
      <c r="O24" s="225"/>
      <c r="P24" s="225"/>
      <c r="R24" s="97"/>
    </row>
    <row r="25" spans="2:18" s="96" customFormat="1">
      <c r="B25" s="95" t="s">
        <v>93</v>
      </c>
      <c r="L25" s="225"/>
      <c r="M25" s="225"/>
      <c r="N25" s="225"/>
      <c r="O25" s="225"/>
      <c r="P25" s="225"/>
      <c r="R25" s="97"/>
    </row>
    <row r="26" spans="2:18">
      <c r="B26" s="2" t="s">
        <v>438</v>
      </c>
      <c r="F26" s="2" t="s">
        <v>92</v>
      </c>
      <c r="L26" s="207">
        <v>91.56</v>
      </c>
      <c r="M26" s="235">
        <v>14929120</v>
      </c>
      <c r="N26" s="235">
        <v>153986790</v>
      </c>
      <c r="O26" s="235">
        <v>226512</v>
      </c>
      <c r="P26" s="235">
        <v>1737592</v>
      </c>
      <c r="R26" s="97"/>
    </row>
    <row r="27" spans="2:18">
      <c r="L27" s="225"/>
      <c r="M27" s="225"/>
      <c r="N27" s="225"/>
      <c r="O27" s="225"/>
      <c r="P27" s="225"/>
      <c r="R27" s="97"/>
    </row>
    <row r="28" spans="2:18" s="7" customFormat="1">
      <c r="B28" s="7" t="s">
        <v>434</v>
      </c>
      <c r="L28" s="229"/>
      <c r="M28" s="229"/>
      <c r="N28" s="229"/>
      <c r="O28" s="229"/>
      <c r="P28" s="229"/>
      <c r="R28" s="90"/>
    </row>
    <row r="29" spans="2:18">
      <c r="L29" s="208"/>
      <c r="M29" s="208"/>
      <c r="N29" s="208"/>
      <c r="O29" s="208"/>
      <c r="P29" s="208"/>
      <c r="R29" s="97"/>
    </row>
    <row r="30" spans="2:18">
      <c r="B30" s="1" t="s">
        <v>90</v>
      </c>
      <c r="L30" s="208"/>
      <c r="M30" s="208"/>
      <c r="N30" s="208"/>
      <c r="O30" s="208"/>
      <c r="P30" s="208"/>
      <c r="R30" s="97"/>
    </row>
    <row r="31" spans="2:18">
      <c r="B31" s="34" t="s">
        <v>95</v>
      </c>
      <c r="F31" s="2" t="s">
        <v>138</v>
      </c>
      <c r="L31" s="236">
        <v>12478.96</v>
      </c>
      <c r="M31" s="236">
        <v>8.61</v>
      </c>
      <c r="N31" s="236">
        <v>0.87</v>
      </c>
      <c r="O31" s="236">
        <v>4.3</v>
      </c>
      <c r="P31" s="236">
        <v>0.3</v>
      </c>
      <c r="R31" s="97"/>
    </row>
    <row r="32" spans="2:18">
      <c r="B32" s="34" t="s">
        <v>435</v>
      </c>
      <c r="F32" s="2" t="s">
        <v>92</v>
      </c>
      <c r="L32" s="207">
        <f>L23</f>
        <v>22.55</v>
      </c>
      <c r="M32" s="235">
        <f t="shared" ref="M32:P32" si="0">M23</f>
        <v>1212716</v>
      </c>
      <c r="N32" s="235">
        <f t="shared" si="0"/>
        <v>12026541</v>
      </c>
      <c r="O32" s="235">
        <f t="shared" si="0"/>
        <v>235262</v>
      </c>
      <c r="P32" s="235">
        <f t="shared" si="0"/>
        <v>3215320</v>
      </c>
      <c r="R32" s="97"/>
    </row>
    <row r="33" spans="2:18">
      <c r="L33" s="225"/>
      <c r="M33" s="225"/>
      <c r="N33" s="225"/>
      <c r="O33" s="225"/>
      <c r="P33" s="225"/>
      <c r="R33" s="97"/>
    </row>
    <row r="34" spans="2:18">
      <c r="B34" s="1" t="s">
        <v>93</v>
      </c>
      <c r="L34" s="225"/>
      <c r="M34" s="225"/>
      <c r="N34" s="225"/>
      <c r="O34" s="225"/>
      <c r="P34" s="225"/>
      <c r="R34" s="97"/>
    </row>
    <row r="35" spans="2:18">
      <c r="B35" s="34" t="s">
        <v>95</v>
      </c>
      <c r="F35" s="2" t="s">
        <v>138</v>
      </c>
      <c r="L35" s="237">
        <v>2760</v>
      </c>
      <c r="M35" s="237">
        <v>17.100000000000001</v>
      </c>
      <c r="N35" s="237">
        <v>1.66</v>
      </c>
      <c r="O35" s="237">
        <v>8.5500000000000007</v>
      </c>
      <c r="P35" s="237">
        <v>0.57999999999999996</v>
      </c>
      <c r="R35" s="97"/>
    </row>
    <row r="36" spans="2:18">
      <c r="B36" s="34" t="s">
        <v>435</v>
      </c>
      <c r="F36" s="2" t="s">
        <v>92</v>
      </c>
      <c r="L36" s="207">
        <f>L26</f>
        <v>91.56</v>
      </c>
      <c r="M36" s="235">
        <f t="shared" ref="M36:P36" si="1">M26</f>
        <v>14929120</v>
      </c>
      <c r="N36" s="235">
        <f t="shared" si="1"/>
        <v>153986790</v>
      </c>
      <c r="O36" s="235">
        <f t="shared" si="1"/>
        <v>226512</v>
      </c>
      <c r="P36" s="235">
        <f t="shared" si="1"/>
        <v>1737592</v>
      </c>
      <c r="R36" s="97"/>
    </row>
  </sheetData>
  <mergeCells count="1">
    <mergeCell ref="B4:E1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32"/>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AA62"/>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46.140625" style="2" customWidth="1"/>
    <col min="3" max="5" width="4.5703125" style="2" customWidth="1"/>
    <col min="6" max="6" width="11.7109375" style="2" customWidth="1"/>
    <col min="7" max="7" width="2.7109375" style="2" customWidth="1"/>
    <col min="8" max="8" width="12.5703125" style="2" customWidth="1"/>
    <col min="9" max="9" width="2.7109375" style="2" customWidth="1"/>
    <col min="10" max="10" width="10.5703125" style="2" customWidth="1"/>
    <col min="11" max="11" width="2.7109375" style="2" customWidth="1"/>
    <col min="12" max="22" width="12.5703125" style="2" customWidth="1"/>
    <col min="23" max="23" width="2.7109375" style="96" customWidth="1"/>
    <col min="24" max="24" width="39.140625" style="2" customWidth="1"/>
    <col min="25" max="25" width="2.7109375" style="2" customWidth="1"/>
    <col min="26" max="26" width="13.7109375" style="97" customWidth="1"/>
    <col min="27" max="27" width="2.7109375" style="2" customWidth="1"/>
    <col min="28" max="42" width="13.7109375" style="2" customWidth="1"/>
    <col min="43" max="16384" width="9.140625" style="2"/>
  </cols>
  <sheetData>
    <row r="2" spans="2:27" s="28" customFormat="1" ht="18">
      <c r="B2" s="28" t="s">
        <v>391</v>
      </c>
      <c r="Z2" s="93"/>
    </row>
    <row r="4" spans="2:27" s="96" customFormat="1" ht="12.75" customHeight="1">
      <c r="B4" s="248" t="s">
        <v>523</v>
      </c>
      <c r="C4" s="248"/>
      <c r="D4" s="248"/>
      <c r="E4" s="248"/>
      <c r="Z4" s="97"/>
    </row>
    <row r="5" spans="2:27" s="96" customFormat="1">
      <c r="B5" s="248"/>
      <c r="C5" s="248"/>
      <c r="D5" s="248"/>
      <c r="E5" s="248"/>
      <c r="Z5" s="97"/>
    </row>
    <row r="6" spans="2:27" s="96" customFormat="1">
      <c r="B6" s="248"/>
      <c r="C6" s="248"/>
      <c r="D6" s="248"/>
      <c r="E6" s="248"/>
      <c r="Z6" s="97"/>
    </row>
    <row r="7" spans="2:27" s="96" customFormat="1">
      <c r="B7" s="248"/>
      <c r="C7" s="248"/>
      <c r="D7" s="248"/>
      <c r="E7" s="248"/>
      <c r="Z7" s="97"/>
    </row>
    <row r="8" spans="2:27" s="96" customFormat="1">
      <c r="B8" s="248"/>
      <c r="C8" s="248"/>
      <c r="D8" s="248"/>
      <c r="E8" s="248"/>
      <c r="Z8" s="97"/>
    </row>
    <row r="9" spans="2:27" s="201" customFormat="1">
      <c r="B9" s="248"/>
      <c r="C9" s="248"/>
      <c r="D9" s="248"/>
      <c r="E9" s="248"/>
      <c r="Z9" s="97"/>
    </row>
    <row r="10" spans="2:27" s="96" customFormat="1"/>
    <row r="11" spans="2:27" s="7" customFormat="1">
      <c r="B11" s="7" t="s">
        <v>47</v>
      </c>
      <c r="F11" s="7" t="s">
        <v>28</v>
      </c>
      <c r="H11" s="7" t="s">
        <v>29</v>
      </c>
      <c r="J11" s="7" t="s">
        <v>51</v>
      </c>
      <c r="L11" s="86">
        <v>2011</v>
      </c>
      <c r="M11" s="86">
        <v>2012</v>
      </c>
      <c r="N11" s="86">
        <v>2013</v>
      </c>
      <c r="O11" s="86">
        <v>2014</v>
      </c>
      <c r="P11" s="86">
        <v>2015</v>
      </c>
      <c r="Q11" s="86">
        <v>2016</v>
      </c>
      <c r="R11" s="86">
        <v>2017</v>
      </c>
      <c r="S11" s="86">
        <v>2018</v>
      </c>
      <c r="T11" s="86">
        <v>2019</v>
      </c>
      <c r="U11" s="86">
        <v>2020</v>
      </c>
      <c r="V11" s="86">
        <v>2021</v>
      </c>
      <c r="W11" s="100"/>
      <c r="X11" s="7" t="s">
        <v>48</v>
      </c>
      <c r="Z11" s="90" t="s">
        <v>49</v>
      </c>
      <c r="AA11" s="46"/>
    </row>
    <row r="14" spans="2:27" s="7" customFormat="1">
      <c r="B14" s="90" t="s">
        <v>64</v>
      </c>
      <c r="W14" s="100"/>
      <c r="Z14" s="90"/>
    </row>
    <row r="16" spans="2:27">
      <c r="B16" s="1" t="s">
        <v>223</v>
      </c>
      <c r="Z16" s="95" t="s">
        <v>68</v>
      </c>
    </row>
    <row r="17" spans="2:26">
      <c r="B17" s="2" t="s">
        <v>224</v>
      </c>
      <c r="F17" s="2" t="s">
        <v>65</v>
      </c>
      <c r="L17" s="121">
        <v>1.4999999999999999E-2</v>
      </c>
      <c r="M17" s="121">
        <v>2.5999999999999999E-2</v>
      </c>
      <c r="N17" s="121">
        <v>2.3E-2</v>
      </c>
      <c r="O17" s="121">
        <v>2.8000000000000001E-2</v>
      </c>
      <c r="P17" s="121">
        <v>0.01</v>
      </c>
      <c r="Q17" s="121">
        <v>8.0000000000000002E-3</v>
      </c>
      <c r="R17" s="121">
        <v>2E-3</v>
      </c>
      <c r="S17" s="121">
        <v>1.4E-2</v>
      </c>
      <c r="T17" s="211">
        <v>2.1000000000000001E-2</v>
      </c>
      <c r="U17" s="156">
        <v>1.2E-2</v>
      </c>
      <c r="V17" s="156">
        <v>1.2E-2</v>
      </c>
      <c r="X17" s="2" t="s">
        <v>270</v>
      </c>
      <c r="Z17" s="51" t="s">
        <v>563</v>
      </c>
    </row>
    <row r="18" spans="2:26">
      <c r="Z18" s="51" t="s">
        <v>69</v>
      </c>
    </row>
    <row r="19" spans="2:26">
      <c r="Z19" s="51" t="s">
        <v>564</v>
      </c>
    </row>
    <row r="20" spans="2:26">
      <c r="Z20" s="51" t="s">
        <v>565</v>
      </c>
    </row>
    <row r="21" spans="2:26" s="96" customFormat="1">
      <c r="Z21" s="51" t="s">
        <v>566</v>
      </c>
    </row>
    <row r="22" spans="2:26" s="96" customFormat="1">
      <c r="Z22" s="51"/>
    </row>
    <row r="23" spans="2:26" s="7" customFormat="1">
      <c r="B23" s="90" t="s">
        <v>74</v>
      </c>
      <c r="W23" s="100"/>
      <c r="Z23" s="90"/>
    </row>
    <row r="25" spans="2:26">
      <c r="B25" s="1" t="s">
        <v>74</v>
      </c>
      <c r="Z25" s="95" t="s">
        <v>70</v>
      </c>
    </row>
    <row r="26" spans="2:26">
      <c r="B26" s="2" t="s">
        <v>75</v>
      </c>
      <c r="F26" s="2" t="s">
        <v>65</v>
      </c>
      <c r="L26" s="162">
        <v>2.5000000000000001E-2</v>
      </c>
      <c r="M26" s="162">
        <v>2.8500000000000001E-2</v>
      </c>
      <c r="N26" s="162">
        <v>0.03</v>
      </c>
      <c r="O26" s="162">
        <v>0.03</v>
      </c>
      <c r="P26" s="162">
        <v>0.04</v>
      </c>
      <c r="Q26" s="162">
        <v>0.04</v>
      </c>
      <c r="R26" s="162">
        <v>0.04</v>
      </c>
      <c r="S26" s="162">
        <v>0.04</v>
      </c>
      <c r="T26" s="161">
        <f>S29</f>
        <v>0.04</v>
      </c>
      <c r="U26" s="37"/>
      <c r="X26" s="2" t="s">
        <v>272</v>
      </c>
      <c r="Z26" s="51" t="s">
        <v>71</v>
      </c>
    </row>
    <row r="27" spans="2:26">
      <c r="B27" s="2" t="s">
        <v>76</v>
      </c>
      <c r="F27" s="2" t="s">
        <v>65</v>
      </c>
      <c r="L27" s="162">
        <v>2.5000000000000001E-2</v>
      </c>
      <c r="M27" s="162">
        <v>2.3E-2</v>
      </c>
      <c r="N27" s="162">
        <v>0.03</v>
      </c>
      <c r="O27" s="162">
        <v>0.04</v>
      </c>
      <c r="P27" s="162">
        <v>0.04</v>
      </c>
      <c r="Q27" s="162">
        <v>0.04</v>
      </c>
      <c r="R27" s="162">
        <v>0.04</v>
      </c>
      <c r="S27" s="162">
        <v>0.04</v>
      </c>
      <c r="T27" s="161">
        <f>S29</f>
        <v>0.04</v>
      </c>
      <c r="X27" s="96" t="s">
        <v>272</v>
      </c>
      <c r="Z27" s="51" t="s">
        <v>225</v>
      </c>
    </row>
    <row r="28" spans="2:26">
      <c r="B28" s="2" t="s">
        <v>77</v>
      </c>
      <c r="F28" s="2" t="s">
        <v>65</v>
      </c>
      <c r="L28" s="162">
        <v>2.75E-2</v>
      </c>
      <c r="M28" s="162">
        <v>2.5000000000000001E-2</v>
      </c>
      <c r="N28" s="162">
        <v>0.03</v>
      </c>
      <c r="O28" s="162">
        <v>0.04</v>
      </c>
      <c r="P28" s="162">
        <v>0.04</v>
      </c>
      <c r="Q28" s="162">
        <v>0.04</v>
      </c>
      <c r="R28" s="162">
        <v>0.04</v>
      </c>
      <c r="S28" s="212">
        <v>0.04</v>
      </c>
      <c r="X28" s="96" t="s">
        <v>272</v>
      </c>
      <c r="Z28" s="51" t="s">
        <v>72</v>
      </c>
    </row>
    <row r="29" spans="2:26">
      <c r="B29" s="2" t="s">
        <v>78</v>
      </c>
      <c r="F29" s="2" t="s">
        <v>65</v>
      </c>
      <c r="L29" s="162">
        <v>0.03</v>
      </c>
      <c r="M29" s="162">
        <v>2.2499999999999999E-2</v>
      </c>
      <c r="N29" s="162">
        <v>0.03</v>
      </c>
      <c r="O29" s="162">
        <v>0.04</v>
      </c>
      <c r="P29" s="162">
        <v>0.04</v>
      </c>
      <c r="Q29" s="162">
        <v>0.04</v>
      </c>
      <c r="R29" s="162">
        <v>0.04</v>
      </c>
      <c r="S29" s="212">
        <v>0.04</v>
      </c>
      <c r="X29" s="96" t="s">
        <v>272</v>
      </c>
      <c r="Z29" s="51" t="s">
        <v>73</v>
      </c>
    </row>
    <row r="30" spans="2:26">
      <c r="Z30" s="51" t="s">
        <v>226</v>
      </c>
    </row>
    <row r="31" spans="2:26">
      <c r="Z31" s="51" t="s">
        <v>268</v>
      </c>
    </row>
    <row r="32" spans="2:26" s="96" customFormat="1">
      <c r="Z32" s="51" t="s">
        <v>567</v>
      </c>
    </row>
    <row r="33" spans="2:26" s="96" customFormat="1">
      <c r="Z33" s="51"/>
    </row>
    <row r="34" spans="2:26" s="7" customFormat="1">
      <c r="B34" s="90" t="s">
        <v>410</v>
      </c>
      <c r="W34" s="100"/>
      <c r="Z34" s="90"/>
    </row>
    <row r="36" spans="2:26">
      <c r="B36" s="1" t="s">
        <v>79</v>
      </c>
      <c r="Z36" s="95"/>
    </row>
    <row r="37" spans="2:26">
      <c r="B37" s="51" t="s">
        <v>408</v>
      </c>
      <c r="F37" s="2" t="s">
        <v>65</v>
      </c>
      <c r="Q37" s="121">
        <v>4.2999999999999997E-2</v>
      </c>
      <c r="R37" s="121">
        <v>0.04</v>
      </c>
      <c r="S37" s="121">
        <v>3.7999999999999999E-2</v>
      </c>
      <c r="T37" s="121">
        <v>3.5000000000000003E-2</v>
      </c>
      <c r="U37" s="121">
        <v>3.3000000000000002E-2</v>
      </c>
      <c r="V37" s="121">
        <v>0.03</v>
      </c>
      <c r="X37" s="97" t="s">
        <v>481</v>
      </c>
      <c r="Z37" s="97" t="s">
        <v>81</v>
      </c>
    </row>
    <row r="38" spans="2:26">
      <c r="X38" s="97"/>
      <c r="Z38" s="95"/>
    </row>
    <row r="39" spans="2:26" s="7" customFormat="1">
      <c r="B39" s="90" t="s">
        <v>411</v>
      </c>
      <c r="W39" s="100"/>
      <c r="X39" s="202"/>
      <c r="Z39" s="90"/>
    </row>
    <row r="40" spans="2:26">
      <c r="X40" s="97"/>
    </row>
    <row r="41" spans="2:26">
      <c r="B41" s="1" t="s">
        <v>82</v>
      </c>
      <c r="X41" s="97"/>
      <c r="Z41" s="95"/>
    </row>
    <row r="42" spans="2:26">
      <c r="B42" s="2" t="s">
        <v>477</v>
      </c>
      <c r="F42" s="2" t="s">
        <v>65</v>
      </c>
      <c r="H42" s="121">
        <v>1.0999999999999999E-2</v>
      </c>
      <c r="X42" s="97" t="s">
        <v>476</v>
      </c>
    </row>
    <row r="43" spans="2:26">
      <c r="B43" s="2" t="s">
        <v>478</v>
      </c>
      <c r="F43" s="2" t="s">
        <v>65</v>
      </c>
      <c r="H43" s="121">
        <v>8.0000000000000002E-3</v>
      </c>
      <c r="X43" s="97" t="s">
        <v>482</v>
      </c>
    </row>
    <row r="44" spans="2:26">
      <c r="X44" s="97"/>
    </row>
    <row r="45" spans="2:26">
      <c r="B45" s="1" t="s">
        <v>83</v>
      </c>
      <c r="X45" s="97"/>
      <c r="Z45" s="95"/>
    </row>
    <row r="46" spans="2:26">
      <c r="B46" s="51" t="s">
        <v>479</v>
      </c>
      <c r="H46" s="52">
        <v>0.92</v>
      </c>
      <c r="X46" s="97" t="s">
        <v>483</v>
      </c>
      <c r="Z46" s="95"/>
    </row>
    <row r="47" spans="2:26">
      <c r="X47" s="97"/>
    </row>
    <row r="48" spans="2:26">
      <c r="B48" s="1" t="s">
        <v>228</v>
      </c>
      <c r="X48" s="97"/>
      <c r="Z48" s="95"/>
    </row>
    <row r="49" spans="2:26">
      <c r="B49" s="51" t="s">
        <v>480</v>
      </c>
      <c r="H49" s="52">
        <v>0.02</v>
      </c>
      <c r="X49" s="97" t="s">
        <v>524</v>
      </c>
      <c r="Z49" s="95"/>
    </row>
    <row r="50" spans="2:26">
      <c r="X50" s="97"/>
    </row>
    <row r="51" spans="2:26" s="7" customFormat="1">
      <c r="B51" s="90" t="s">
        <v>85</v>
      </c>
      <c r="W51" s="100"/>
      <c r="X51" s="202"/>
      <c r="Z51" s="90"/>
    </row>
    <row r="52" spans="2:26">
      <c r="X52" s="97"/>
    </row>
    <row r="53" spans="2:26">
      <c r="B53" s="1" t="s">
        <v>230</v>
      </c>
      <c r="X53" s="97"/>
      <c r="Z53" s="95"/>
    </row>
    <row r="54" spans="2:26">
      <c r="B54" s="51" t="s">
        <v>121</v>
      </c>
      <c r="F54" s="2" t="s">
        <v>65</v>
      </c>
      <c r="H54" s="122">
        <v>0.5</v>
      </c>
      <c r="X54" s="67" t="s">
        <v>484</v>
      </c>
      <c r="Z54" s="95"/>
    </row>
    <row r="55" spans="2:26">
      <c r="B55" s="2" t="s">
        <v>122</v>
      </c>
      <c r="F55" s="2" t="s">
        <v>65</v>
      </c>
      <c r="H55" s="122">
        <v>0.5</v>
      </c>
      <c r="X55" s="67" t="s">
        <v>485</v>
      </c>
    </row>
    <row r="56" spans="2:26">
      <c r="X56" s="97"/>
    </row>
    <row r="57" spans="2:26">
      <c r="B57" s="1" t="s">
        <v>231</v>
      </c>
      <c r="X57" s="97"/>
      <c r="Z57" s="95"/>
    </row>
    <row r="58" spans="2:26">
      <c r="B58" s="2" t="s">
        <v>232</v>
      </c>
      <c r="F58" s="2" t="s">
        <v>65</v>
      </c>
      <c r="H58" s="122">
        <v>0.5</v>
      </c>
      <c r="X58" s="67" t="s">
        <v>486</v>
      </c>
    </row>
    <row r="59" spans="2:26" ht="12.75" customHeight="1">
      <c r="B59" s="2" t="s">
        <v>233</v>
      </c>
      <c r="F59" s="2" t="s">
        <v>65</v>
      </c>
      <c r="H59" s="122">
        <f>18/52</f>
        <v>0.34615384615384615</v>
      </c>
      <c r="X59" s="67" t="s">
        <v>487</v>
      </c>
    </row>
    <row r="60" spans="2:26">
      <c r="X60" s="97"/>
    </row>
    <row r="61" spans="2:26">
      <c r="B61" s="95" t="s">
        <v>393</v>
      </c>
      <c r="X61" s="97"/>
    </row>
    <row r="62" spans="2:26">
      <c r="B62" s="2" t="s">
        <v>498</v>
      </c>
      <c r="F62" s="2" t="s">
        <v>92</v>
      </c>
      <c r="H62" s="157">
        <v>3</v>
      </c>
      <c r="X62" s="97" t="s">
        <v>499</v>
      </c>
    </row>
  </sheetData>
  <mergeCells count="1">
    <mergeCell ref="B4:E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A1:Z62"/>
  <sheetViews>
    <sheetView showGridLines="0" zoomScale="85" zoomScaleNormal="85" workbookViewId="0">
      <pane xSplit="6" ySplit="8" topLeftCell="G9" activePane="bottomRight" state="frozen"/>
      <selection pane="topRight"/>
      <selection pane="bottomLeft"/>
      <selection pane="bottomRight"/>
    </sheetView>
  </sheetViews>
  <sheetFormatPr defaultRowHeight="12.75" outlineLevelCol="1"/>
  <cols>
    <col min="1" max="1" width="4" style="2" customWidth="1"/>
    <col min="2" max="2" width="72.85546875" style="2" bestFit="1"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96" hidden="1" customWidth="1" outlineLevel="1"/>
    <col min="14" max="14" width="13" style="2" bestFit="1" customWidth="1" collapsed="1"/>
    <col min="15" max="16" width="13" style="2" bestFit="1" customWidth="1"/>
    <col min="17" max="17" width="14.7109375" style="2" bestFit="1" customWidth="1"/>
    <col min="18" max="18" width="12.42578125" style="2" customWidth="1"/>
    <col min="19" max="20" width="12.5703125" style="2" customWidth="1"/>
    <col min="21" max="22" width="12.5703125" style="96" customWidth="1"/>
    <col min="23" max="23" width="2.7109375" style="2" customWidth="1"/>
    <col min="24" max="24" width="51.5703125" style="2" bestFit="1" customWidth="1"/>
    <col min="25" max="25" width="2.7109375" style="2" customWidth="1"/>
    <col min="26" max="26" width="13.7109375" style="2" customWidth="1"/>
    <col min="27" max="27" width="2.7109375" style="2" customWidth="1"/>
    <col min="28" max="42" width="13.7109375" style="2" customWidth="1"/>
    <col min="43" max="16384" width="9.140625" style="2"/>
  </cols>
  <sheetData>
    <row r="1" spans="1:26">
      <c r="A1" s="204"/>
    </row>
    <row r="2" spans="1:26" s="28" customFormat="1" ht="18">
      <c r="B2" s="28" t="s">
        <v>392</v>
      </c>
    </row>
    <row r="4" spans="1:26">
      <c r="B4" s="1" t="s">
        <v>30</v>
      </c>
      <c r="C4" s="1"/>
      <c r="D4" s="1"/>
    </row>
    <row r="5" spans="1:26" ht="24.75" customHeight="1">
      <c r="B5" s="248" t="s">
        <v>511</v>
      </c>
      <c r="C5" s="248"/>
      <c r="D5" s="248"/>
      <c r="E5" s="248"/>
      <c r="H5" s="29"/>
    </row>
    <row r="7" spans="1:26" s="7" customFormat="1">
      <c r="B7" s="7" t="s">
        <v>47</v>
      </c>
      <c r="F7" s="7" t="s">
        <v>28</v>
      </c>
      <c r="H7" s="7" t="s">
        <v>29</v>
      </c>
      <c r="J7" s="7" t="s">
        <v>51</v>
      </c>
      <c r="L7" s="86">
        <v>2011</v>
      </c>
      <c r="M7" s="86">
        <v>2012</v>
      </c>
      <c r="N7" s="86">
        <v>2013</v>
      </c>
      <c r="O7" s="86">
        <v>2014</v>
      </c>
      <c r="P7" s="86">
        <v>2015</v>
      </c>
      <c r="Q7" s="86">
        <v>2016</v>
      </c>
      <c r="R7" s="86">
        <v>2017</v>
      </c>
      <c r="S7" s="86">
        <v>2018</v>
      </c>
      <c r="T7" s="86">
        <v>2019</v>
      </c>
      <c r="U7" s="86">
        <v>2020</v>
      </c>
      <c r="V7" s="86">
        <v>2021</v>
      </c>
      <c r="X7" s="7" t="s">
        <v>48</v>
      </c>
      <c r="Z7" s="7" t="s">
        <v>49</v>
      </c>
    </row>
    <row r="10" spans="1:26" s="7" customFormat="1">
      <c r="B10" s="7" t="s">
        <v>147</v>
      </c>
      <c r="L10" s="100"/>
      <c r="M10" s="100"/>
      <c r="U10" s="100"/>
      <c r="V10" s="100"/>
      <c r="X10" s="202"/>
    </row>
    <row r="11" spans="1:26">
      <c r="X11" s="97"/>
    </row>
    <row r="12" spans="1:26">
      <c r="B12" s="1" t="s">
        <v>66</v>
      </c>
      <c r="X12" s="97"/>
    </row>
    <row r="13" spans="1:26">
      <c r="B13" s="2" t="s">
        <v>149</v>
      </c>
      <c r="F13" s="2" t="s">
        <v>310</v>
      </c>
      <c r="N13" s="44"/>
      <c r="O13" s="44"/>
      <c r="Q13" s="110">
        <v>99781809.929004103</v>
      </c>
      <c r="X13" s="97" t="s">
        <v>525</v>
      </c>
    </row>
    <row r="14" spans="1:26">
      <c r="B14" s="2" t="s">
        <v>150</v>
      </c>
      <c r="F14" s="96" t="s">
        <v>310</v>
      </c>
      <c r="N14" s="8"/>
      <c r="Q14" s="110">
        <v>38077861.317479417</v>
      </c>
      <c r="X14" s="97" t="s">
        <v>526</v>
      </c>
    </row>
    <row r="15" spans="1:26">
      <c r="B15" s="2" t="s">
        <v>151</v>
      </c>
      <c r="F15" s="96" t="s">
        <v>310</v>
      </c>
      <c r="N15" s="8"/>
      <c r="Q15" s="110">
        <v>263579712.52904683</v>
      </c>
      <c r="X15" s="97" t="s">
        <v>527</v>
      </c>
    </row>
    <row r="16" spans="1:26">
      <c r="B16" s="2" t="s">
        <v>152</v>
      </c>
      <c r="F16" s="96" t="s">
        <v>310</v>
      </c>
      <c r="N16" s="8"/>
      <c r="Q16" s="110">
        <v>32839100.114819307</v>
      </c>
      <c r="X16" s="97" t="s">
        <v>528</v>
      </c>
    </row>
    <row r="17" spans="2:26">
      <c r="B17" s="2" t="s">
        <v>148</v>
      </c>
      <c r="F17" s="96" t="s">
        <v>310</v>
      </c>
      <c r="N17" s="8"/>
      <c r="Q17" s="110">
        <v>434278483.89034963</v>
      </c>
      <c r="X17" s="97" t="s">
        <v>529</v>
      </c>
    </row>
    <row r="18" spans="2:26" s="96" customFormat="1">
      <c r="X18" s="97"/>
    </row>
    <row r="19" spans="2:26" s="7" customFormat="1">
      <c r="B19" s="7" t="s">
        <v>196</v>
      </c>
      <c r="L19" s="100"/>
      <c r="M19" s="100"/>
      <c r="U19" s="100"/>
      <c r="V19" s="100"/>
      <c r="X19" s="202"/>
    </row>
    <row r="20" spans="2:26">
      <c r="B20" s="1"/>
      <c r="X20" s="97"/>
    </row>
    <row r="21" spans="2:26">
      <c r="B21" s="2" t="s">
        <v>213</v>
      </c>
      <c r="F21" s="2" t="s">
        <v>310</v>
      </c>
      <c r="T21" s="110">
        <v>198628.95707692302</v>
      </c>
      <c r="X21" s="97" t="s">
        <v>530</v>
      </c>
    </row>
    <row r="22" spans="2:26">
      <c r="X22" s="97"/>
    </row>
    <row r="23" spans="2:26" s="7" customFormat="1">
      <c r="B23" s="7" t="s">
        <v>142</v>
      </c>
      <c r="L23" s="100"/>
      <c r="M23" s="100"/>
      <c r="U23" s="100"/>
      <c r="V23" s="100"/>
      <c r="X23" s="202"/>
    </row>
    <row r="24" spans="2:26">
      <c r="X24" s="97"/>
    </row>
    <row r="25" spans="2:26">
      <c r="B25" s="1" t="s">
        <v>155</v>
      </c>
      <c r="X25" s="97"/>
    </row>
    <row r="26" spans="2:26">
      <c r="B26" s="2" t="s">
        <v>169</v>
      </c>
      <c r="F26" s="2" t="s">
        <v>310</v>
      </c>
      <c r="H26" s="55"/>
      <c r="I26" s="55"/>
      <c r="J26" s="55"/>
      <c r="K26" s="55"/>
      <c r="L26" s="55"/>
      <c r="M26" s="55"/>
      <c r="N26" s="55"/>
      <c r="O26" s="55"/>
      <c r="P26" s="55"/>
      <c r="Q26" s="55"/>
      <c r="R26" s="55"/>
      <c r="S26" s="110">
        <v>64931882.049999997</v>
      </c>
      <c r="X26" s="97" t="s">
        <v>536</v>
      </c>
      <c r="Z26" s="179" t="s">
        <v>448</v>
      </c>
    </row>
    <row r="27" spans="2:26">
      <c r="X27" s="97"/>
    </row>
    <row r="28" spans="2:26">
      <c r="B28" s="1" t="s">
        <v>143</v>
      </c>
      <c r="X28" s="97"/>
    </row>
    <row r="29" spans="2:26">
      <c r="B29" s="2" t="s">
        <v>156</v>
      </c>
      <c r="F29" s="2" t="s">
        <v>310</v>
      </c>
      <c r="N29" s="55"/>
      <c r="O29" s="55"/>
      <c r="P29" s="55"/>
      <c r="Q29" s="55"/>
      <c r="R29" s="244"/>
      <c r="X29" s="97" t="s">
        <v>531</v>
      </c>
      <c r="Z29" s="242" t="s">
        <v>588</v>
      </c>
    </row>
    <row r="30" spans="2:26">
      <c r="B30" s="2" t="s">
        <v>157</v>
      </c>
      <c r="F30" s="96" t="s">
        <v>310</v>
      </c>
      <c r="N30" s="55"/>
      <c r="O30" s="55"/>
      <c r="P30" s="55"/>
      <c r="Q30" s="55"/>
      <c r="R30" s="244"/>
      <c r="X30" s="97" t="s">
        <v>532</v>
      </c>
      <c r="Z30" s="242" t="s">
        <v>588</v>
      </c>
    </row>
    <row r="31" spans="2:26">
      <c r="B31" s="2" t="s">
        <v>163</v>
      </c>
      <c r="F31" s="96" t="s">
        <v>310</v>
      </c>
      <c r="N31" s="55"/>
      <c r="O31" s="55"/>
      <c r="P31" s="55"/>
      <c r="Q31" s="55"/>
      <c r="R31" s="244"/>
      <c r="X31" s="97" t="s">
        <v>533</v>
      </c>
      <c r="Z31" s="242" t="s">
        <v>588</v>
      </c>
    </row>
    <row r="32" spans="2:26">
      <c r="B32" s="2" t="s">
        <v>158</v>
      </c>
      <c r="F32" s="96" t="s">
        <v>310</v>
      </c>
      <c r="N32" s="55"/>
      <c r="O32" s="55"/>
      <c r="P32" s="55"/>
      <c r="Q32" s="55"/>
      <c r="R32" s="244"/>
      <c r="X32" s="97" t="s">
        <v>534</v>
      </c>
      <c r="Z32" s="242" t="s">
        <v>588</v>
      </c>
    </row>
    <row r="33" spans="2:26">
      <c r="P33" s="55"/>
      <c r="Q33" s="55"/>
      <c r="X33" s="97"/>
    </row>
    <row r="34" spans="2:26">
      <c r="B34" s="1" t="s">
        <v>144</v>
      </c>
      <c r="P34" s="55"/>
      <c r="Q34" s="55"/>
      <c r="X34" s="97"/>
    </row>
    <row r="35" spans="2:26">
      <c r="B35" s="2" t="s">
        <v>220</v>
      </c>
      <c r="F35" s="2" t="s">
        <v>310</v>
      </c>
      <c r="N35" s="55"/>
      <c r="O35" s="55"/>
      <c r="P35" s="55"/>
      <c r="Q35" s="55"/>
      <c r="R35" s="210">
        <v>64609693</v>
      </c>
      <c r="S35" s="55"/>
      <c r="T35" s="55"/>
      <c r="U35" s="55"/>
      <c r="V35" s="55"/>
      <c r="X35" s="97" t="s">
        <v>538</v>
      </c>
      <c r="Z35" s="201"/>
    </row>
    <row r="36" spans="2:26">
      <c r="B36" s="2" t="s">
        <v>160</v>
      </c>
      <c r="F36" s="96" t="s">
        <v>310</v>
      </c>
      <c r="N36" s="55"/>
      <c r="O36" s="55"/>
      <c r="P36" s="55"/>
      <c r="Q36" s="55"/>
      <c r="R36" s="210">
        <v>14673449</v>
      </c>
      <c r="X36" s="97" t="s">
        <v>537</v>
      </c>
      <c r="Z36" s="201"/>
    </row>
    <row r="37" spans="2:26">
      <c r="B37" s="2" t="s">
        <v>161</v>
      </c>
      <c r="F37" s="96" t="s">
        <v>310</v>
      </c>
      <c r="N37" s="55"/>
      <c r="O37" s="55"/>
      <c r="P37" s="55"/>
      <c r="Q37" s="55"/>
      <c r="R37" s="210">
        <v>22307533.757362377</v>
      </c>
      <c r="S37" s="55"/>
      <c r="T37" s="55"/>
      <c r="U37" s="55"/>
      <c r="V37" s="55"/>
      <c r="X37" s="97" t="s">
        <v>535</v>
      </c>
      <c r="Z37" s="201"/>
    </row>
    <row r="38" spans="2:26">
      <c r="X38" s="97"/>
    </row>
    <row r="39" spans="2:26" s="7" customFormat="1">
      <c r="B39" s="7" t="s">
        <v>198</v>
      </c>
      <c r="L39" s="100"/>
      <c r="M39" s="100"/>
      <c r="U39" s="100"/>
      <c r="V39" s="100"/>
      <c r="X39" s="202"/>
    </row>
    <row r="40" spans="2:26">
      <c r="X40" s="97"/>
    </row>
    <row r="41" spans="2:26">
      <c r="B41" s="1" t="s">
        <v>206</v>
      </c>
      <c r="K41" s="8"/>
      <c r="L41" s="8"/>
      <c r="M41" s="8"/>
      <c r="X41" s="97"/>
    </row>
    <row r="42" spans="2:26">
      <c r="B42" s="2" t="s">
        <v>464</v>
      </c>
      <c r="F42" s="187" t="s">
        <v>310</v>
      </c>
      <c r="J42" s="39"/>
      <c r="K42" s="8"/>
      <c r="L42" s="8"/>
      <c r="M42" s="8"/>
      <c r="T42" s="110">
        <v>1787.4533542496376</v>
      </c>
      <c r="X42" s="97" t="s">
        <v>553</v>
      </c>
      <c r="Z42" s="187" t="s">
        <v>467</v>
      </c>
    </row>
    <row r="43" spans="2:26">
      <c r="B43" s="2" t="s">
        <v>207</v>
      </c>
      <c r="F43" s="2" t="s">
        <v>310</v>
      </c>
      <c r="J43" s="39"/>
      <c r="K43" s="8"/>
      <c r="L43" s="8"/>
      <c r="M43" s="8"/>
      <c r="T43" s="110">
        <v>-3654702.0591935478</v>
      </c>
      <c r="X43" s="97" t="s">
        <v>553</v>
      </c>
      <c r="Z43" s="2" t="s">
        <v>426</v>
      </c>
    </row>
    <row r="44" spans="2:26">
      <c r="B44" s="2" t="s">
        <v>208</v>
      </c>
      <c r="F44" s="96" t="s">
        <v>310</v>
      </c>
      <c r="J44" s="39"/>
      <c r="K44" s="8"/>
      <c r="L44" s="8"/>
      <c r="M44" s="8"/>
      <c r="T44" s="231">
        <v>-134077.87684379047</v>
      </c>
      <c r="X44" s="97" t="s">
        <v>553</v>
      </c>
      <c r="Z44" s="96" t="s">
        <v>426</v>
      </c>
    </row>
    <row r="45" spans="2:26" s="187" customFormat="1">
      <c r="J45" s="39"/>
      <c r="K45" s="8"/>
      <c r="L45" s="8"/>
      <c r="M45" s="8"/>
      <c r="X45" s="97"/>
    </row>
    <row r="46" spans="2:26" s="7" customFormat="1">
      <c r="B46" s="7" t="s">
        <v>197</v>
      </c>
      <c r="L46" s="100"/>
      <c r="M46" s="100"/>
      <c r="U46" s="100"/>
      <c r="V46" s="100"/>
      <c r="X46" s="202"/>
    </row>
    <row r="47" spans="2:26">
      <c r="X47" s="97"/>
    </row>
    <row r="48" spans="2:26">
      <c r="B48" s="1" t="s">
        <v>201</v>
      </c>
      <c r="X48" s="97"/>
    </row>
    <row r="49" spans="2:26">
      <c r="B49" s="2" t="s">
        <v>210</v>
      </c>
      <c r="F49" s="2" t="s">
        <v>310</v>
      </c>
      <c r="N49" s="55"/>
      <c r="O49" s="55"/>
      <c r="P49" s="55"/>
      <c r="Q49" s="55"/>
      <c r="R49" s="110">
        <v>17145097.065349441</v>
      </c>
      <c r="S49" s="55"/>
      <c r="T49" s="55"/>
      <c r="U49" s="55"/>
      <c r="V49" s="55"/>
      <c r="X49" s="97" t="s">
        <v>545</v>
      </c>
      <c r="Z49" s="180" t="s">
        <v>449</v>
      </c>
    </row>
    <row r="50" spans="2:26">
      <c r="B50" s="2" t="s">
        <v>265</v>
      </c>
      <c r="F50" s="96" t="s">
        <v>310</v>
      </c>
      <c r="N50" s="110">
        <v>12414582.98</v>
      </c>
      <c r="O50" s="110">
        <v>14319292.699999999</v>
      </c>
      <c r="P50" s="110">
        <v>16907979.559999999</v>
      </c>
      <c r="Q50" s="55"/>
      <c r="R50" s="110">
        <v>20971068.52</v>
      </c>
      <c r="S50" s="55"/>
      <c r="T50" s="55"/>
      <c r="U50" s="55"/>
      <c r="V50" s="55"/>
      <c r="X50" s="97" t="s">
        <v>549</v>
      </c>
      <c r="Z50" s="98"/>
    </row>
    <row r="51" spans="2:26">
      <c r="Q51" s="55"/>
      <c r="R51" s="55"/>
      <c r="S51" s="55"/>
      <c r="T51" s="55"/>
      <c r="U51" s="55"/>
      <c r="V51" s="55"/>
      <c r="X51" s="97"/>
    </row>
    <row r="52" spans="2:26">
      <c r="B52" s="1" t="s">
        <v>145</v>
      </c>
      <c r="Q52" s="55"/>
      <c r="R52" s="55"/>
      <c r="S52" s="55"/>
      <c r="T52" s="55"/>
      <c r="U52" s="55"/>
      <c r="V52" s="55"/>
      <c r="X52" s="97"/>
    </row>
    <row r="53" spans="2:26">
      <c r="B53" s="34" t="s">
        <v>190</v>
      </c>
      <c r="F53" s="2" t="s">
        <v>310</v>
      </c>
      <c r="N53" s="55"/>
      <c r="O53" s="55"/>
      <c r="P53" s="55"/>
      <c r="Q53" s="55"/>
      <c r="R53" s="110">
        <v>-19641671.197844427</v>
      </c>
      <c r="S53" s="55"/>
      <c r="T53" s="55"/>
      <c r="U53" s="55"/>
      <c r="V53" s="55"/>
      <c r="X53" s="97" t="s">
        <v>546</v>
      </c>
      <c r="Z53" s="181" t="s">
        <v>450</v>
      </c>
    </row>
    <row r="54" spans="2:26">
      <c r="B54" s="2" t="s">
        <v>266</v>
      </c>
      <c r="F54" s="96" t="s">
        <v>310</v>
      </c>
      <c r="N54" s="110">
        <v>1383422.6300000008</v>
      </c>
      <c r="O54" s="110">
        <v>-1211200</v>
      </c>
      <c r="P54" s="110">
        <v>-14164357.859999999</v>
      </c>
      <c r="Q54" s="55"/>
      <c r="R54" s="110">
        <v>-6171843.6545918947</v>
      </c>
      <c r="S54" s="55"/>
      <c r="T54" s="55"/>
      <c r="U54" s="55"/>
      <c r="V54" s="55"/>
      <c r="X54" s="97" t="s">
        <v>548</v>
      </c>
      <c r="Z54" s="98"/>
    </row>
    <row r="55" spans="2:26">
      <c r="R55" s="55"/>
      <c r="X55" s="97"/>
    </row>
    <row r="56" spans="2:26" s="7" customFormat="1">
      <c r="B56" s="7" t="s">
        <v>141</v>
      </c>
      <c r="L56" s="100"/>
      <c r="M56" s="100"/>
      <c r="U56" s="100"/>
      <c r="V56" s="100"/>
      <c r="X56" s="202"/>
    </row>
    <row r="57" spans="2:26">
      <c r="X57" s="97"/>
    </row>
    <row r="58" spans="2:26">
      <c r="B58" s="2" t="s">
        <v>501</v>
      </c>
      <c r="F58" s="2" t="s">
        <v>310</v>
      </c>
      <c r="R58" s="110">
        <v>26550703</v>
      </c>
      <c r="S58" s="110">
        <v>26550703</v>
      </c>
      <c r="T58" s="110">
        <v>26550703</v>
      </c>
      <c r="U58" s="110">
        <v>26550703</v>
      </c>
      <c r="V58" s="39"/>
      <c r="X58" s="97" t="s">
        <v>547</v>
      </c>
    </row>
    <row r="59" spans="2:26">
      <c r="H59" s="8"/>
      <c r="J59" s="8"/>
      <c r="X59" s="97"/>
    </row>
    <row r="60" spans="2:26">
      <c r="B60" s="2" t="s">
        <v>502</v>
      </c>
      <c r="F60" s="2" t="s">
        <v>310</v>
      </c>
      <c r="V60" s="110">
        <v>75000000</v>
      </c>
      <c r="X60" s="97" t="s">
        <v>500</v>
      </c>
      <c r="Z60" s="209" t="s">
        <v>503</v>
      </c>
    </row>
    <row r="61" spans="2:26">
      <c r="J61" s="8"/>
      <c r="K61" s="8"/>
      <c r="L61" s="8"/>
      <c r="M61" s="8"/>
      <c r="N61" s="8"/>
      <c r="O61" s="8"/>
      <c r="P61" s="8"/>
      <c r="Q61" s="8"/>
      <c r="T61" s="8"/>
      <c r="U61" s="8"/>
      <c r="V61" s="8"/>
      <c r="W61" s="8"/>
      <c r="X61" s="40"/>
    </row>
    <row r="62" spans="2:26">
      <c r="B62" s="2" t="s">
        <v>146</v>
      </c>
      <c r="F62" s="2" t="s">
        <v>310</v>
      </c>
      <c r="H62" s="39"/>
      <c r="J62" s="39"/>
      <c r="K62" s="8"/>
      <c r="L62" s="8"/>
      <c r="M62" s="8"/>
      <c r="N62" s="203">
        <v>153199000</v>
      </c>
      <c r="O62" s="203">
        <v>133814454.8</v>
      </c>
      <c r="P62" s="203">
        <v>154182000</v>
      </c>
      <c r="Q62" s="203">
        <v>67581000</v>
      </c>
      <c r="R62" s="213">
        <v>51165706.090000004</v>
      </c>
      <c r="S62" s="8"/>
      <c r="T62" s="8"/>
      <c r="U62" s="8"/>
      <c r="V62" s="8"/>
      <c r="W62" s="8"/>
      <c r="X62" s="97" t="s">
        <v>554</v>
      </c>
      <c r="Z62" s="97" t="s">
        <v>520</v>
      </c>
    </row>
  </sheetData>
  <mergeCells count="1">
    <mergeCell ref="B5:E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T29"/>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cols>
    <col min="1" max="1" width="4" style="2" customWidth="1"/>
    <col min="2" max="2" width="62.4257812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18" width="29" style="2" bestFit="1" customWidth="1"/>
    <col min="19" max="19" width="2.7109375" style="2" customWidth="1"/>
    <col min="20" max="32" width="13.7109375" style="2" customWidth="1"/>
    <col min="33" max="16384" width="9.140625" style="2"/>
  </cols>
  <sheetData>
    <row r="2" spans="2:20" s="28" customFormat="1" ht="18">
      <c r="B2" s="85" t="s">
        <v>550</v>
      </c>
    </row>
    <row r="3" spans="2:20">
      <c r="B3" s="29"/>
    </row>
    <row r="4" spans="2:20" s="96" customFormat="1">
      <c r="B4" s="247" t="s">
        <v>551</v>
      </c>
      <c r="C4" s="247"/>
      <c r="D4" s="247"/>
      <c r="E4" s="247"/>
    </row>
    <row r="5" spans="2:20" s="96" customFormat="1">
      <c r="B5" s="247"/>
      <c r="C5" s="247"/>
      <c r="D5" s="247"/>
      <c r="E5" s="247"/>
    </row>
    <row r="6" spans="2:20" s="96" customFormat="1">
      <c r="B6" s="247"/>
      <c r="C6" s="247"/>
      <c r="D6" s="247"/>
      <c r="E6" s="247"/>
    </row>
    <row r="7" spans="2:20" s="96" customFormat="1">
      <c r="B7" s="247"/>
      <c r="C7" s="247"/>
      <c r="D7" s="247"/>
      <c r="E7" s="247"/>
    </row>
    <row r="8" spans="2:20" s="96" customFormat="1">
      <c r="B8" s="247"/>
      <c r="C8" s="247"/>
      <c r="D8" s="247"/>
      <c r="E8" s="247"/>
    </row>
    <row r="9" spans="2:20" s="7" customFormat="1" ht="38.25">
      <c r="B9" s="7" t="s">
        <v>47</v>
      </c>
      <c r="F9" s="7" t="s">
        <v>28</v>
      </c>
      <c r="H9" s="7" t="s">
        <v>29</v>
      </c>
      <c r="J9" s="7" t="s">
        <v>51</v>
      </c>
      <c r="L9" s="53" t="s">
        <v>86</v>
      </c>
      <c r="M9" s="42" t="s">
        <v>407</v>
      </c>
      <c r="N9" s="42" t="s">
        <v>88</v>
      </c>
      <c r="O9" s="42" t="s">
        <v>406</v>
      </c>
      <c r="P9" s="42" t="s">
        <v>243</v>
      </c>
      <c r="R9" s="7" t="s">
        <v>48</v>
      </c>
      <c r="T9" s="7" t="s">
        <v>49</v>
      </c>
    </row>
    <row r="12" spans="2:20" s="7" customFormat="1">
      <c r="B12" s="7" t="s">
        <v>314</v>
      </c>
    </row>
    <row r="14" spans="2:20">
      <c r="B14" s="1" t="s">
        <v>90</v>
      </c>
    </row>
    <row r="15" spans="2:20">
      <c r="B15" s="34" t="s">
        <v>91</v>
      </c>
      <c r="F15" s="2" t="s">
        <v>136</v>
      </c>
      <c r="L15" s="52">
        <v>12478.96</v>
      </c>
      <c r="M15" s="52">
        <v>5.64</v>
      </c>
      <c r="N15" s="52">
        <v>0.65</v>
      </c>
      <c r="O15" s="52">
        <v>2.82</v>
      </c>
      <c r="P15" s="52">
        <v>0.23</v>
      </c>
      <c r="R15" s="97" t="s">
        <v>540</v>
      </c>
      <c r="T15" s="29"/>
    </row>
    <row r="16" spans="2:20" s="185" customFormat="1">
      <c r="B16" s="97" t="s">
        <v>454</v>
      </c>
      <c r="F16" s="185" t="s">
        <v>92</v>
      </c>
      <c r="L16" s="206">
        <v>22</v>
      </c>
      <c r="M16" s="157">
        <v>1337596</v>
      </c>
      <c r="N16" s="157">
        <v>13264388</v>
      </c>
      <c r="O16" s="157">
        <v>181630</v>
      </c>
      <c r="P16" s="157">
        <v>2052004</v>
      </c>
      <c r="R16" s="97" t="s">
        <v>539</v>
      </c>
      <c r="T16" s="183"/>
    </row>
    <row r="17" spans="2:20">
      <c r="B17" s="34"/>
      <c r="R17" s="97"/>
    </row>
    <row r="18" spans="2:20" s="96" customFormat="1">
      <c r="B18" s="97" t="s">
        <v>293</v>
      </c>
      <c r="F18" s="96" t="s">
        <v>136</v>
      </c>
      <c r="H18" s="110">
        <v>511637.36</v>
      </c>
      <c r="R18" s="97" t="s">
        <v>541</v>
      </c>
    </row>
    <row r="19" spans="2:20" s="96" customFormat="1">
      <c r="B19" s="97" t="s">
        <v>294</v>
      </c>
      <c r="F19" s="96" t="s">
        <v>136</v>
      </c>
      <c r="H19" s="110">
        <v>15754319.796090702</v>
      </c>
      <c r="R19" s="97" t="s">
        <v>542</v>
      </c>
      <c r="T19" s="182" t="s">
        <v>451</v>
      </c>
    </row>
    <row r="20" spans="2:20" s="96" customFormat="1">
      <c r="B20" s="97"/>
      <c r="H20" s="45"/>
      <c r="R20" s="97"/>
    </row>
    <row r="21" spans="2:20">
      <c r="B21" s="1" t="s">
        <v>93</v>
      </c>
      <c r="R21" s="97"/>
    </row>
    <row r="22" spans="2:20">
      <c r="B22" s="34" t="s">
        <v>91</v>
      </c>
      <c r="F22" s="2" t="s">
        <v>136</v>
      </c>
      <c r="L22" s="52">
        <v>2760</v>
      </c>
      <c r="M22" s="52">
        <v>16.84</v>
      </c>
      <c r="N22" s="52">
        <v>1.63</v>
      </c>
      <c r="O22" s="52">
        <v>8.42</v>
      </c>
      <c r="P22" s="52">
        <v>0.56000000000000005</v>
      </c>
      <c r="R22" s="97" t="s">
        <v>540</v>
      </c>
    </row>
    <row r="23" spans="2:20" s="185" customFormat="1">
      <c r="B23" s="97" t="s">
        <v>454</v>
      </c>
      <c r="F23" s="185" t="s">
        <v>92</v>
      </c>
      <c r="L23" s="206">
        <v>89</v>
      </c>
      <c r="M23" s="157">
        <v>14504678</v>
      </c>
      <c r="N23" s="157">
        <v>152867809</v>
      </c>
      <c r="O23" s="157">
        <v>392827</v>
      </c>
      <c r="P23" s="157">
        <v>2496528</v>
      </c>
      <c r="R23" s="97" t="s">
        <v>539</v>
      </c>
    </row>
    <row r="24" spans="2:20">
      <c r="B24" s="34"/>
      <c r="R24" s="97"/>
    </row>
    <row r="25" spans="2:20" s="96" customFormat="1">
      <c r="B25" s="97" t="s">
        <v>295</v>
      </c>
      <c r="F25" s="96" t="s">
        <v>136</v>
      </c>
      <c r="H25" s="110">
        <v>427339.99999999907</v>
      </c>
      <c r="R25" s="97" t="s">
        <v>543</v>
      </c>
    </row>
    <row r="26" spans="2:20">
      <c r="B26" s="40" t="s">
        <v>296</v>
      </c>
      <c r="C26" s="40"/>
      <c r="D26" s="40"/>
      <c r="E26" s="40"/>
      <c r="F26" s="96" t="s">
        <v>136</v>
      </c>
      <c r="G26" s="40"/>
      <c r="H26" s="110">
        <v>490904268.4319973</v>
      </c>
      <c r="L26" s="54"/>
      <c r="M26" s="54"/>
      <c r="N26" s="54"/>
      <c r="O26" s="54"/>
      <c r="P26" s="54"/>
      <c r="R26" s="97" t="s">
        <v>544</v>
      </c>
    </row>
    <row r="27" spans="2:20">
      <c r="B27" s="249"/>
      <c r="C27" s="249"/>
      <c r="D27" s="8"/>
      <c r="E27" s="8"/>
      <c r="F27" s="8"/>
      <c r="G27" s="8"/>
      <c r="H27" s="92"/>
      <c r="T27" s="29"/>
    </row>
    <row r="28" spans="2:20">
      <c r="B28" s="249"/>
      <c r="C28" s="249"/>
      <c r="D28" s="8"/>
      <c r="E28" s="8"/>
      <c r="F28" s="8"/>
      <c r="G28" s="8"/>
      <c r="H28" s="92"/>
    </row>
    <row r="29" spans="2:20">
      <c r="B29" s="8"/>
      <c r="C29" s="8"/>
      <c r="D29" s="8"/>
      <c r="E29" s="8"/>
      <c r="F29" s="8"/>
      <c r="G29" s="8"/>
      <c r="H29" s="8"/>
    </row>
  </sheetData>
  <mergeCells count="3">
    <mergeCell ref="B27:C27"/>
    <mergeCell ref="B28:C28"/>
    <mergeCell ref="B4:E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zoomScale="90" zoomScaleNormal="90" workbookViewId="0"/>
  </sheetViews>
  <sheetFormatPr defaultRowHeight="12.75"/>
  <cols>
    <col min="1" max="16384" width="9.140625" style="32"/>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fitToPage="1"/>
  </sheetPr>
  <dimension ref="B2:X74"/>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54"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2" width="12.5703125" style="2" customWidth="1"/>
    <col min="23" max="23" width="2.7109375" style="2" customWidth="1"/>
    <col min="24" max="24" width="18" style="2" customWidth="1"/>
    <col min="25" max="37" width="13.7109375" style="2" customWidth="1"/>
    <col min="38" max="16384" width="9.140625" style="2"/>
  </cols>
  <sheetData>
    <row r="2" spans="2:24" s="28" customFormat="1" ht="18">
      <c r="B2" s="28" t="s">
        <v>359</v>
      </c>
    </row>
    <row r="4" spans="2:24" s="96" customFormat="1" ht="12.75" customHeight="1">
      <c r="B4" s="245" t="s">
        <v>488</v>
      </c>
      <c r="C4" s="246"/>
      <c r="D4" s="246"/>
      <c r="E4" s="246"/>
    </row>
    <row r="5" spans="2:24" s="96" customFormat="1">
      <c r="B5" s="246"/>
      <c r="C5" s="246"/>
      <c r="D5" s="246"/>
      <c r="E5" s="246"/>
    </row>
    <row r="6" spans="2:24" s="96" customFormat="1">
      <c r="B6" s="246"/>
      <c r="C6" s="246"/>
      <c r="D6" s="246"/>
      <c r="E6" s="246"/>
    </row>
    <row r="7" spans="2:24" s="96" customFormat="1">
      <c r="B7" s="246"/>
      <c r="C7" s="246"/>
      <c r="D7" s="246"/>
      <c r="E7" s="246"/>
    </row>
    <row r="8" spans="2:24" s="96" customFormat="1">
      <c r="B8" s="246"/>
      <c r="C8" s="246"/>
      <c r="D8" s="246"/>
      <c r="E8" s="246"/>
    </row>
    <row r="9" spans="2:24" s="96" customFormat="1">
      <c r="B9" s="246"/>
      <c r="C9" s="246"/>
      <c r="D9" s="246"/>
      <c r="E9" s="246"/>
    </row>
    <row r="10" spans="2:24">
      <c r="B10" s="98"/>
      <c r="C10" s="34"/>
      <c r="D10" s="34"/>
      <c r="H10" s="29"/>
    </row>
    <row r="11" spans="2:24" s="7" customFormat="1">
      <c r="B11" s="7" t="s">
        <v>47</v>
      </c>
      <c r="F11" s="7" t="s">
        <v>28</v>
      </c>
      <c r="H11" s="7" t="s">
        <v>29</v>
      </c>
      <c r="J11" s="7" t="s">
        <v>51</v>
      </c>
      <c r="L11" s="86">
        <v>2011</v>
      </c>
      <c r="M11" s="86">
        <v>2012</v>
      </c>
      <c r="N11" s="86">
        <v>2013</v>
      </c>
      <c r="O11" s="86">
        <v>2014</v>
      </c>
      <c r="P11" s="86">
        <v>2015</v>
      </c>
      <c r="Q11" s="86">
        <v>2016</v>
      </c>
      <c r="R11" s="86">
        <v>2017</v>
      </c>
      <c r="S11" s="86">
        <v>2018</v>
      </c>
      <c r="T11" s="86">
        <v>2019</v>
      </c>
      <c r="U11" s="86">
        <v>2020</v>
      </c>
      <c r="V11" s="86">
        <v>2021</v>
      </c>
      <c r="X11" s="7" t="s">
        <v>49</v>
      </c>
    </row>
    <row r="13" spans="2:24" s="96" customFormat="1"/>
    <row r="14" spans="2:24" s="7" customFormat="1">
      <c r="B14" s="7" t="s">
        <v>50</v>
      </c>
    </row>
    <row r="16" spans="2:24">
      <c r="B16" s="1" t="s">
        <v>223</v>
      </c>
    </row>
    <row r="17" spans="2:24">
      <c r="B17" s="2" t="s">
        <v>224</v>
      </c>
      <c r="F17" s="2" t="s">
        <v>65</v>
      </c>
      <c r="L17" s="106">
        <f>'Tab 9_Parameters'!L17</f>
        <v>1.4999999999999999E-2</v>
      </c>
      <c r="M17" s="106">
        <f>'Tab 9_Parameters'!M17</f>
        <v>2.5999999999999999E-2</v>
      </c>
      <c r="N17" s="106">
        <f>'Tab 9_Parameters'!N17</f>
        <v>2.3E-2</v>
      </c>
      <c r="O17" s="106">
        <f>'Tab 9_Parameters'!O17</f>
        <v>2.8000000000000001E-2</v>
      </c>
      <c r="P17" s="106">
        <f>'Tab 9_Parameters'!P17</f>
        <v>0.01</v>
      </c>
      <c r="Q17" s="106">
        <f>'Tab 9_Parameters'!Q17</f>
        <v>8.0000000000000002E-3</v>
      </c>
      <c r="R17" s="106">
        <f>'Tab 9_Parameters'!R17</f>
        <v>2E-3</v>
      </c>
      <c r="S17" s="106">
        <f>'Tab 9_Parameters'!S17</f>
        <v>1.4E-2</v>
      </c>
      <c r="T17" s="106">
        <f>'Tab 9_Parameters'!T17</f>
        <v>2.1000000000000001E-2</v>
      </c>
      <c r="U17" s="106">
        <f>'Tab 9_Parameters'!U17</f>
        <v>1.2E-2</v>
      </c>
      <c r="V17" s="106">
        <f>'Tab 9_Parameters'!V17</f>
        <v>1.2E-2</v>
      </c>
      <c r="X17" s="97"/>
    </row>
    <row r="19" spans="2:24">
      <c r="B19" s="1" t="s">
        <v>74</v>
      </c>
    </row>
    <row r="20" spans="2:24">
      <c r="B20" s="2" t="s">
        <v>75</v>
      </c>
      <c r="F20" s="2" t="s">
        <v>65</v>
      </c>
      <c r="L20" s="119">
        <f>'Tab 9_Parameters'!L26</f>
        <v>2.5000000000000001E-2</v>
      </c>
      <c r="M20" s="119">
        <f>'Tab 9_Parameters'!M26</f>
        <v>2.8500000000000001E-2</v>
      </c>
      <c r="N20" s="119">
        <f>'Tab 9_Parameters'!N26</f>
        <v>0.03</v>
      </c>
      <c r="O20" s="119">
        <f>'Tab 9_Parameters'!O26</f>
        <v>0.03</v>
      </c>
      <c r="P20" s="119">
        <f>'Tab 9_Parameters'!P26</f>
        <v>0.04</v>
      </c>
      <c r="Q20" s="119">
        <f>'Tab 9_Parameters'!Q26</f>
        <v>0.04</v>
      </c>
      <c r="R20" s="119">
        <f>'Tab 9_Parameters'!R26</f>
        <v>0.04</v>
      </c>
      <c r="S20" s="119">
        <f>'Tab 9_Parameters'!S26</f>
        <v>0.04</v>
      </c>
      <c r="T20" s="119">
        <f>'Tab 9_Parameters'!T26</f>
        <v>0.04</v>
      </c>
      <c r="X20" s="5"/>
    </row>
    <row r="21" spans="2:24">
      <c r="B21" s="2" t="s">
        <v>76</v>
      </c>
      <c r="F21" s="2" t="s">
        <v>65</v>
      </c>
      <c r="L21" s="119">
        <f>'Tab 9_Parameters'!L27</f>
        <v>2.5000000000000001E-2</v>
      </c>
      <c r="M21" s="119">
        <f>'Tab 9_Parameters'!M27</f>
        <v>2.3E-2</v>
      </c>
      <c r="N21" s="119">
        <f>'Tab 9_Parameters'!N27</f>
        <v>0.03</v>
      </c>
      <c r="O21" s="119">
        <f>'Tab 9_Parameters'!O27</f>
        <v>0.04</v>
      </c>
      <c r="P21" s="119">
        <f>'Tab 9_Parameters'!P27</f>
        <v>0.04</v>
      </c>
      <c r="Q21" s="119">
        <f>'Tab 9_Parameters'!Q27</f>
        <v>0.04</v>
      </c>
      <c r="R21" s="119">
        <f>'Tab 9_Parameters'!R27</f>
        <v>0.04</v>
      </c>
      <c r="S21" s="119">
        <f>'Tab 9_Parameters'!S27</f>
        <v>0.04</v>
      </c>
      <c r="T21" s="119">
        <f>'Tab 9_Parameters'!T27</f>
        <v>0.04</v>
      </c>
    </row>
    <row r="22" spans="2:24">
      <c r="B22" s="2" t="s">
        <v>77</v>
      </c>
      <c r="F22" s="2" t="s">
        <v>65</v>
      </c>
      <c r="L22" s="119">
        <f>'Tab 9_Parameters'!L28</f>
        <v>2.75E-2</v>
      </c>
      <c r="M22" s="119">
        <f>'Tab 9_Parameters'!M28</f>
        <v>2.5000000000000001E-2</v>
      </c>
      <c r="N22" s="119">
        <f>'Tab 9_Parameters'!N28</f>
        <v>0.03</v>
      </c>
      <c r="O22" s="119">
        <f>'Tab 9_Parameters'!O28</f>
        <v>0.04</v>
      </c>
      <c r="P22" s="119">
        <f>'Tab 9_Parameters'!P28</f>
        <v>0.04</v>
      </c>
      <c r="Q22" s="119">
        <f>'Tab 9_Parameters'!Q28</f>
        <v>0.04</v>
      </c>
      <c r="R22" s="119">
        <f>'Tab 9_Parameters'!R28</f>
        <v>0.04</v>
      </c>
      <c r="S22" s="119">
        <f>'Tab 9_Parameters'!S28</f>
        <v>0.04</v>
      </c>
      <c r="T22" s="163"/>
    </row>
    <row r="23" spans="2:24">
      <c r="B23" s="2" t="s">
        <v>78</v>
      </c>
      <c r="F23" s="2" t="s">
        <v>65</v>
      </c>
      <c r="L23" s="119">
        <f>'Tab 9_Parameters'!L29</f>
        <v>0.03</v>
      </c>
      <c r="M23" s="119">
        <f>'Tab 9_Parameters'!M29</f>
        <v>2.2499999999999999E-2</v>
      </c>
      <c r="N23" s="119">
        <f>'Tab 9_Parameters'!N29</f>
        <v>0.03</v>
      </c>
      <c r="O23" s="119">
        <f>'Tab 9_Parameters'!O29</f>
        <v>0.04</v>
      </c>
      <c r="P23" s="119">
        <f>'Tab 9_Parameters'!P29</f>
        <v>0.04</v>
      </c>
      <c r="Q23" s="119">
        <f>'Tab 9_Parameters'!Q29</f>
        <v>0.04</v>
      </c>
      <c r="R23" s="119">
        <f>'Tab 9_Parameters'!R29</f>
        <v>0.04</v>
      </c>
      <c r="S23" s="119">
        <f>'Tab 9_Parameters'!S29</f>
        <v>0.04</v>
      </c>
      <c r="T23" s="163"/>
    </row>
    <row r="25" spans="2:24">
      <c r="B25" s="1" t="s">
        <v>82</v>
      </c>
    </row>
    <row r="26" spans="2:24">
      <c r="B26" s="51" t="s">
        <v>276</v>
      </c>
      <c r="F26" s="2" t="s">
        <v>65</v>
      </c>
      <c r="H26" s="106">
        <f>'Tab 9_Parameters'!H42</f>
        <v>1.0999999999999999E-2</v>
      </c>
      <c r="P26" s="105"/>
      <c r="Q26" s="105"/>
      <c r="R26" s="8"/>
      <c r="S26" s="105"/>
      <c r="T26" s="105"/>
      <c r="U26" s="105"/>
      <c r="V26" s="105"/>
      <c r="X26" s="37"/>
    </row>
    <row r="27" spans="2:24">
      <c r="B27" s="51" t="s">
        <v>277</v>
      </c>
      <c r="F27" s="96" t="s">
        <v>65</v>
      </c>
      <c r="H27" s="106">
        <f>'Tab 9_Parameters'!H43</f>
        <v>8.0000000000000002E-3</v>
      </c>
      <c r="X27" s="37"/>
    </row>
    <row r="28" spans="2:24" s="96" customFormat="1">
      <c r="B28" s="51"/>
      <c r="X28" s="37"/>
    </row>
    <row r="29" spans="2:24" s="7" customFormat="1">
      <c r="B29" s="7" t="s">
        <v>96</v>
      </c>
    </row>
    <row r="31" spans="2:24">
      <c r="B31" s="1" t="s">
        <v>97</v>
      </c>
    </row>
    <row r="32" spans="2:24">
      <c r="B32" s="2" t="s">
        <v>269</v>
      </c>
      <c r="L32" s="89">
        <f t="shared" ref="L32:S32" si="0">L11</f>
        <v>2011</v>
      </c>
      <c r="M32" s="89">
        <f t="shared" si="0"/>
        <v>2012</v>
      </c>
      <c r="N32" s="89">
        <f t="shared" si="0"/>
        <v>2013</v>
      </c>
      <c r="O32" s="89">
        <f t="shared" si="0"/>
        <v>2014</v>
      </c>
      <c r="P32" s="89">
        <f t="shared" si="0"/>
        <v>2015</v>
      </c>
      <c r="Q32" s="89">
        <f t="shared" si="0"/>
        <v>2016</v>
      </c>
      <c r="R32" s="89">
        <f t="shared" si="0"/>
        <v>2017</v>
      </c>
      <c r="S32" s="89">
        <f t="shared" si="0"/>
        <v>2018</v>
      </c>
      <c r="T32" s="43">
        <v>2019</v>
      </c>
    </row>
    <row r="34" spans="2:24">
      <c r="B34" s="2" t="s">
        <v>98</v>
      </c>
      <c r="F34" s="2" t="s">
        <v>65</v>
      </c>
      <c r="L34" s="106">
        <f>$L$17</f>
        <v>1.4999999999999999E-2</v>
      </c>
      <c r="M34" s="72">
        <f>(1+L34)*(1+M$17)-1</f>
        <v>4.1389999999999816E-2</v>
      </c>
      <c r="N34" s="72">
        <f t="shared" ref="N34:S34" si="1">(1+M34)*(1+N17)-1</f>
        <v>6.5341969999999749E-2</v>
      </c>
      <c r="O34" s="72">
        <f t="shared" si="1"/>
        <v>9.5171545159999704E-2</v>
      </c>
      <c r="P34" s="72">
        <f t="shared" si="1"/>
        <v>0.1061232606115996</v>
      </c>
      <c r="Q34" s="72">
        <f t="shared" si="1"/>
        <v>0.11497224669649242</v>
      </c>
      <c r="R34" s="72">
        <f t="shared" si="1"/>
        <v>0.11720219118988551</v>
      </c>
      <c r="S34" s="72">
        <f t="shared" si="1"/>
        <v>0.13284302186654395</v>
      </c>
      <c r="T34" s="72">
        <f t="shared" ref="T34:T39" si="2">(1+S34)*(1+T$17)-1</f>
        <v>0.15663272532574135</v>
      </c>
    </row>
    <row r="35" spans="2:24">
      <c r="B35" s="2" t="s">
        <v>99</v>
      </c>
      <c r="F35" s="2" t="s">
        <v>65</v>
      </c>
      <c r="L35" s="17"/>
      <c r="M35" s="106">
        <f>$M$17</f>
        <v>2.5999999999999999E-2</v>
      </c>
      <c r="N35" s="72">
        <f>(1+M35)*(1+N$17)-1</f>
        <v>4.9598000000000031E-2</v>
      </c>
      <c r="O35" s="72">
        <f t="shared" ref="O35:S38" si="3">(1+N35)*(1+O$17)-1</f>
        <v>7.8986744000000053E-2</v>
      </c>
      <c r="P35" s="72">
        <f t="shared" si="3"/>
        <v>8.9776611440000043E-2</v>
      </c>
      <c r="Q35" s="72">
        <f t="shared" si="3"/>
        <v>9.8494824331520014E-2</v>
      </c>
      <c r="R35" s="72">
        <f t="shared" si="3"/>
        <v>0.10069181398018312</v>
      </c>
      <c r="S35" s="72">
        <f t="shared" si="3"/>
        <v>0.11610149937590575</v>
      </c>
      <c r="T35" s="72">
        <f t="shared" si="2"/>
        <v>0.13953963086279964</v>
      </c>
    </row>
    <row r="36" spans="2:24">
      <c r="B36" s="2" t="s">
        <v>100</v>
      </c>
      <c r="F36" s="2" t="s">
        <v>65</v>
      </c>
      <c r="L36" s="17"/>
      <c r="M36" s="17"/>
      <c r="N36" s="106">
        <f>$N$17</f>
        <v>2.3E-2</v>
      </c>
      <c r="O36" s="72">
        <f>(1+N36)*(1+O$17)-1</f>
        <v>5.1644000000000023E-2</v>
      </c>
      <c r="P36" s="72">
        <f t="shared" si="3"/>
        <v>6.2160439999999983E-2</v>
      </c>
      <c r="Q36" s="72">
        <f t="shared" si="3"/>
        <v>7.0657723519999882E-2</v>
      </c>
      <c r="R36" s="72">
        <f t="shared" si="3"/>
        <v>7.2799038967039875E-2</v>
      </c>
      <c r="S36" s="72">
        <f t="shared" si="3"/>
        <v>8.7818225512578341E-2</v>
      </c>
      <c r="T36" s="72">
        <f t="shared" si="2"/>
        <v>0.11066240824834228</v>
      </c>
    </row>
    <row r="37" spans="2:24">
      <c r="B37" s="2" t="s">
        <v>101</v>
      </c>
      <c r="F37" s="2" t="s">
        <v>65</v>
      </c>
      <c r="L37" s="17"/>
      <c r="M37" s="17"/>
      <c r="N37" s="17"/>
      <c r="O37" s="106">
        <f>$O$17</f>
        <v>2.8000000000000001E-2</v>
      </c>
      <c r="P37" s="72">
        <f>(1+O37)*(1+P$17)-1</f>
        <v>3.8280000000000092E-2</v>
      </c>
      <c r="Q37" s="72">
        <f t="shared" si="3"/>
        <v>4.6586240000000112E-2</v>
      </c>
      <c r="R37" s="72">
        <f t="shared" si="3"/>
        <v>4.8679412480000073E-2</v>
      </c>
      <c r="S37" s="72">
        <f t="shared" si="3"/>
        <v>6.3360924254720175E-2</v>
      </c>
      <c r="T37" s="72">
        <f t="shared" si="2"/>
        <v>8.5691503664069302E-2</v>
      </c>
    </row>
    <row r="38" spans="2:24">
      <c r="B38" s="2" t="s">
        <v>102</v>
      </c>
      <c r="F38" s="2" t="s">
        <v>65</v>
      </c>
      <c r="L38" s="17"/>
      <c r="M38" s="17"/>
      <c r="N38" s="17"/>
      <c r="O38" s="17"/>
      <c r="P38" s="106">
        <f>$P$17</f>
        <v>0.01</v>
      </c>
      <c r="Q38" s="72">
        <f>(1+P38)*(1+Q$17)-1</f>
        <v>1.8080000000000096E-2</v>
      </c>
      <c r="R38" s="72">
        <f t="shared" si="3"/>
        <v>2.0116160000000161E-2</v>
      </c>
      <c r="S38" s="72">
        <f t="shared" si="3"/>
        <v>3.4397786240000228E-2</v>
      </c>
      <c r="T38" s="72">
        <f t="shared" si="2"/>
        <v>5.6120139751040243E-2</v>
      </c>
    </row>
    <row r="39" spans="2:24">
      <c r="B39" s="2" t="s">
        <v>103</v>
      </c>
      <c r="F39" s="2" t="s">
        <v>65</v>
      </c>
      <c r="L39" s="17"/>
      <c r="M39" s="17"/>
      <c r="N39" s="17"/>
      <c r="O39" s="17"/>
      <c r="P39" s="17"/>
      <c r="Q39" s="106">
        <f>$Q$17</f>
        <v>8.0000000000000002E-3</v>
      </c>
      <c r="R39" s="72">
        <f>(1+Q39)*(1+R$17)-1</f>
        <v>1.0016000000000025E-2</v>
      </c>
      <c r="S39" s="72">
        <f>(1+R39)*(1+S$17)-1</f>
        <v>2.4156223999999948E-2</v>
      </c>
      <c r="T39" s="72">
        <f t="shared" si="2"/>
        <v>4.5663504703999935E-2</v>
      </c>
    </row>
    <row r="40" spans="2:24">
      <c r="B40" s="2" t="s">
        <v>104</v>
      </c>
      <c r="F40" s="2" t="s">
        <v>65</v>
      </c>
      <c r="L40" s="17"/>
      <c r="M40" s="17"/>
      <c r="N40" s="17"/>
      <c r="O40" s="17"/>
      <c r="P40" s="17"/>
      <c r="Q40" s="17"/>
      <c r="R40" s="106">
        <f>$R$17</f>
        <v>2E-3</v>
      </c>
      <c r="S40" s="72">
        <f>(1+R40)*(1+S$17)-1</f>
        <v>1.6027999999999931E-2</v>
      </c>
      <c r="T40" s="72">
        <f>(1+S40)*(1+T$17)-1</f>
        <v>3.7364587999999754E-2</v>
      </c>
    </row>
    <row r="41" spans="2:24">
      <c r="B41" s="2" t="s">
        <v>105</v>
      </c>
      <c r="F41" s="2" t="s">
        <v>65</v>
      </c>
      <c r="L41" s="17"/>
      <c r="M41" s="17"/>
      <c r="N41" s="17"/>
      <c r="O41" s="17"/>
      <c r="P41" s="17"/>
      <c r="Q41" s="17"/>
      <c r="R41" s="17"/>
      <c r="S41" s="106">
        <f>$S$17</f>
        <v>1.4E-2</v>
      </c>
      <c r="T41" s="72">
        <f>(1+S41)*(1+T$17)-1</f>
        <v>3.5293999999999937E-2</v>
      </c>
    </row>
    <row r="42" spans="2:24">
      <c r="B42" s="2" t="s">
        <v>167</v>
      </c>
      <c r="F42" s="2" t="s">
        <v>65</v>
      </c>
      <c r="L42" s="17"/>
      <c r="M42" s="17"/>
      <c r="N42" s="17"/>
      <c r="O42" s="17"/>
      <c r="P42" s="17"/>
      <c r="Q42" s="17"/>
      <c r="R42" s="17"/>
      <c r="S42" s="17"/>
      <c r="T42" s="106">
        <f>T17</f>
        <v>2.1000000000000001E-2</v>
      </c>
    </row>
    <row r="44" spans="2:24" s="7" customFormat="1">
      <c r="B44" s="7" t="s">
        <v>106</v>
      </c>
    </row>
    <row r="46" spans="2:24">
      <c r="B46" s="1" t="s">
        <v>107</v>
      </c>
    </row>
    <row r="47" spans="2:24">
      <c r="B47" s="2" t="s">
        <v>108</v>
      </c>
      <c r="M47" s="56">
        <f t="shared" ref="M47:T47" si="4">M11</f>
        <v>2012</v>
      </c>
      <c r="N47" s="56">
        <f t="shared" si="4"/>
        <v>2013</v>
      </c>
      <c r="O47" s="56">
        <f t="shared" si="4"/>
        <v>2014</v>
      </c>
      <c r="P47" s="56">
        <f t="shared" si="4"/>
        <v>2015</v>
      </c>
      <c r="Q47" s="56">
        <f t="shared" si="4"/>
        <v>2016</v>
      </c>
      <c r="R47" s="56">
        <f t="shared" si="4"/>
        <v>2017</v>
      </c>
      <c r="S47" s="56">
        <f t="shared" si="4"/>
        <v>2018</v>
      </c>
      <c r="T47" s="56">
        <f t="shared" si="4"/>
        <v>2019</v>
      </c>
    </row>
    <row r="48" spans="2:24">
      <c r="B48" s="2" t="s">
        <v>109</v>
      </c>
      <c r="F48" s="2" t="s">
        <v>65</v>
      </c>
      <c r="M48" s="164">
        <f t="shared" ref="M48:T48" si="5">((1+L22)*(1+L23)*(1+M20)*(1+M21))^(1/4)-1</f>
        <v>2.7246679826694153E-2</v>
      </c>
      <c r="N48" s="164">
        <f t="shared" si="5"/>
        <v>2.6869862241643006E-2</v>
      </c>
      <c r="O48" s="164">
        <f t="shared" si="5"/>
        <v>3.2490949264880609E-2</v>
      </c>
      <c r="P48" s="164">
        <f t="shared" si="5"/>
        <v>4.0000000000000036E-2</v>
      </c>
      <c r="Q48" s="164">
        <f t="shared" si="5"/>
        <v>4.0000000000000036E-2</v>
      </c>
      <c r="R48" s="164">
        <f t="shared" si="5"/>
        <v>4.0000000000000036E-2</v>
      </c>
      <c r="S48" s="164">
        <f t="shared" si="5"/>
        <v>4.0000000000000036E-2</v>
      </c>
      <c r="T48" s="164">
        <f t="shared" si="5"/>
        <v>4.0000000000000036E-2</v>
      </c>
      <c r="X48" s="97"/>
    </row>
    <row r="49" spans="2:24">
      <c r="X49" s="37"/>
    </row>
    <row r="50" spans="2:24">
      <c r="B50" s="1" t="s">
        <v>97</v>
      </c>
    </row>
    <row r="51" spans="2:24">
      <c r="B51" s="2" t="s">
        <v>99</v>
      </c>
      <c r="F51" s="2" t="s">
        <v>65</v>
      </c>
      <c r="M51" s="119">
        <f>M48</f>
        <v>2.7246679826694153E-2</v>
      </c>
      <c r="N51" s="164">
        <f>(1+M51)*(1+N$48)-1</f>
        <v>5.4848656601822476E-2</v>
      </c>
      <c r="O51" s="164">
        <f t="shared" ref="O51:T55" si="6">(1+N51)*(1+O$48)-1</f>
        <v>8.9121690785599839E-2</v>
      </c>
      <c r="P51" s="164">
        <f t="shared" si="6"/>
        <v>0.13268655841702381</v>
      </c>
      <c r="Q51" s="164">
        <f t="shared" si="6"/>
        <v>0.17799402075370474</v>
      </c>
      <c r="R51" s="164">
        <f t="shared" si="6"/>
        <v>0.22511378158385287</v>
      </c>
      <c r="S51" s="164">
        <f t="shared" si="6"/>
        <v>0.27411833284720699</v>
      </c>
      <c r="T51" s="164">
        <f t="shared" si="6"/>
        <v>0.32508306616109528</v>
      </c>
    </row>
    <row r="52" spans="2:24">
      <c r="B52" s="2" t="s">
        <v>100</v>
      </c>
      <c r="F52" s="2" t="s">
        <v>65</v>
      </c>
      <c r="M52" s="165"/>
      <c r="N52" s="119">
        <f>N48</f>
        <v>2.6869862241643006E-2</v>
      </c>
      <c r="O52" s="164">
        <f>(1+N52)*(1+O$48)-1</f>
        <v>6.0233838837371101E-2</v>
      </c>
      <c r="P52" s="164">
        <f t="shared" si="6"/>
        <v>0.10264319239086594</v>
      </c>
      <c r="Q52" s="164">
        <f t="shared" si="6"/>
        <v>0.14674892008650064</v>
      </c>
      <c r="R52" s="164">
        <f t="shared" si="6"/>
        <v>0.19261887688996082</v>
      </c>
      <c r="S52" s="164">
        <f t="shared" si="6"/>
        <v>0.24032363196555928</v>
      </c>
      <c r="T52" s="164">
        <f t="shared" si="6"/>
        <v>0.28993657724418176</v>
      </c>
    </row>
    <row r="53" spans="2:24">
      <c r="B53" s="2" t="s">
        <v>101</v>
      </c>
      <c r="F53" s="2" t="s">
        <v>65</v>
      </c>
      <c r="M53" s="165"/>
      <c r="N53" s="165"/>
      <c r="O53" s="119">
        <f>O48</f>
        <v>3.2490949264880609E-2</v>
      </c>
      <c r="P53" s="164">
        <f>(1+O53)*(1+P$48)-1</f>
        <v>7.3790587235475824E-2</v>
      </c>
      <c r="Q53" s="164">
        <f t="shared" si="6"/>
        <v>0.11674221072489499</v>
      </c>
      <c r="R53" s="164">
        <f t="shared" si="6"/>
        <v>0.16141189915389087</v>
      </c>
      <c r="S53" s="164">
        <f t="shared" si="6"/>
        <v>0.20786837512004652</v>
      </c>
      <c r="T53" s="164">
        <f t="shared" si="6"/>
        <v>0.2561831101248484</v>
      </c>
    </row>
    <row r="54" spans="2:24">
      <c r="B54" s="2" t="s">
        <v>102</v>
      </c>
      <c r="F54" s="2" t="s">
        <v>65</v>
      </c>
      <c r="M54" s="165"/>
      <c r="N54" s="165"/>
      <c r="O54" s="165"/>
      <c r="P54" s="119">
        <f>P48</f>
        <v>4.0000000000000036E-2</v>
      </c>
      <c r="Q54" s="164">
        <f>(1+P54)*(1+Q$48)-1</f>
        <v>8.1600000000000117E-2</v>
      </c>
      <c r="R54" s="164">
        <f t="shared" si="6"/>
        <v>0.12486400000000009</v>
      </c>
      <c r="S54" s="164">
        <f t="shared" si="6"/>
        <v>0.16985856000000021</v>
      </c>
      <c r="T54" s="164">
        <f t="shared" si="6"/>
        <v>0.21665290240000035</v>
      </c>
    </row>
    <row r="55" spans="2:24">
      <c r="B55" s="2" t="s">
        <v>103</v>
      </c>
      <c r="F55" s="2" t="s">
        <v>65</v>
      </c>
      <c r="M55" s="165"/>
      <c r="N55" s="165"/>
      <c r="O55" s="165"/>
      <c r="P55" s="165"/>
      <c r="Q55" s="119">
        <f>Q48</f>
        <v>4.0000000000000036E-2</v>
      </c>
      <c r="R55" s="164">
        <f>(1+Q55)*(1+R$48)-1</f>
        <v>8.1600000000000117E-2</v>
      </c>
      <c r="S55" s="164">
        <f t="shared" si="6"/>
        <v>0.12486400000000009</v>
      </c>
      <c r="T55" s="164">
        <f t="shared" si="6"/>
        <v>0.16985856000000021</v>
      </c>
    </row>
    <row r="56" spans="2:24">
      <c r="B56" s="2" t="s">
        <v>104</v>
      </c>
      <c r="F56" s="2" t="s">
        <v>65</v>
      </c>
      <c r="M56" s="165"/>
      <c r="N56" s="165"/>
      <c r="O56" s="165"/>
      <c r="P56" s="165"/>
      <c r="Q56" s="165"/>
      <c r="R56" s="119">
        <f>R48</f>
        <v>4.0000000000000036E-2</v>
      </c>
      <c r="S56" s="164">
        <f>(1+R56)*(1+S$48)-1</f>
        <v>8.1600000000000117E-2</v>
      </c>
      <c r="T56" s="164">
        <f>(1+S56)*(1+T$48)-1</f>
        <v>0.12486400000000009</v>
      </c>
    </row>
    <row r="57" spans="2:24">
      <c r="B57" s="2" t="s">
        <v>105</v>
      </c>
      <c r="F57" s="2" t="s">
        <v>65</v>
      </c>
      <c r="M57" s="165"/>
      <c r="N57" s="165"/>
      <c r="O57" s="165"/>
      <c r="P57" s="165"/>
      <c r="Q57" s="165"/>
      <c r="R57" s="165"/>
      <c r="S57" s="119">
        <f>S48</f>
        <v>4.0000000000000036E-2</v>
      </c>
      <c r="T57" s="164">
        <f>(1+S57)*(1+T$48)-1</f>
        <v>8.1600000000000117E-2</v>
      </c>
    </row>
    <row r="58" spans="2:24">
      <c r="B58" s="2" t="s">
        <v>167</v>
      </c>
      <c r="F58" s="2" t="s">
        <v>65</v>
      </c>
      <c r="M58" s="165"/>
      <c r="N58" s="165"/>
      <c r="O58" s="165"/>
      <c r="P58" s="165"/>
      <c r="Q58" s="165"/>
      <c r="R58" s="165"/>
      <c r="S58" s="165"/>
      <c r="T58" s="119">
        <f>T48</f>
        <v>4.0000000000000036E-2</v>
      </c>
    </row>
    <row r="60" spans="2:24" s="224" customFormat="1">
      <c r="B60" s="224" t="s">
        <v>557</v>
      </c>
      <c r="F60" s="224" t="s">
        <v>65</v>
      </c>
      <c r="H60" s="164">
        <f>(1+S20)^(1/4)*(1+S21)^(1/4)*(1+S22)^(1/4)*(1+S23)^(1/4)*(1+T20)^(1/4)*(1+T21)^(1/4)-1</f>
        <v>6.0596058827298904E-2</v>
      </c>
    </row>
    <row r="61" spans="2:24" s="224" customFormat="1"/>
    <row r="62" spans="2:24" s="7" customFormat="1">
      <c r="B62" s="7" t="s">
        <v>110</v>
      </c>
    </row>
    <row r="64" spans="2:24">
      <c r="B64" s="1" t="s">
        <v>111</v>
      </c>
    </row>
    <row r="65" spans="2:24">
      <c r="B65" s="2" t="s">
        <v>112</v>
      </c>
      <c r="O65" s="56">
        <f t="shared" ref="O65:V65" si="7">O11</f>
        <v>2014</v>
      </c>
      <c r="P65" s="56">
        <f t="shared" si="7"/>
        <v>2015</v>
      </c>
      <c r="Q65" s="56">
        <f t="shared" si="7"/>
        <v>2016</v>
      </c>
      <c r="R65" s="56">
        <f t="shared" si="7"/>
        <v>2017</v>
      </c>
      <c r="S65" s="56">
        <f t="shared" si="7"/>
        <v>2018</v>
      </c>
      <c r="T65" s="56">
        <f t="shared" si="7"/>
        <v>2019</v>
      </c>
      <c r="U65" s="56">
        <f t="shared" si="7"/>
        <v>2020</v>
      </c>
      <c r="V65" s="56">
        <f t="shared" si="7"/>
        <v>2021</v>
      </c>
    </row>
    <row r="67" spans="2:24">
      <c r="B67" s="2" t="s">
        <v>168</v>
      </c>
      <c r="F67" s="2" t="s">
        <v>65</v>
      </c>
      <c r="O67" s="106">
        <f>H$26</f>
        <v>1.0999999999999999E-2</v>
      </c>
      <c r="P67" s="72">
        <f>(1+O67)*(1+H$26)-1</f>
        <v>2.2120999999999835E-2</v>
      </c>
      <c r="Q67" s="72">
        <f>(1+P67)*(1+H$26)-1</f>
        <v>3.3364330999999803E-2</v>
      </c>
      <c r="R67" s="72">
        <f>(1+Q67)*(1+H$27)-1</f>
        <v>4.1631245647999915E-2</v>
      </c>
      <c r="S67" s="72">
        <f>(1+R67)*(1+H$27)-1</f>
        <v>4.9964295613183829E-2</v>
      </c>
      <c r="T67" s="72">
        <f>(1+S67)*(1+H$27)-1</f>
        <v>5.8364009978089326E-2</v>
      </c>
      <c r="U67" s="72">
        <f>(1+T67)*(1+H$27)-1</f>
        <v>6.6830922057913966E-2</v>
      </c>
      <c r="V67" s="72">
        <f>(1+U67)*(1+H$27)-1</f>
        <v>7.5365569434377333E-2</v>
      </c>
      <c r="X67" s="5"/>
    </row>
    <row r="68" spans="2:24">
      <c r="B68" s="2" t="s">
        <v>113</v>
      </c>
      <c r="F68" s="2" t="s">
        <v>65</v>
      </c>
      <c r="O68" s="17"/>
      <c r="P68" s="106">
        <f>H$26</f>
        <v>1.0999999999999999E-2</v>
      </c>
      <c r="Q68" s="72">
        <f>(1+P68)*(1+H$26)-1</f>
        <v>2.2120999999999835E-2</v>
      </c>
      <c r="R68" s="72">
        <f t="shared" ref="R68:R69" si="8">(1+Q68)*(1+H$27)-1</f>
        <v>3.0297967999999731E-2</v>
      </c>
      <c r="S68" s="72">
        <f t="shared" ref="S68:S70" si="9">(1+R68)*(1+H$27)-1</f>
        <v>3.8540351743999723E-2</v>
      </c>
      <c r="T68" s="72">
        <f t="shared" ref="T68:T71" si="10">(1+S68)*(1+H$27)-1</f>
        <v>4.6848674557951719E-2</v>
      </c>
      <c r="U68" s="72">
        <f t="shared" ref="U68:U72" si="11">(1+T68)*(1+H$27)-1</f>
        <v>5.5223463954415353E-2</v>
      </c>
      <c r="V68" s="72">
        <f t="shared" ref="V68:V73" si="12">(1+U68)*(1+H$27)-1</f>
        <v>6.3665251666050748E-2</v>
      </c>
      <c r="X68" s="5"/>
    </row>
    <row r="69" spans="2:24">
      <c r="B69" s="2" t="s">
        <v>114</v>
      </c>
      <c r="F69" s="2" t="s">
        <v>65</v>
      </c>
      <c r="O69" s="17"/>
      <c r="P69" s="17"/>
      <c r="Q69" s="106">
        <f>H$26</f>
        <v>1.0999999999999999E-2</v>
      </c>
      <c r="R69" s="103">
        <f t="shared" si="8"/>
        <v>1.9087999999999994E-2</v>
      </c>
      <c r="S69" s="103">
        <f t="shared" si="9"/>
        <v>2.7240704000000004E-2</v>
      </c>
      <c r="T69" s="103">
        <f t="shared" si="10"/>
        <v>3.5458629632000083E-2</v>
      </c>
      <c r="U69" s="103">
        <f t="shared" si="11"/>
        <v>4.3742298669056101E-2</v>
      </c>
      <c r="V69" s="103">
        <f t="shared" si="12"/>
        <v>5.2092237058408486E-2</v>
      </c>
    </row>
    <row r="70" spans="2:24">
      <c r="B70" s="2" t="s">
        <v>115</v>
      </c>
      <c r="F70" s="2" t="s">
        <v>65</v>
      </c>
      <c r="O70" s="17"/>
      <c r="P70" s="17"/>
      <c r="Q70" s="17"/>
      <c r="R70" s="106">
        <f>H$27</f>
        <v>8.0000000000000002E-3</v>
      </c>
      <c r="S70" s="103">
        <f t="shared" si="9"/>
        <v>1.6064000000000078E-2</v>
      </c>
      <c r="T70" s="103">
        <f t="shared" si="10"/>
        <v>2.4192512000000166E-2</v>
      </c>
      <c r="U70" s="103">
        <f t="shared" si="11"/>
        <v>3.2386052096000206E-2</v>
      </c>
      <c r="V70" s="103">
        <f t="shared" si="12"/>
        <v>4.064514051276813E-2</v>
      </c>
    </row>
    <row r="71" spans="2:24">
      <c r="B71" s="2" t="s">
        <v>116</v>
      </c>
      <c r="F71" s="2" t="s">
        <v>65</v>
      </c>
      <c r="O71" s="17"/>
      <c r="P71" s="17"/>
      <c r="Q71" s="17"/>
      <c r="R71" s="17"/>
      <c r="S71" s="106">
        <f>H$27</f>
        <v>8.0000000000000002E-3</v>
      </c>
      <c r="T71" s="103">
        <f t="shared" si="10"/>
        <v>1.6064000000000078E-2</v>
      </c>
      <c r="U71" s="103">
        <f t="shared" si="11"/>
        <v>2.4192512000000166E-2</v>
      </c>
      <c r="V71" s="103">
        <f t="shared" si="12"/>
        <v>3.2386052096000206E-2</v>
      </c>
    </row>
    <row r="72" spans="2:24">
      <c r="B72" s="2" t="s">
        <v>117</v>
      </c>
      <c r="F72" s="2" t="s">
        <v>65</v>
      </c>
      <c r="O72" s="17"/>
      <c r="P72" s="17"/>
      <c r="Q72" s="17"/>
      <c r="R72" s="17"/>
      <c r="S72" s="17"/>
      <c r="T72" s="106">
        <f>H$27</f>
        <v>8.0000000000000002E-3</v>
      </c>
      <c r="U72" s="103">
        <f t="shared" si="11"/>
        <v>1.6064000000000078E-2</v>
      </c>
      <c r="V72" s="103">
        <f t="shared" si="12"/>
        <v>2.4192512000000166E-2</v>
      </c>
    </row>
    <row r="73" spans="2:24">
      <c r="B73" s="2" t="s">
        <v>118</v>
      </c>
      <c r="F73" s="2" t="s">
        <v>65</v>
      </c>
      <c r="O73" s="17"/>
      <c r="P73" s="17"/>
      <c r="Q73" s="17"/>
      <c r="R73" s="17"/>
      <c r="S73" s="17"/>
      <c r="T73" s="17"/>
      <c r="U73" s="106">
        <f>H$27</f>
        <v>8.0000000000000002E-3</v>
      </c>
      <c r="V73" s="103">
        <f t="shared" si="12"/>
        <v>1.6064000000000078E-2</v>
      </c>
    </row>
    <row r="74" spans="2:24">
      <c r="B74" s="2" t="s">
        <v>119</v>
      </c>
      <c r="F74" s="2" t="s">
        <v>65</v>
      </c>
      <c r="O74" s="17"/>
      <c r="P74" s="17"/>
      <c r="Q74" s="17"/>
      <c r="R74" s="17"/>
      <c r="S74" s="17"/>
      <c r="T74" s="17"/>
      <c r="U74" s="17"/>
      <c r="V74" s="106">
        <f>H$27</f>
        <v>8.0000000000000002E-3</v>
      </c>
    </row>
  </sheetData>
  <mergeCells count="1">
    <mergeCell ref="B4:E9"/>
  </mergeCells>
  <pageMargins left="0.7" right="0.7" top="0.75" bottom="0.75" header="0.3" footer="0.3"/>
  <pageSetup paperSize="8" scale="43" orientation="portrait" r:id="rId1"/>
  <colBreaks count="2" manualBreakCount="2">
    <brk id="7" max="70" man="1"/>
    <brk id="2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Z37"/>
  <sheetViews>
    <sheetView showGridLines="0" zoomScale="85" zoomScaleNormal="85" workbookViewId="0">
      <pane xSplit="6" ySplit="14" topLeftCell="G15" activePane="bottomRight" state="frozen"/>
      <selection pane="topRight"/>
      <selection pane="bottomLeft"/>
      <selection pane="bottomRight"/>
    </sheetView>
  </sheetViews>
  <sheetFormatPr defaultRowHeight="12.75" outlineLevelCol="1"/>
  <cols>
    <col min="1" max="1" width="4" style="96" customWidth="1"/>
    <col min="2" max="2" width="58.140625" style="96" customWidth="1"/>
    <col min="3" max="5" width="4.5703125" style="96" customWidth="1"/>
    <col min="6" max="6" width="16.7109375" style="96" customWidth="1"/>
    <col min="7" max="7" width="2.7109375" style="96" customWidth="1"/>
    <col min="8" max="8" width="13.7109375" style="96" customWidth="1"/>
    <col min="9" max="9" width="2.7109375" style="96" customWidth="1"/>
    <col min="10" max="10" width="13.7109375" style="96" customWidth="1"/>
    <col min="11" max="11" width="2.7109375" style="96" customWidth="1"/>
    <col min="12" max="16" width="13.7109375" style="96" hidden="1" customWidth="1" outlineLevel="1"/>
    <col min="17" max="17" width="13.7109375" style="96" customWidth="1" collapsed="1"/>
    <col min="18" max="23" width="13.7109375" style="96" customWidth="1"/>
    <col min="24" max="24" width="2.7109375" style="96" customWidth="1"/>
    <col min="25" max="36" width="13.7109375" style="96" customWidth="1"/>
    <col min="37" max="16384" width="9.140625" style="96"/>
  </cols>
  <sheetData>
    <row r="2" spans="2:26" s="28" customFormat="1" ht="18">
      <c r="B2" s="85" t="s">
        <v>360</v>
      </c>
    </row>
    <row r="4" spans="2:26">
      <c r="B4" s="245" t="s">
        <v>452</v>
      </c>
      <c r="C4" s="246"/>
      <c r="D4" s="246"/>
      <c r="E4" s="246"/>
    </row>
    <row r="5" spans="2:26">
      <c r="B5" s="246"/>
      <c r="C5" s="246"/>
      <c r="D5" s="246"/>
      <c r="E5" s="246"/>
    </row>
    <row r="6" spans="2:26">
      <c r="B6" s="246"/>
      <c r="C6" s="246"/>
      <c r="D6" s="246"/>
      <c r="E6" s="246"/>
    </row>
    <row r="7" spans="2:26">
      <c r="B7" s="246"/>
      <c r="C7" s="246"/>
      <c r="D7" s="246"/>
      <c r="E7" s="246"/>
    </row>
    <row r="8" spans="2:26">
      <c r="B8" s="246"/>
      <c r="C8" s="246"/>
      <c r="D8" s="246"/>
      <c r="E8" s="246"/>
    </row>
    <row r="9" spans="2:26">
      <c r="B9" s="246"/>
      <c r="C9" s="246"/>
      <c r="D9" s="246"/>
      <c r="E9" s="246"/>
    </row>
    <row r="10" spans="2:26">
      <c r="B10" s="246"/>
      <c r="C10" s="246"/>
      <c r="D10" s="246"/>
      <c r="E10" s="246"/>
    </row>
    <row r="11" spans="2:26">
      <c r="B11" s="246"/>
      <c r="C11" s="246"/>
      <c r="D11" s="246"/>
      <c r="E11" s="246"/>
    </row>
    <row r="13" spans="2:26" s="100" customFormat="1">
      <c r="B13" s="100" t="s">
        <v>47</v>
      </c>
      <c r="F13" s="100" t="s">
        <v>28</v>
      </c>
      <c r="H13" s="100" t="s">
        <v>29</v>
      </c>
      <c r="J13" s="100" t="s">
        <v>51</v>
      </c>
      <c r="L13" s="86">
        <v>2011</v>
      </c>
      <c r="M13" s="86">
        <v>2012</v>
      </c>
      <c r="N13" s="86">
        <v>2013</v>
      </c>
      <c r="O13" s="86">
        <v>2014</v>
      </c>
      <c r="P13" s="86">
        <v>2015</v>
      </c>
      <c r="Q13" s="86">
        <v>2016</v>
      </c>
      <c r="R13" s="86">
        <v>2017</v>
      </c>
      <c r="S13" s="86">
        <v>2018</v>
      </c>
      <c r="T13" s="86">
        <v>2019</v>
      </c>
      <c r="U13" s="86">
        <v>2020</v>
      </c>
      <c r="V13" s="86">
        <v>2021</v>
      </c>
      <c r="W13" s="86"/>
      <c r="Y13" s="100" t="s">
        <v>49</v>
      </c>
      <c r="Z13" s="46"/>
    </row>
    <row r="16" spans="2:26" s="100" customFormat="1">
      <c r="B16" s="100" t="s">
        <v>50</v>
      </c>
    </row>
    <row r="18" spans="2:25">
      <c r="B18" s="96" t="s">
        <v>224</v>
      </c>
      <c r="F18" s="96" t="s">
        <v>65</v>
      </c>
      <c r="J18" s="8"/>
      <c r="R18" s="106">
        <f>'Tab 9_Parameters'!R17</f>
        <v>2E-3</v>
      </c>
      <c r="S18" s="106">
        <f>'Tab 9_Parameters'!S17</f>
        <v>1.4E-2</v>
      </c>
      <c r="T18" s="106">
        <f>'Tab 9_Parameters'!T17</f>
        <v>2.1000000000000001E-2</v>
      </c>
      <c r="U18" s="106">
        <f>'Tab 9_Parameters'!U17</f>
        <v>1.2E-2</v>
      </c>
      <c r="V18" s="106">
        <f>'Tab 9_Parameters'!V17</f>
        <v>1.2E-2</v>
      </c>
    </row>
    <row r="19" spans="2:25">
      <c r="J19" s="8"/>
      <c r="R19" s="105"/>
      <c r="S19" s="105"/>
      <c r="T19" s="105"/>
      <c r="U19" s="105"/>
      <c r="V19" s="105"/>
    </row>
    <row r="20" spans="2:25">
      <c r="B20" s="51" t="s">
        <v>84</v>
      </c>
      <c r="H20" s="112">
        <f>'Tab 9_Parameters'!H46</f>
        <v>0.92</v>
      </c>
      <c r="S20" s="108"/>
      <c r="T20" s="108"/>
      <c r="U20" s="108"/>
      <c r="V20" s="108"/>
    </row>
    <row r="22" spans="2:25">
      <c r="B22" s="95" t="s">
        <v>66</v>
      </c>
    </row>
    <row r="23" spans="2:25">
      <c r="B23" s="8" t="s">
        <v>149</v>
      </c>
      <c r="F23" s="96" t="s">
        <v>310</v>
      </c>
      <c r="J23" s="44"/>
      <c r="Q23" s="47">
        <f>'Tab 10_Brondata'!Q13</f>
        <v>99781809.929004103</v>
      </c>
    </row>
    <row r="24" spans="2:25">
      <c r="B24" s="8" t="s">
        <v>150</v>
      </c>
      <c r="F24" s="96" t="s">
        <v>310</v>
      </c>
      <c r="J24" s="44"/>
      <c r="Q24" s="47">
        <f>'Tab 10_Brondata'!Q14</f>
        <v>38077861.317479417</v>
      </c>
    </row>
    <row r="25" spans="2:25">
      <c r="B25" s="8" t="s">
        <v>151</v>
      </c>
      <c r="F25" s="96" t="s">
        <v>310</v>
      </c>
      <c r="J25" s="44"/>
      <c r="Q25" s="47">
        <f>'Tab 10_Brondata'!Q15</f>
        <v>263579712.52904683</v>
      </c>
    </row>
    <row r="26" spans="2:25">
      <c r="B26" s="8" t="s">
        <v>152</v>
      </c>
      <c r="F26" s="96" t="s">
        <v>310</v>
      </c>
      <c r="J26" s="44"/>
      <c r="Q26" s="47">
        <f>'Tab 10_Brondata'!Q16</f>
        <v>32839100.114819307</v>
      </c>
    </row>
    <row r="27" spans="2:25">
      <c r="B27" s="96" t="s">
        <v>148</v>
      </c>
      <c r="F27" s="96" t="s">
        <v>310</v>
      </c>
      <c r="Q27" s="47">
        <f>'Tab 10_Brondata'!Q17</f>
        <v>434278483.89034963</v>
      </c>
      <c r="Y27" s="98"/>
    </row>
    <row r="28" spans="2:25">
      <c r="J28" s="44"/>
    </row>
    <row r="29" spans="2:25" s="100" customFormat="1">
      <c r="B29" s="100" t="s">
        <v>67</v>
      </c>
    </row>
    <row r="31" spans="2:25">
      <c r="B31" s="96" t="s">
        <v>149</v>
      </c>
      <c r="F31" s="96" t="s">
        <v>310</v>
      </c>
      <c r="R31" s="48">
        <f>(1+((R$18*100)-$H$20)/100)*$Q23</f>
        <v>99063380.897515282</v>
      </c>
      <c r="S31" s="48">
        <f>(1+((S$18*100)-$H$20)/100)*R31</f>
        <v>99538885.125823349</v>
      </c>
      <c r="T31" s="49">
        <f t="shared" ref="T31:V31" si="0">(1+((T$18*100)-$H$20)/100)*S31</f>
        <v>100713443.97030807</v>
      </c>
      <c r="U31" s="48">
        <f t="shared" si="0"/>
        <v>100995441.61342491</v>
      </c>
      <c r="V31" s="48">
        <f t="shared" si="0"/>
        <v>101278228.84994249</v>
      </c>
      <c r="Y31" s="96" t="s">
        <v>396</v>
      </c>
    </row>
    <row r="32" spans="2:25">
      <c r="B32" s="96" t="s">
        <v>150</v>
      </c>
      <c r="F32" s="96" t="s">
        <v>310</v>
      </c>
      <c r="R32" s="48">
        <f t="shared" ref="R32:R35" si="1">(1+((R$18*100)-$H$20)/100)*$Q24</f>
        <v>37803700.715993568</v>
      </c>
      <c r="S32" s="48">
        <f t="shared" ref="S32:V35" si="2">(1+((S$18*100)-$H$20)/100)*R32</f>
        <v>37985158.479430333</v>
      </c>
      <c r="T32" s="49">
        <f t="shared" si="2"/>
        <v>38433383.34948761</v>
      </c>
      <c r="U32" s="48">
        <f t="shared" si="2"/>
        <v>38540996.822866172</v>
      </c>
      <c r="V32" s="48">
        <f t="shared" si="2"/>
        <v>38648911.61397019</v>
      </c>
      <c r="Y32" s="96" t="s">
        <v>396</v>
      </c>
    </row>
    <row r="33" spans="2:25">
      <c r="B33" s="96" t="s">
        <v>151</v>
      </c>
      <c r="F33" s="96" t="s">
        <v>310</v>
      </c>
      <c r="R33" s="48">
        <f t="shared" si="1"/>
        <v>261681938.5988377</v>
      </c>
      <c r="S33" s="48">
        <f t="shared" si="2"/>
        <v>262938011.9041121</v>
      </c>
      <c r="T33" s="49">
        <f t="shared" si="2"/>
        <v>266040680.44458064</v>
      </c>
      <c r="U33" s="48">
        <f t="shared" si="2"/>
        <v>266785594.34982544</v>
      </c>
      <c r="V33" s="48">
        <f t="shared" si="2"/>
        <v>267532594.01400492</v>
      </c>
      <c r="Y33" s="96" t="s">
        <v>396</v>
      </c>
    </row>
    <row r="34" spans="2:25">
      <c r="B34" s="8" t="s">
        <v>152</v>
      </c>
      <c r="F34" s="96" t="s">
        <v>310</v>
      </c>
      <c r="R34" s="48">
        <f t="shared" si="1"/>
        <v>32602658.59399261</v>
      </c>
      <c r="S34" s="48">
        <f t="shared" si="2"/>
        <v>32759151.355243772</v>
      </c>
      <c r="T34" s="49">
        <f t="shared" si="2"/>
        <v>33145709.341235649</v>
      </c>
      <c r="U34" s="48">
        <f t="shared" si="2"/>
        <v>33238517.327391107</v>
      </c>
      <c r="V34" s="48">
        <f t="shared" si="2"/>
        <v>33331585.175907798</v>
      </c>
      <c r="Y34" s="96" t="s">
        <v>396</v>
      </c>
    </row>
    <row r="35" spans="2:25">
      <c r="B35" s="8" t="s">
        <v>252</v>
      </c>
      <c r="F35" s="96" t="s">
        <v>310</v>
      </c>
      <c r="R35" s="48">
        <f t="shared" si="1"/>
        <v>431151678.80633914</v>
      </c>
      <c r="S35" s="48">
        <f t="shared" si="2"/>
        <v>433221206.86460954</v>
      </c>
      <c r="T35" s="48">
        <f t="shared" si="2"/>
        <v>438333217.10561192</v>
      </c>
      <c r="U35" s="48">
        <f t="shared" si="2"/>
        <v>439560550.11350757</v>
      </c>
      <c r="V35" s="48">
        <f t="shared" si="2"/>
        <v>440791319.65382534</v>
      </c>
      <c r="Y35" s="96" t="s">
        <v>396</v>
      </c>
    </row>
    <row r="36" spans="2:25">
      <c r="B36" s="8"/>
    </row>
    <row r="37" spans="2:25">
      <c r="B37" s="8"/>
    </row>
  </sheetData>
  <mergeCells count="1">
    <mergeCell ref="B4:E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P63"/>
  <sheetViews>
    <sheetView showGridLines="0" zoomScale="85" zoomScaleNormal="85" workbookViewId="0">
      <pane xSplit="6" ySplit="13" topLeftCell="G14" activePane="bottomRight" state="frozen"/>
      <selection pane="topRight"/>
      <selection pane="bottomLeft"/>
      <selection pane="bottomRight"/>
    </sheetView>
  </sheetViews>
  <sheetFormatPr defaultRowHeight="12.75"/>
  <cols>
    <col min="1" max="1" width="4" style="2" customWidth="1"/>
    <col min="2" max="2" width="41.42578125" style="2" customWidth="1"/>
    <col min="3" max="5" width="4.5703125" style="2" customWidth="1"/>
    <col min="6" max="6" width="13.7109375" style="2" customWidth="1"/>
    <col min="7" max="7" width="2.7109375" style="2" customWidth="1"/>
    <col min="8" max="8" width="13" style="2" bestFit="1" customWidth="1"/>
    <col min="9" max="9" width="2.7109375" style="2" customWidth="1"/>
    <col min="10" max="10" width="13" style="2" bestFit="1" customWidth="1"/>
    <col min="11" max="11" width="2.7109375" style="2" customWidth="1"/>
    <col min="12" max="12" width="14.7109375" style="2" bestFit="1" customWidth="1"/>
    <col min="13" max="13" width="12.5703125" style="2" customWidth="1"/>
    <col min="14" max="14" width="2.7109375" style="2" customWidth="1"/>
    <col min="15" max="29" width="13.7109375" style="2" customWidth="1"/>
    <col min="30" max="16384" width="9.140625" style="2"/>
  </cols>
  <sheetData>
    <row r="1" spans="1:16">
      <c r="A1" s="8"/>
    </row>
    <row r="2" spans="1:16" s="28" customFormat="1" ht="18">
      <c r="B2" s="28" t="s">
        <v>361</v>
      </c>
    </row>
    <row r="4" spans="1:16" s="96" customFormat="1" ht="12.75" customHeight="1">
      <c r="B4" s="250" t="s">
        <v>568</v>
      </c>
      <c r="C4" s="250"/>
      <c r="D4" s="250"/>
      <c r="E4" s="250"/>
    </row>
    <row r="5" spans="1:16" s="96" customFormat="1">
      <c r="B5" s="250"/>
      <c r="C5" s="250"/>
      <c r="D5" s="250"/>
      <c r="E5" s="250"/>
    </row>
    <row r="6" spans="1:16" s="96" customFormat="1">
      <c r="B6" s="250"/>
      <c r="C6" s="250"/>
      <c r="D6" s="250"/>
      <c r="E6" s="250"/>
    </row>
    <row r="7" spans="1:16" s="96" customFormat="1">
      <c r="B7" s="250"/>
      <c r="C7" s="250"/>
      <c r="D7" s="250"/>
      <c r="E7" s="250"/>
    </row>
    <row r="8" spans="1:16" s="96" customFormat="1">
      <c r="B8" s="250"/>
      <c r="C8" s="250"/>
      <c r="D8" s="250"/>
      <c r="E8" s="250"/>
    </row>
    <row r="9" spans="1:16" s="191" customFormat="1">
      <c r="B9" s="250"/>
      <c r="C9" s="250"/>
      <c r="D9" s="250"/>
      <c r="E9" s="250"/>
    </row>
    <row r="10" spans="1:16" s="191" customFormat="1">
      <c r="B10" s="250"/>
      <c r="C10" s="250"/>
      <c r="D10" s="250"/>
      <c r="E10" s="250"/>
    </row>
    <row r="12" spans="1:16" s="7" customFormat="1">
      <c r="B12" s="7" t="s">
        <v>47</v>
      </c>
      <c r="F12" s="7" t="s">
        <v>28</v>
      </c>
      <c r="H12" s="7" t="s">
        <v>29</v>
      </c>
      <c r="J12" s="7" t="s">
        <v>51</v>
      </c>
      <c r="L12" s="7" t="s">
        <v>90</v>
      </c>
      <c r="M12" s="7" t="s">
        <v>93</v>
      </c>
      <c r="O12" s="7" t="s">
        <v>49</v>
      </c>
      <c r="P12" s="46"/>
    </row>
    <row r="15" spans="1:16" s="7" customFormat="1">
      <c r="B15" s="7" t="s">
        <v>50</v>
      </c>
    </row>
    <row r="17" spans="2:15">
      <c r="B17" s="1" t="s">
        <v>139</v>
      </c>
    </row>
    <row r="18" spans="2:15">
      <c r="B18" s="2" t="s">
        <v>234</v>
      </c>
      <c r="F18" s="2" t="s">
        <v>65</v>
      </c>
      <c r="H18" s="106">
        <f>'Tab 12_Berekening parameters'!T17</f>
        <v>2.1000000000000001E-2</v>
      </c>
    </row>
    <row r="19" spans="2:15">
      <c r="B19" s="2" t="s">
        <v>235</v>
      </c>
      <c r="F19" s="2" t="s">
        <v>65</v>
      </c>
      <c r="H19" s="106">
        <f>'Tab 12_Berekening parameters'!T41</f>
        <v>3.5293999999999937E-2</v>
      </c>
    </row>
    <row r="21" spans="2:15">
      <c r="B21" s="2" t="s">
        <v>236</v>
      </c>
      <c r="F21" s="2" t="s">
        <v>65</v>
      </c>
      <c r="H21" s="106">
        <f>'Tab 12_Berekening parameters'!T71</f>
        <v>1.6064000000000078E-2</v>
      </c>
      <c r="O21" s="5"/>
    </row>
    <row r="23" spans="2:15">
      <c r="B23" s="2" t="s">
        <v>397</v>
      </c>
      <c r="F23" s="2" t="s">
        <v>65</v>
      </c>
      <c r="H23" s="119">
        <f>'Tab 12_Berekening parameters'!T58</f>
        <v>4.0000000000000036E-2</v>
      </c>
      <c r="O23" s="29"/>
    </row>
    <row r="24" spans="2:15">
      <c r="H24" s="82"/>
    </row>
    <row r="25" spans="2:15">
      <c r="B25" s="2" t="s">
        <v>229</v>
      </c>
      <c r="H25" s="109">
        <f>'Tab 9_Parameters'!H49</f>
        <v>0.02</v>
      </c>
      <c r="O25" s="5"/>
    </row>
    <row r="26" spans="2:15">
      <c r="H26" s="82"/>
      <c r="O26" s="5"/>
    </row>
    <row r="27" spans="2:15">
      <c r="B27" s="51" t="s">
        <v>409</v>
      </c>
      <c r="F27" s="2" t="s">
        <v>65</v>
      </c>
      <c r="H27" s="106">
        <f>'Tab 9_Parameters'!T37</f>
        <v>3.5000000000000003E-2</v>
      </c>
      <c r="O27" s="5"/>
    </row>
    <row r="29" spans="2:15">
      <c r="B29" s="1" t="s">
        <v>155</v>
      </c>
    </row>
    <row r="30" spans="2:15">
      <c r="B30" s="2" t="s">
        <v>169</v>
      </c>
      <c r="F30" s="2" t="s">
        <v>137</v>
      </c>
      <c r="J30" s="96"/>
      <c r="L30" s="47">
        <f>'Tab 10_Brondata'!S26</f>
        <v>64931882.049999997</v>
      </c>
      <c r="M30" s="96"/>
      <c r="O30" s="5"/>
    </row>
    <row r="31" spans="2:15">
      <c r="J31" s="96"/>
      <c r="M31" s="96"/>
    </row>
    <row r="32" spans="2:15">
      <c r="B32" s="1" t="s">
        <v>143</v>
      </c>
      <c r="J32" s="96"/>
      <c r="M32" s="96"/>
    </row>
    <row r="33" spans="2:15">
      <c r="B33" s="2" t="s">
        <v>156</v>
      </c>
      <c r="F33" s="2" t="s">
        <v>136</v>
      </c>
      <c r="J33" s="96"/>
      <c r="L33" s="243"/>
      <c r="M33" s="96"/>
      <c r="O33" s="240" t="s">
        <v>588</v>
      </c>
    </row>
    <row r="34" spans="2:15">
      <c r="B34" s="2" t="s">
        <v>157</v>
      </c>
      <c r="F34" s="2" t="s">
        <v>136</v>
      </c>
      <c r="J34" s="96"/>
      <c r="L34" s="243"/>
      <c r="M34" s="96"/>
      <c r="O34" s="240" t="s">
        <v>588</v>
      </c>
    </row>
    <row r="35" spans="2:15">
      <c r="B35" s="2" t="s">
        <v>163</v>
      </c>
      <c r="F35" s="2" t="s">
        <v>136</v>
      </c>
      <c r="J35" s="96"/>
      <c r="L35" s="243"/>
      <c r="M35" s="96"/>
      <c r="O35" s="240" t="s">
        <v>588</v>
      </c>
    </row>
    <row r="36" spans="2:15">
      <c r="B36" s="2" t="s">
        <v>158</v>
      </c>
      <c r="F36" s="2" t="s">
        <v>136</v>
      </c>
      <c r="J36" s="96"/>
      <c r="L36" s="243"/>
      <c r="M36" s="96"/>
      <c r="O36" s="240" t="s">
        <v>588</v>
      </c>
    </row>
    <row r="37" spans="2:15">
      <c r="J37" s="96"/>
      <c r="L37" s="57"/>
      <c r="M37" s="96"/>
    </row>
    <row r="38" spans="2:15">
      <c r="B38" s="2" t="s">
        <v>165</v>
      </c>
      <c r="F38" s="2" t="s">
        <v>137</v>
      </c>
      <c r="J38" s="96"/>
      <c r="L38" s="47">
        <f>'Tab 6_Correcties en prognoses'!S29</f>
        <v>30673020.929000001</v>
      </c>
      <c r="M38" s="96"/>
    </row>
    <row r="39" spans="2:15">
      <c r="J39" s="96"/>
      <c r="M39" s="96"/>
    </row>
    <row r="40" spans="2:15">
      <c r="B40" s="1" t="s">
        <v>144</v>
      </c>
      <c r="J40" s="96"/>
      <c r="M40" s="96"/>
    </row>
    <row r="41" spans="2:15">
      <c r="B41" s="2" t="s">
        <v>159</v>
      </c>
      <c r="F41" s="2" t="s">
        <v>136</v>
      </c>
      <c r="J41" s="96"/>
      <c r="L41" s="47">
        <f>'Tab 10_Brondata'!R35</f>
        <v>64609693</v>
      </c>
      <c r="M41" s="96"/>
    </row>
    <row r="42" spans="2:15">
      <c r="B42" s="2" t="s">
        <v>160</v>
      </c>
      <c r="F42" s="2" t="s">
        <v>136</v>
      </c>
      <c r="J42" s="96"/>
      <c r="L42" s="47">
        <f>'Tab 10_Brondata'!R36</f>
        <v>14673449</v>
      </c>
      <c r="M42" s="96"/>
    </row>
    <row r="43" spans="2:15">
      <c r="B43" s="2" t="s">
        <v>161</v>
      </c>
      <c r="F43" s="2" t="s">
        <v>136</v>
      </c>
      <c r="J43" s="96"/>
      <c r="L43" s="47">
        <f>'Tab 10_Brondata'!R37</f>
        <v>22307533.757362377</v>
      </c>
      <c r="M43" s="96"/>
    </row>
    <row r="45" spans="2:15" s="7" customFormat="1">
      <c r="B45" s="7" t="s">
        <v>170</v>
      </c>
    </row>
    <row r="47" spans="2:15">
      <c r="B47" s="1" t="s">
        <v>171</v>
      </c>
    </row>
    <row r="48" spans="2:15">
      <c r="B48" s="2" t="s">
        <v>172</v>
      </c>
      <c r="F48" s="2" t="s">
        <v>138</v>
      </c>
      <c r="J48" s="96"/>
      <c r="L48" s="48">
        <f>L30*(1+H18-H25)</f>
        <v>64996813.93204999</v>
      </c>
      <c r="M48" s="96"/>
      <c r="O48" s="191" t="s">
        <v>494</v>
      </c>
    </row>
    <row r="49" spans="2:15">
      <c r="J49" s="96"/>
      <c r="M49" s="96"/>
    </row>
    <row r="50" spans="2:15">
      <c r="B50" s="1" t="s">
        <v>173</v>
      </c>
      <c r="J50" s="96"/>
      <c r="M50" s="96"/>
    </row>
    <row r="51" spans="2:15">
      <c r="B51" s="2" t="s">
        <v>174</v>
      </c>
      <c r="F51" s="2" t="s">
        <v>136</v>
      </c>
      <c r="J51" s="96"/>
      <c r="L51" s="48">
        <v>57535885.030000001</v>
      </c>
      <c r="M51" s="96"/>
      <c r="O51" s="191" t="s">
        <v>493</v>
      </c>
    </row>
    <row r="52" spans="2:15">
      <c r="B52" s="2" t="s">
        <v>175</v>
      </c>
      <c r="F52" s="2" t="s">
        <v>138</v>
      </c>
      <c r="J52" s="96"/>
      <c r="L52" s="48">
        <f>(L51*(1+H19)*(1-H21))-(L38*(1+H23))</f>
        <v>26709737.625569224</v>
      </c>
      <c r="M52" s="96"/>
      <c r="O52" s="191" t="s">
        <v>493</v>
      </c>
    </row>
    <row r="53" spans="2:15">
      <c r="J53" s="96"/>
      <c r="M53" s="96"/>
    </row>
    <row r="54" spans="2:15">
      <c r="B54" s="1" t="s">
        <v>176</v>
      </c>
      <c r="J54" s="96"/>
      <c r="M54" s="96"/>
    </row>
    <row r="55" spans="2:15">
      <c r="B55" s="2" t="s">
        <v>177</v>
      </c>
      <c r="F55" s="2" t="s">
        <v>136</v>
      </c>
      <c r="J55" s="96"/>
      <c r="L55" s="48">
        <f>H27*L41+L42+L43</f>
        <v>39242322.012362376</v>
      </c>
      <c r="M55" s="96"/>
      <c r="O55" s="191" t="s">
        <v>491</v>
      </c>
    </row>
    <row r="56" spans="2:15">
      <c r="B56" s="2" t="s">
        <v>178</v>
      </c>
      <c r="F56" s="2" t="s">
        <v>138</v>
      </c>
      <c r="J56" s="96"/>
      <c r="L56" s="48">
        <f>L55*(1+H19)*(1-H21)</f>
        <v>39974702.927265584</v>
      </c>
      <c r="M56" s="96"/>
      <c r="O56" s="191" t="s">
        <v>492</v>
      </c>
    </row>
    <row r="57" spans="2:15">
      <c r="J57" s="96"/>
      <c r="M57" s="96"/>
    </row>
    <row r="58" spans="2:15">
      <c r="B58" s="34" t="s">
        <v>179</v>
      </c>
      <c r="F58" s="2" t="s">
        <v>138</v>
      </c>
      <c r="J58" s="96"/>
      <c r="L58" s="49">
        <f>L48+L52+L56</f>
        <v>131681254.4848848</v>
      </c>
      <c r="M58" s="96"/>
      <c r="O58" s="191" t="s">
        <v>495</v>
      </c>
    </row>
    <row r="59" spans="2:15">
      <c r="J59" s="96"/>
      <c r="M59" s="96"/>
    </row>
    <row r="60" spans="2:15">
      <c r="J60" s="96"/>
      <c r="M60" s="96"/>
    </row>
    <row r="61" spans="2:15">
      <c r="J61" s="96"/>
      <c r="M61" s="96"/>
    </row>
    <row r="63" spans="2:15">
      <c r="J63" s="50"/>
    </row>
  </sheetData>
  <mergeCells count="1">
    <mergeCell ref="B4:E1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P35"/>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96" customWidth="1"/>
    <col min="2" max="2" width="60.42578125" style="96" customWidth="1"/>
    <col min="3" max="5" width="4.5703125" style="96" customWidth="1"/>
    <col min="6" max="6" width="13.7109375" style="96" customWidth="1"/>
    <col min="7" max="7" width="2.7109375" style="96" customWidth="1"/>
    <col min="8" max="8" width="13.7109375" style="96" customWidth="1"/>
    <col min="9" max="9" width="2.7109375" style="96" customWidth="1"/>
    <col min="10" max="10" width="12.5703125" style="96" customWidth="1"/>
    <col min="11" max="11" width="2.7109375" style="96" customWidth="1"/>
    <col min="12" max="13" width="12.5703125" style="96" customWidth="1"/>
    <col min="14" max="14" width="2.7109375" style="96" customWidth="1"/>
    <col min="15" max="29" width="13.7109375" style="96" customWidth="1"/>
    <col min="30" max="16384" width="9.140625" style="96"/>
  </cols>
  <sheetData>
    <row r="2" spans="2:16" s="28" customFormat="1" ht="18">
      <c r="B2" s="85" t="s">
        <v>362</v>
      </c>
    </row>
    <row r="4" spans="2:16">
      <c r="B4" s="245" t="s">
        <v>496</v>
      </c>
      <c r="C4" s="246"/>
      <c r="D4" s="246"/>
      <c r="E4" s="246"/>
    </row>
    <row r="5" spans="2:16">
      <c r="B5" s="246"/>
      <c r="C5" s="246"/>
      <c r="D5" s="246"/>
      <c r="E5" s="246"/>
    </row>
    <row r="6" spans="2:16">
      <c r="B6" s="246"/>
      <c r="C6" s="246"/>
      <c r="D6" s="246"/>
      <c r="E6" s="246"/>
    </row>
    <row r="7" spans="2:16">
      <c r="B7" s="246"/>
      <c r="C7" s="246"/>
      <c r="D7" s="246"/>
      <c r="E7" s="246"/>
    </row>
    <row r="8" spans="2:16">
      <c r="B8" s="246"/>
      <c r="C8" s="246"/>
      <c r="D8" s="246"/>
      <c r="E8" s="246"/>
    </row>
    <row r="9" spans="2:16">
      <c r="B9" s="246"/>
      <c r="C9" s="246"/>
      <c r="D9" s="246"/>
      <c r="E9" s="246"/>
    </row>
    <row r="11" spans="2:16" s="100" customFormat="1">
      <c r="B11" s="100" t="s">
        <v>47</v>
      </c>
      <c r="F11" s="100" t="s">
        <v>28</v>
      </c>
      <c r="H11" s="100" t="s">
        <v>29</v>
      </c>
      <c r="J11" s="100" t="s">
        <v>51</v>
      </c>
      <c r="L11" s="100" t="s">
        <v>90</v>
      </c>
      <c r="M11" s="100" t="s">
        <v>93</v>
      </c>
      <c r="O11" s="100" t="s">
        <v>49</v>
      </c>
      <c r="P11" s="46"/>
    </row>
    <row r="14" spans="2:16" s="100" customFormat="1">
      <c r="B14" s="100" t="s">
        <v>50</v>
      </c>
    </row>
    <row r="16" spans="2:16">
      <c r="B16" s="95" t="s">
        <v>64</v>
      </c>
    </row>
    <row r="17" spans="2:13">
      <c r="B17" s="96" t="s">
        <v>262</v>
      </c>
      <c r="F17" s="96" t="s">
        <v>65</v>
      </c>
      <c r="H17" s="106">
        <f>'Tab 12_Berekening parameters'!T37</f>
        <v>8.5691503664069302E-2</v>
      </c>
    </row>
    <row r="18" spans="2:13">
      <c r="B18" s="96" t="s">
        <v>263</v>
      </c>
      <c r="F18" s="96" t="s">
        <v>65</v>
      </c>
      <c r="H18" s="106">
        <f>'Tab 12_Berekening parameters'!T38</f>
        <v>5.6120139751040243E-2</v>
      </c>
    </row>
    <row r="19" spans="2:13">
      <c r="B19" s="96" t="s">
        <v>264</v>
      </c>
      <c r="F19" s="96" t="s">
        <v>65</v>
      </c>
      <c r="H19" s="106">
        <f>'Tab 12_Berekening parameters'!T39</f>
        <v>4.5663504703999935E-2</v>
      </c>
    </row>
    <row r="21" spans="2:13">
      <c r="B21" s="95" t="s">
        <v>265</v>
      </c>
    </row>
    <row r="22" spans="2:13">
      <c r="B22" s="96" t="s">
        <v>253</v>
      </c>
      <c r="F22" s="96" t="s">
        <v>259</v>
      </c>
      <c r="M22" s="47">
        <f>'Tab 10_Brondata'!N50</f>
        <v>12414582.98</v>
      </c>
    </row>
    <row r="23" spans="2:13">
      <c r="B23" s="96" t="s">
        <v>254</v>
      </c>
      <c r="F23" s="96" t="s">
        <v>260</v>
      </c>
      <c r="M23" s="47">
        <f>'Tab 10_Brondata'!O50</f>
        <v>14319292.699999999</v>
      </c>
    </row>
    <row r="24" spans="2:13">
      <c r="B24" s="96" t="s">
        <v>255</v>
      </c>
      <c r="F24" s="96" t="s">
        <v>261</v>
      </c>
      <c r="M24" s="47">
        <f>'Tab 10_Brondata'!P50</f>
        <v>16907979.559999999</v>
      </c>
    </row>
    <row r="26" spans="2:13">
      <c r="B26" s="95" t="s">
        <v>266</v>
      </c>
    </row>
    <row r="27" spans="2:13">
      <c r="B27" s="96" t="s">
        <v>256</v>
      </c>
      <c r="F27" s="96" t="s">
        <v>259</v>
      </c>
      <c r="L27" s="47">
        <f>'Tab 10_Brondata'!N54</f>
        <v>1383422.6300000008</v>
      </c>
    </row>
    <row r="28" spans="2:13">
      <c r="B28" s="96" t="s">
        <v>257</v>
      </c>
      <c r="F28" s="96" t="s">
        <v>260</v>
      </c>
      <c r="L28" s="47">
        <f>'Tab 10_Brondata'!O54</f>
        <v>-1211200</v>
      </c>
    </row>
    <row r="29" spans="2:13">
      <c r="B29" s="96" t="s">
        <v>258</v>
      </c>
      <c r="F29" s="96" t="s">
        <v>261</v>
      </c>
      <c r="L29" s="47">
        <f>'Tab 10_Brondata'!P54</f>
        <v>-14164357.859999999</v>
      </c>
    </row>
    <row r="31" spans="2:13" s="100" customFormat="1">
      <c r="B31" s="100" t="s">
        <v>249</v>
      </c>
    </row>
    <row r="33" spans="2:15">
      <c r="B33" s="96" t="s">
        <v>250</v>
      </c>
      <c r="F33" s="96" t="s">
        <v>138</v>
      </c>
      <c r="J33" s="87">
        <f>SUM(L33:M33)</f>
        <v>15427119.278183935</v>
      </c>
      <c r="L33" s="104"/>
      <c r="M33" s="87">
        <f>(M22*(1+H17)+M23*(1+H18)+M24*(1+H19))/3</f>
        <v>15427119.278183935</v>
      </c>
      <c r="O33" s="98"/>
    </row>
    <row r="35" spans="2:15">
      <c r="B35" s="96" t="s">
        <v>251</v>
      </c>
      <c r="F35" s="96" t="s">
        <v>138</v>
      </c>
      <c r="J35" s="87">
        <f>SUM(L35:M35)</f>
        <v>-4862784.8665560354</v>
      </c>
      <c r="L35" s="87">
        <f>(L27*(1+H17)+L28*(1+H18)+L29*(1+H19))/3</f>
        <v>-4862784.8665560354</v>
      </c>
      <c r="M35" s="17"/>
      <c r="O35" s="98"/>
    </row>
  </sheetData>
  <mergeCells count="1">
    <mergeCell ref="B4: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sheetPr>
  <dimension ref="A2:Z86"/>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20.7109375" style="2" customWidth="1"/>
    <col min="3" max="3" width="6.5703125" style="2" customWidth="1"/>
    <col min="4" max="4" width="24.7109375" style="2" customWidth="1"/>
    <col min="5" max="7" width="6.7109375" style="2" customWidth="1"/>
    <col min="8" max="8" width="24.7109375" style="2" customWidth="1"/>
    <col min="9" max="9" width="6.7109375" style="2" customWidth="1"/>
    <col min="10" max="10" width="6.7109375" style="96" customWidth="1"/>
    <col min="11" max="12" width="6.7109375" style="2" customWidth="1"/>
    <col min="13" max="13" width="24.7109375" style="2" customWidth="1"/>
    <col min="14" max="16" width="9.140625" style="2"/>
    <col min="17" max="17" width="24.7109375" style="2" customWidth="1"/>
    <col min="18" max="16384" width="9.140625" style="2"/>
  </cols>
  <sheetData>
    <row r="2" spans="2:21" s="12" customFormat="1" ht="18">
      <c r="B2" s="11" t="s">
        <v>354</v>
      </c>
    </row>
    <row r="4" spans="2:21" s="7" customFormat="1">
      <c r="B4" s="7" t="s">
        <v>15</v>
      </c>
      <c r="J4" s="100"/>
    </row>
    <row r="6" spans="2:21">
      <c r="B6" s="34" t="s">
        <v>560</v>
      </c>
    </row>
    <row r="7" spans="2:21">
      <c r="B7" s="2" t="s">
        <v>561</v>
      </c>
    </row>
    <row r="8" spans="2:21" s="96" customFormat="1"/>
    <row r="9" spans="2:21" s="96" customFormat="1"/>
    <row r="10" spans="2:21" s="7" customFormat="1">
      <c r="B10" s="7" t="s">
        <v>62</v>
      </c>
      <c r="J10" s="100"/>
    </row>
    <row r="12" spans="2:21" s="123" customFormat="1">
      <c r="B12" s="124"/>
      <c r="C12" s="125"/>
      <c r="D12" s="125" t="s">
        <v>349</v>
      </c>
      <c r="E12" s="125"/>
      <c r="F12" s="125"/>
      <c r="G12" s="125"/>
      <c r="H12" s="125" t="s">
        <v>352</v>
      </c>
      <c r="I12" s="125"/>
      <c r="J12" s="125"/>
      <c r="K12" s="125"/>
      <c r="L12" s="125"/>
      <c r="M12" s="125" t="s">
        <v>350</v>
      </c>
      <c r="N12" s="125"/>
      <c r="O12" s="125"/>
      <c r="P12" s="125"/>
      <c r="Q12" s="125" t="s">
        <v>351</v>
      </c>
      <c r="R12" s="125"/>
      <c r="S12" s="148"/>
    </row>
    <row r="13" spans="2:21" s="123" customFormat="1" ht="14.25" customHeight="1">
      <c r="B13" s="126"/>
      <c r="C13" s="127"/>
      <c r="D13" s="127"/>
      <c r="E13" s="127"/>
      <c r="F13" s="127"/>
      <c r="G13" s="127"/>
      <c r="H13" s="127"/>
      <c r="I13" s="127"/>
      <c r="J13" s="127"/>
      <c r="K13" s="127"/>
      <c r="L13" s="127"/>
      <c r="M13" s="127"/>
      <c r="N13" s="127"/>
      <c r="O13" s="127"/>
      <c r="P13" s="128"/>
      <c r="Q13" s="127"/>
      <c r="R13" s="143"/>
      <c r="S13" s="129"/>
    </row>
    <row r="14" spans="2:21" s="123" customFormat="1" ht="14.25" customHeight="1">
      <c r="B14" s="130"/>
      <c r="C14" s="131"/>
      <c r="D14" s="132"/>
      <c r="E14" s="133"/>
      <c r="F14" s="134"/>
      <c r="L14" s="131"/>
      <c r="M14" s="132"/>
      <c r="N14" s="133"/>
      <c r="O14" s="134"/>
      <c r="P14" s="128"/>
      <c r="R14" s="143"/>
      <c r="S14" s="129"/>
    </row>
    <row r="15" spans="2:21" s="123" customFormat="1" ht="14.25" customHeight="1">
      <c r="B15" s="130"/>
      <c r="C15" s="135"/>
      <c r="D15" s="136" t="s">
        <v>388</v>
      </c>
      <c r="E15" s="137"/>
      <c r="F15" s="134"/>
      <c r="L15" s="135"/>
      <c r="M15" s="142" t="s">
        <v>373</v>
      </c>
      <c r="N15" s="137"/>
      <c r="O15" s="134"/>
      <c r="P15" s="128"/>
      <c r="R15" s="143"/>
      <c r="S15" s="129"/>
    </row>
    <row r="16" spans="2:21" s="123" customFormat="1" ht="14.25" customHeight="1">
      <c r="B16" s="130"/>
      <c r="C16" s="138"/>
      <c r="D16" s="139"/>
      <c r="E16" s="140"/>
      <c r="F16" s="134"/>
      <c r="L16" s="138"/>
      <c r="M16" s="139"/>
      <c r="N16" s="140"/>
      <c r="O16" s="134"/>
      <c r="P16" s="128"/>
      <c r="R16" s="143"/>
      <c r="S16" s="129"/>
      <c r="U16" s="141"/>
    </row>
    <row r="17" spans="2:26" s="123" customFormat="1" ht="14.25" customHeight="1">
      <c r="B17" s="130"/>
      <c r="F17" s="134"/>
      <c r="P17" s="128"/>
      <c r="R17" s="143"/>
      <c r="S17" s="129"/>
    </row>
    <row r="18" spans="2:26" s="123" customFormat="1" ht="14.25" customHeight="1">
      <c r="B18" s="130"/>
      <c r="F18" s="134"/>
      <c r="G18" s="131"/>
      <c r="H18" s="132"/>
      <c r="I18" s="133"/>
      <c r="L18" s="131"/>
      <c r="M18" s="132"/>
      <c r="N18" s="133"/>
      <c r="P18" s="128"/>
      <c r="R18" s="143"/>
      <c r="S18" s="129"/>
    </row>
    <row r="19" spans="2:26" s="123" customFormat="1" ht="14.25" customHeight="1">
      <c r="B19" s="130"/>
      <c r="F19" s="134"/>
      <c r="G19" s="135"/>
      <c r="H19" s="142" t="s">
        <v>372</v>
      </c>
      <c r="I19" s="137"/>
      <c r="L19" s="135"/>
      <c r="M19" s="142" t="s">
        <v>374</v>
      </c>
      <c r="N19" s="137"/>
      <c r="P19" s="128"/>
      <c r="R19" s="143"/>
      <c r="S19" s="129"/>
      <c r="U19" s="37"/>
    </row>
    <row r="20" spans="2:26" s="123" customFormat="1" ht="14.25" customHeight="1">
      <c r="B20" s="130"/>
      <c r="F20" s="134"/>
      <c r="G20" s="138"/>
      <c r="H20" s="139"/>
      <c r="I20" s="140"/>
      <c r="L20" s="138"/>
      <c r="M20" s="139"/>
      <c r="N20" s="140"/>
      <c r="P20" s="128"/>
      <c r="R20" s="143"/>
      <c r="S20" s="129"/>
    </row>
    <row r="21" spans="2:26" s="123" customFormat="1" ht="14.25" customHeight="1">
      <c r="B21" s="130"/>
      <c r="F21" s="134"/>
      <c r="P21" s="128"/>
      <c r="R21" s="143"/>
      <c r="S21" s="129"/>
    </row>
    <row r="22" spans="2:26" s="123" customFormat="1" ht="14.25" customHeight="1">
      <c r="B22" s="130"/>
      <c r="C22" s="131"/>
      <c r="D22" s="132"/>
      <c r="E22" s="133"/>
      <c r="F22" s="134"/>
      <c r="L22" s="131"/>
      <c r="M22" s="132"/>
      <c r="N22" s="133"/>
      <c r="P22" s="128"/>
      <c r="R22" s="143"/>
      <c r="S22" s="129"/>
    </row>
    <row r="23" spans="2:26" s="123" customFormat="1" ht="14.25" customHeight="1">
      <c r="B23" s="130"/>
      <c r="C23" s="135"/>
      <c r="D23" s="136" t="s">
        <v>389</v>
      </c>
      <c r="E23" s="137"/>
      <c r="L23" s="135"/>
      <c r="M23" s="142" t="s">
        <v>379</v>
      </c>
      <c r="N23" s="137"/>
      <c r="P23" s="128"/>
      <c r="R23" s="143"/>
      <c r="S23" s="129"/>
    </row>
    <row r="24" spans="2:26" s="123" customFormat="1" ht="14.25" customHeight="1">
      <c r="B24" s="130"/>
      <c r="C24" s="138"/>
      <c r="D24" s="139"/>
      <c r="E24" s="140"/>
      <c r="L24" s="138"/>
      <c r="M24" s="139"/>
      <c r="N24" s="140"/>
      <c r="P24" s="128"/>
      <c r="R24" s="143"/>
      <c r="S24" s="129"/>
    </row>
    <row r="25" spans="2:26" s="123" customFormat="1" ht="14.25" customHeight="1">
      <c r="B25" s="130"/>
      <c r="P25" s="143"/>
      <c r="R25" s="143"/>
      <c r="S25" s="129"/>
    </row>
    <row r="26" spans="2:26" s="96" customFormat="1" ht="14.25" customHeight="1">
      <c r="B26" s="130"/>
      <c r="F26" s="144"/>
      <c r="G26" s="143"/>
      <c r="H26" s="123"/>
      <c r="I26" s="123"/>
      <c r="J26" s="123"/>
      <c r="K26" s="123"/>
      <c r="L26" s="131"/>
      <c r="M26" s="132"/>
      <c r="N26" s="133"/>
      <c r="O26" s="123"/>
      <c r="S26" s="129"/>
      <c r="T26" s="123"/>
      <c r="U26" s="123"/>
      <c r="V26" s="123"/>
      <c r="W26" s="123"/>
      <c r="X26" s="123"/>
      <c r="Y26" s="123"/>
      <c r="Z26" s="123"/>
    </row>
    <row r="27" spans="2:26" s="123" customFormat="1" ht="14.25" customHeight="1">
      <c r="B27" s="130"/>
      <c r="F27" s="134"/>
      <c r="G27" s="143"/>
      <c r="L27" s="135"/>
      <c r="M27" s="142" t="s">
        <v>375</v>
      </c>
      <c r="N27" s="137"/>
      <c r="S27" s="129"/>
    </row>
    <row r="28" spans="2:26" s="123" customFormat="1" ht="14.25" customHeight="1">
      <c r="B28" s="130"/>
      <c r="F28" s="134"/>
      <c r="L28" s="138"/>
      <c r="M28" s="139"/>
      <c r="N28" s="140"/>
      <c r="S28" s="129"/>
    </row>
    <row r="29" spans="2:26" s="123" customFormat="1" ht="14.25" customHeight="1">
      <c r="B29" s="130"/>
      <c r="F29" s="134"/>
      <c r="P29" s="128"/>
      <c r="R29" s="143"/>
      <c r="S29" s="129"/>
    </row>
    <row r="30" spans="2:26" s="123" customFormat="1" ht="14.25" customHeight="1">
      <c r="B30" s="130"/>
      <c r="F30" s="134"/>
      <c r="L30" s="131"/>
      <c r="M30" s="132"/>
      <c r="N30" s="133"/>
      <c r="P30" s="128"/>
      <c r="R30" s="143"/>
      <c r="S30" s="129"/>
    </row>
    <row r="31" spans="2:26" s="123" customFormat="1" ht="14.25" customHeight="1">
      <c r="B31" s="130"/>
      <c r="C31" s="134"/>
      <c r="D31" s="134"/>
      <c r="E31" s="134"/>
      <c r="F31" s="134"/>
      <c r="L31" s="135"/>
      <c r="M31" s="142" t="s">
        <v>376</v>
      </c>
      <c r="N31" s="137"/>
      <c r="P31" s="128"/>
      <c r="R31" s="143"/>
      <c r="S31" s="129"/>
    </row>
    <row r="32" spans="2:26" s="123" customFormat="1" ht="14.25" customHeight="1">
      <c r="B32" s="130"/>
      <c r="C32" s="131"/>
      <c r="D32" s="132"/>
      <c r="E32" s="133"/>
      <c r="L32" s="138"/>
      <c r="M32" s="139"/>
      <c r="N32" s="140"/>
      <c r="P32" s="143"/>
      <c r="R32" s="143"/>
      <c r="S32" s="129"/>
    </row>
    <row r="33" spans="1:26" s="123" customFormat="1" ht="14.25" customHeight="1">
      <c r="B33" s="130"/>
      <c r="C33" s="135"/>
      <c r="D33" s="136" t="s">
        <v>390</v>
      </c>
      <c r="E33" s="137"/>
      <c r="P33" s="143"/>
      <c r="R33" s="143"/>
      <c r="S33" s="129"/>
    </row>
    <row r="34" spans="1:26" s="123" customFormat="1" ht="14.25" customHeight="1">
      <c r="B34" s="130"/>
      <c r="C34" s="138"/>
      <c r="D34" s="139"/>
      <c r="E34" s="140"/>
      <c r="L34" s="131"/>
      <c r="M34" s="132"/>
      <c r="N34" s="133"/>
      <c r="S34" s="129"/>
    </row>
    <row r="35" spans="1:26" s="96" customFormat="1" ht="14.25" customHeight="1">
      <c r="B35" s="130"/>
      <c r="C35" s="134"/>
      <c r="D35" s="134"/>
      <c r="E35" s="134"/>
      <c r="F35" s="144"/>
      <c r="J35" s="123"/>
      <c r="K35" s="123"/>
      <c r="L35" s="135"/>
      <c r="M35" s="142" t="s">
        <v>377</v>
      </c>
      <c r="N35" s="137"/>
      <c r="O35" s="123"/>
      <c r="S35" s="129"/>
      <c r="T35" s="123"/>
      <c r="U35" s="123"/>
      <c r="V35" s="123"/>
      <c r="W35" s="123"/>
      <c r="X35" s="123"/>
      <c r="Y35" s="123"/>
      <c r="Z35" s="123"/>
    </row>
    <row r="36" spans="1:26" s="123" customFormat="1" ht="14.25" customHeight="1">
      <c r="B36" s="130"/>
      <c r="F36" s="134"/>
      <c r="L36" s="138"/>
      <c r="M36" s="139"/>
      <c r="N36" s="140"/>
      <c r="S36" s="129"/>
    </row>
    <row r="37" spans="1:26" s="123" customFormat="1" ht="14.25" customHeight="1">
      <c r="B37" s="130"/>
      <c r="F37" s="134"/>
      <c r="P37" s="143"/>
      <c r="R37" s="143"/>
      <c r="S37" s="129"/>
    </row>
    <row r="38" spans="1:26" s="123" customFormat="1" ht="14.25" customHeight="1">
      <c r="B38" s="130"/>
      <c r="C38" s="131"/>
      <c r="D38" s="132"/>
      <c r="E38" s="133"/>
      <c r="F38" s="134"/>
      <c r="L38" s="131"/>
      <c r="M38" s="132"/>
      <c r="N38" s="133"/>
      <c r="P38" s="128"/>
      <c r="R38" s="143"/>
      <c r="S38" s="129"/>
    </row>
    <row r="39" spans="1:26" s="123" customFormat="1" ht="14.25" customHeight="1">
      <c r="B39" s="130"/>
      <c r="C39" s="135"/>
      <c r="D39" s="136" t="s">
        <v>369</v>
      </c>
      <c r="E39" s="137"/>
      <c r="F39" s="134"/>
      <c r="L39" s="135"/>
      <c r="M39" s="142" t="s">
        <v>378</v>
      </c>
      <c r="N39" s="137"/>
      <c r="P39" s="128"/>
      <c r="R39" s="143"/>
      <c r="S39" s="129"/>
    </row>
    <row r="40" spans="1:26" s="123" customFormat="1" ht="14.25" customHeight="1">
      <c r="B40" s="130"/>
      <c r="C40" s="138"/>
      <c r="D40" s="139"/>
      <c r="E40" s="140"/>
      <c r="F40" s="144"/>
      <c r="L40" s="138"/>
      <c r="M40" s="139"/>
      <c r="N40" s="140"/>
      <c r="S40" s="129"/>
    </row>
    <row r="41" spans="1:26" s="123" customFormat="1" ht="14.25" customHeight="1">
      <c r="B41" s="130"/>
      <c r="C41" s="2"/>
      <c r="D41" s="2"/>
      <c r="E41" s="2"/>
      <c r="F41" s="144"/>
      <c r="S41" s="129"/>
    </row>
    <row r="42" spans="1:26" s="123" customFormat="1" ht="14.25" customHeight="1">
      <c r="A42" s="129"/>
      <c r="B42" s="130"/>
      <c r="C42" s="131"/>
      <c r="D42" s="132"/>
      <c r="E42" s="133"/>
      <c r="P42" s="131"/>
      <c r="Q42" s="132"/>
      <c r="R42" s="133"/>
      <c r="S42" s="129"/>
    </row>
    <row r="43" spans="1:26" ht="14.25" customHeight="1">
      <c r="A43" s="129"/>
      <c r="C43" s="135"/>
      <c r="D43" s="136" t="s">
        <v>370</v>
      </c>
      <c r="E43" s="137"/>
      <c r="P43" s="135"/>
      <c r="Q43" s="145" t="s">
        <v>474</v>
      </c>
      <c r="R43" s="137"/>
      <c r="S43" s="149"/>
    </row>
    <row r="44" spans="1:26" s="96" customFormat="1" ht="14.25" customHeight="1">
      <c r="A44" s="129"/>
      <c r="C44" s="138"/>
      <c r="D44" s="139"/>
      <c r="E44" s="140"/>
      <c r="P44" s="138"/>
      <c r="Q44" s="139"/>
      <c r="R44" s="140"/>
      <c r="S44" s="149"/>
    </row>
    <row r="45" spans="1:26" s="96" customFormat="1" ht="14.25" customHeight="1">
      <c r="A45" s="129"/>
      <c r="S45" s="149"/>
    </row>
    <row r="46" spans="1:26" s="96" customFormat="1" ht="14.25" customHeight="1">
      <c r="A46" s="129"/>
      <c r="C46" s="131"/>
      <c r="D46" s="132"/>
      <c r="E46" s="133"/>
      <c r="L46" s="131"/>
      <c r="M46" s="132"/>
      <c r="N46" s="133"/>
      <c r="S46" s="149"/>
    </row>
    <row r="47" spans="1:26" s="96" customFormat="1" ht="14.25" customHeight="1">
      <c r="A47" s="129"/>
      <c r="C47" s="135"/>
      <c r="D47" s="136" t="s">
        <v>371</v>
      </c>
      <c r="E47" s="137"/>
      <c r="L47" s="135"/>
      <c r="M47" s="142" t="s">
        <v>380</v>
      </c>
      <c r="N47" s="137"/>
      <c r="S47" s="149"/>
    </row>
    <row r="48" spans="1:26" s="96" customFormat="1" ht="14.25" customHeight="1">
      <c r="A48" s="129"/>
      <c r="C48" s="138"/>
      <c r="D48" s="139"/>
      <c r="E48" s="140"/>
      <c r="L48" s="138"/>
      <c r="M48" s="139"/>
      <c r="N48" s="140"/>
      <c r="S48" s="149"/>
    </row>
    <row r="49" spans="1:20" s="96" customFormat="1" ht="14.25" customHeight="1">
      <c r="A49" s="129"/>
      <c r="C49" s="2"/>
      <c r="D49" s="2"/>
      <c r="E49" s="2"/>
      <c r="L49" s="123"/>
      <c r="M49" s="123"/>
      <c r="N49" s="123"/>
      <c r="S49" s="149"/>
    </row>
    <row r="50" spans="1:20" s="96" customFormat="1" ht="14.25" customHeight="1">
      <c r="A50" s="129"/>
      <c r="L50" s="131"/>
      <c r="M50" s="132"/>
      <c r="N50" s="133"/>
      <c r="S50" s="149"/>
    </row>
    <row r="51" spans="1:20" s="96" customFormat="1" ht="14.25" customHeight="1">
      <c r="A51" s="129"/>
      <c r="L51" s="135"/>
      <c r="M51" s="142" t="s">
        <v>381</v>
      </c>
      <c r="N51" s="137"/>
      <c r="P51" s="131"/>
      <c r="Q51" s="132"/>
      <c r="R51" s="133"/>
      <c r="S51" s="149"/>
    </row>
    <row r="52" spans="1:20" s="96" customFormat="1" ht="14.25" customHeight="1">
      <c r="A52" s="129"/>
      <c r="L52" s="138"/>
      <c r="M52" s="139"/>
      <c r="N52" s="140"/>
      <c r="P52" s="135"/>
      <c r="Q52" s="145" t="s">
        <v>475</v>
      </c>
      <c r="R52" s="137"/>
      <c r="S52" s="149"/>
    </row>
    <row r="53" spans="1:20" s="96" customFormat="1" ht="14.25" customHeight="1">
      <c r="A53" s="129"/>
      <c r="P53" s="138"/>
      <c r="Q53" s="139"/>
      <c r="R53" s="140"/>
      <c r="S53" s="149"/>
    </row>
    <row r="54" spans="1:20" s="96" customFormat="1" ht="14.25" customHeight="1">
      <c r="A54" s="129"/>
      <c r="B54" s="146"/>
      <c r="C54" s="147"/>
      <c r="D54" s="147"/>
      <c r="E54" s="147"/>
      <c r="F54" s="147"/>
      <c r="G54" s="147"/>
      <c r="H54" s="147"/>
      <c r="I54" s="147"/>
      <c r="J54" s="147"/>
      <c r="K54" s="147"/>
      <c r="L54" s="147"/>
      <c r="M54" s="147"/>
      <c r="N54" s="147"/>
      <c r="O54" s="147"/>
      <c r="P54" s="147"/>
      <c r="Q54" s="147"/>
      <c r="R54" s="147"/>
      <c r="S54" s="150"/>
      <c r="T54" s="151"/>
    </row>
    <row r="55" spans="1:20" s="96" customFormat="1" ht="14.25" customHeight="1"/>
    <row r="56" spans="1:20" s="7" customFormat="1">
      <c r="B56" s="7" t="s">
        <v>16</v>
      </c>
      <c r="J56" s="100"/>
    </row>
    <row r="57" spans="1:20">
      <c r="C57" s="8"/>
    </row>
    <row r="58" spans="1:20">
      <c r="B58" s="1" t="s">
        <v>40</v>
      </c>
      <c r="C58" s="8"/>
      <c r="D58" s="1" t="s">
        <v>17</v>
      </c>
      <c r="F58" s="13"/>
    </row>
    <row r="59" spans="1:20">
      <c r="C59" s="8"/>
    </row>
    <row r="60" spans="1:20">
      <c r="B60" s="14">
        <v>123</v>
      </c>
      <c r="C60" s="8"/>
      <c r="D60" s="34" t="s">
        <v>56</v>
      </c>
    </row>
    <row r="61" spans="1:20">
      <c r="B61" s="15">
        <f>B60</f>
        <v>123</v>
      </c>
      <c r="C61" s="8"/>
      <c r="D61" s="2" t="s">
        <v>18</v>
      </c>
    </row>
    <row r="62" spans="1:20">
      <c r="B62" s="154">
        <f>B61+B60</f>
        <v>246</v>
      </c>
      <c r="C62" s="8"/>
      <c r="D62" s="2" t="s">
        <v>19</v>
      </c>
    </row>
    <row r="63" spans="1:20">
      <c r="B63" s="16">
        <f>B61+B62</f>
        <v>369</v>
      </c>
      <c r="C63" s="8"/>
      <c r="D63" s="34" t="s">
        <v>55</v>
      </c>
      <c r="E63" s="13"/>
      <c r="F63" s="5"/>
    </row>
    <row r="64" spans="1:20">
      <c r="B64" s="17"/>
      <c r="C64" s="8"/>
      <c r="D64" s="3" t="s">
        <v>20</v>
      </c>
      <c r="E64" s="13"/>
    </row>
    <row r="65" spans="2:7">
      <c r="B65" s="8"/>
      <c r="C65" s="8"/>
    </row>
    <row r="66" spans="2:7">
      <c r="B66" s="18" t="s">
        <v>21</v>
      </c>
      <c r="C66" s="8"/>
    </row>
    <row r="67" spans="2:7">
      <c r="B67" s="19">
        <f>B63+16</f>
        <v>385</v>
      </c>
      <c r="C67" s="8"/>
      <c r="D67" s="2" t="s">
        <v>22</v>
      </c>
    </row>
    <row r="68" spans="2:7">
      <c r="B68" s="20">
        <f>B61*PI()</f>
        <v>386.41589639154455</v>
      </c>
      <c r="C68" s="21"/>
      <c r="D68" s="2" t="s">
        <v>23</v>
      </c>
    </row>
    <row r="69" spans="2:7">
      <c r="B69" s="21"/>
      <c r="C69" s="21"/>
    </row>
    <row r="70" spans="2:7">
      <c r="B70" s="22" t="s">
        <v>24</v>
      </c>
      <c r="C70" s="22"/>
    </row>
    <row r="71" spans="2:7">
      <c r="B71" s="23">
        <v>123</v>
      </c>
      <c r="C71" s="22"/>
      <c r="D71" s="3" t="s">
        <v>25</v>
      </c>
      <c r="G71" s="13"/>
    </row>
    <row r="72" spans="2:7">
      <c r="B72" s="24">
        <v>124</v>
      </c>
      <c r="C72" s="22"/>
      <c r="D72" s="97" t="s">
        <v>308</v>
      </c>
    </row>
    <row r="73" spans="2:7">
      <c r="B73" s="25">
        <f>B62-B63</f>
        <v>-123</v>
      </c>
      <c r="C73" s="26"/>
      <c r="D73" s="2" t="s">
        <v>309</v>
      </c>
    </row>
    <row r="76" spans="2:7">
      <c r="B76" s="1" t="s">
        <v>35</v>
      </c>
    </row>
    <row r="77" spans="2:7">
      <c r="B77" s="1"/>
    </row>
    <row r="78" spans="2:7">
      <c r="B78" s="4" t="s">
        <v>41</v>
      </c>
    </row>
    <row r="79" spans="2:7">
      <c r="B79" s="31" t="s">
        <v>34</v>
      </c>
      <c r="C79" s="8"/>
      <c r="D79" s="3" t="s">
        <v>44</v>
      </c>
    </row>
    <row r="80" spans="2:7">
      <c r="B80" s="30" t="s">
        <v>32</v>
      </c>
      <c r="C80" s="8"/>
      <c r="D80" s="3" t="s">
        <v>36</v>
      </c>
    </row>
    <row r="81" spans="2:4">
      <c r="B81" s="155" t="s">
        <v>33</v>
      </c>
      <c r="C81" s="8"/>
      <c r="D81" s="3" t="s">
        <v>37</v>
      </c>
    </row>
    <row r="82" spans="2:4">
      <c r="B82" s="20" t="s">
        <v>33</v>
      </c>
      <c r="C82" s="8"/>
      <c r="D82" s="3" t="s">
        <v>39</v>
      </c>
    </row>
    <row r="83" spans="2:4">
      <c r="C83" s="8"/>
      <c r="D83" s="3"/>
    </row>
    <row r="84" spans="2:4">
      <c r="B84" s="4" t="s">
        <v>43</v>
      </c>
      <c r="C84" s="8"/>
      <c r="D84" s="3"/>
    </row>
    <row r="85" spans="2:4">
      <c r="B85" s="32" t="s">
        <v>38</v>
      </c>
      <c r="C85" s="8"/>
      <c r="D85" s="3" t="s">
        <v>45</v>
      </c>
    </row>
    <row r="86" spans="2:4">
      <c r="B86" s="33" t="s">
        <v>42</v>
      </c>
      <c r="D86" s="3" t="s">
        <v>46</v>
      </c>
    </row>
  </sheetData>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P42"/>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cols>
    <col min="1" max="1" width="4" style="2" customWidth="1"/>
    <col min="2" max="2" width="67.1406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2.5703125" style="2" customWidth="1"/>
    <col min="11" max="11" width="2.7109375" style="2" customWidth="1"/>
    <col min="12" max="13" width="12.5703125" style="2" customWidth="1"/>
    <col min="14" max="14" width="2.7109375" style="2" customWidth="1"/>
    <col min="15" max="29" width="13.7109375" style="2" customWidth="1"/>
    <col min="30" max="16384" width="9.140625" style="2"/>
  </cols>
  <sheetData>
    <row r="1" spans="1:16">
      <c r="A1" s="8"/>
    </row>
    <row r="2" spans="1:16" s="28" customFormat="1" ht="18">
      <c r="B2" s="28" t="s">
        <v>363</v>
      </c>
    </row>
    <row r="4" spans="1:16" s="96" customFormat="1">
      <c r="B4" s="245" t="s">
        <v>497</v>
      </c>
      <c r="C4" s="245"/>
      <c r="D4" s="245"/>
      <c r="E4" s="245"/>
    </row>
    <row r="5" spans="1:16" s="96" customFormat="1">
      <c r="B5" s="245"/>
      <c r="C5" s="245"/>
      <c r="D5" s="245"/>
      <c r="E5" s="245"/>
    </row>
    <row r="6" spans="1:16" s="96" customFormat="1">
      <c r="B6" s="245"/>
      <c r="C6" s="245"/>
      <c r="D6" s="245"/>
      <c r="E6" s="245"/>
    </row>
    <row r="7" spans="1:16" s="96" customFormat="1">
      <c r="B7" s="245"/>
      <c r="C7" s="245"/>
      <c r="D7" s="245"/>
      <c r="E7" s="245"/>
    </row>
    <row r="8" spans="1:16" s="96" customFormat="1">
      <c r="B8" s="245"/>
      <c r="C8" s="245"/>
      <c r="D8" s="245"/>
      <c r="E8" s="245"/>
    </row>
    <row r="9" spans="1:16" s="96" customFormat="1">
      <c r="B9" s="245"/>
      <c r="C9" s="245"/>
      <c r="D9" s="245"/>
      <c r="E9" s="245"/>
    </row>
    <row r="10" spans="1:16" s="96" customFormat="1">
      <c r="B10" s="245"/>
      <c r="C10" s="245"/>
      <c r="D10" s="245"/>
      <c r="E10" s="245"/>
    </row>
    <row r="11" spans="1:16" s="7" customFormat="1">
      <c r="B11" s="7" t="s">
        <v>47</v>
      </c>
      <c r="F11" s="7" t="s">
        <v>28</v>
      </c>
      <c r="H11" s="7" t="s">
        <v>29</v>
      </c>
      <c r="J11" s="7" t="s">
        <v>51</v>
      </c>
      <c r="L11" s="7" t="s">
        <v>90</v>
      </c>
      <c r="M11" s="7" t="s">
        <v>93</v>
      </c>
      <c r="O11" s="7" t="s">
        <v>49</v>
      </c>
      <c r="P11" s="46"/>
    </row>
    <row r="14" spans="1:16" s="7" customFormat="1">
      <c r="B14" s="7" t="s">
        <v>50</v>
      </c>
    </row>
    <row r="16" spans="1:16">
      <c r="B16" s="2" t="s">
        <v>398</v>
      </c>
      <c r="F16" s="2" t="s">
        <v>65</v>
      </c>
      <c r="H16" s="119">
        <f>'Tab 12_Berekening parameters'!T57</f>
        <v>8.1600000000000117E-2</v>
      </c>
    </row>
    <row r="18" spans="2:15">
      <c r="B18" s="1" t="s">
        <v>193</v>
      </c>
    </row>
    <row r="19" spans="2:15">
      <c r="B19" s="2" t="s">
        <v>184</v>
      </c>
      <c r="F19" s="2" t="s">
        <v>162</v>
      </c>
      <c r="L19" s="47">
        <f>'Tab 6_Correcties en prognoses'!R15</f>
        <v>-87987</v>
      </c>
      <c r="M19" s="47">
        <f>'Tab 6_Correcties en prognoses'!R21</f>
        <v>-1892375.437607988</v>
      </c>
    </row>
    <row r="21" spans="2:15">
      <c r="B21" s="1" t="s">
        <v>201</v>
      </c>
    </row>
    <row r="22" spans="2:15">
      <c r="B22" s="2" t="s">
        <v>210</v>
      </c>
      <c r="F22" s="2" t="s">
        <v>162</v>
      </c>
      <c r="M22" s="47">
        <f>'Tab 10_Brondata'!R49</f>
        <v>17145097.065349441</v>
      </c>
      <c r="O22" s="37"/>
    </row>
    <row r="23" spans="2:15">
      <c r="B23" s="2" t="s">
        <v>211</v>
      </c>
      <c r="F23" s="2" t="s">
        <v>162</v>
      </c>
      <c r="M23" s="47">
        <f>'Tab 10_Brondata'!R50</f>
        <v>20971068.52</v>
      </c>
    </row>
    <row r="25" spans="2:15">
      <c r="B25" s="1" t="s">
        <v>192</v>
      </c>
    </row>
    <row r="26" spans="2:15">
      <c r="B26" s="2" t="s">
        <v>190</v>
      </c>
      <c r="F26" s="2" t="s">
        <v>162</v>
      </c>
      <c r="L26" s="47">
        <f>'Tab 10_Brondata'!R53</f>
        <v>-19641671.197844427</v>
      </c>
      <c r="O26" s="37"/>
    </row>
    <row r="27" spans="2:15">
      <c r="B27" s="2" t="s">
        <v>191</v>
      </c>
      <c r="F27" s="2" t="s">
        <v>162</v>
      </c>
      <c r="L27" s="47">
        <f>'Tab 10_Brondata'!R54</f>
        <v>-6171843.6545918947</v>
      </c>
    </row>
    <row r="29" spans="2:15" s="7" customFormat="1">
      <c r="B29" s="7" t="s">
        <v>199</v>
      </c>
    </row>
    <row r="31" spans="2:15">
      <c r="B31" s="1" t="s">
        <v>140</v>
      </c>
    </row>
    <row r="32" spans="2:15">
      <c r="B32" s="2" t="s">
        <v>200</v>
      </c>
      <c r="F32" s="2" t="s">
        <v>164</v>
      </c>
      <c r="J32" s="48">
        <f t="shared" ref="J32:J40" si="0">SUM(L32:M32)</f>
        <v>-2141960.0125168003</v>
      </c>
      <c r="L32" s="49">
        <f>L19*(1+$H$16)</f>
        <v>-95166.739200000011</v>
      </c>
      <c r="M32" s="49">
        <f>M19*(1+$H$16)</f>
        <v>-2046793.2733168001</v>
      </c>
      <c r="O32" s="195"/>
    </row>
    <row r="33" spans="2:16">
      <c r="J33" s="59"/>
    </row>
    <row r="34" spans="2:16">
      <c r="B34" s="1" t="s">
        <v>202</v>
      </c>
      <c r="J34" s="59"/>
    </row>
    <row r="35" spans="2:16">
      <c r="B35" s="2" t="s">
        <v>212</v>
      </c>
      <c r="F35" s="2" t="s">
        <v>162</v>
      </c>
      <c r="J35" s="48">
        <f t="shared" si="0"/>
        <v>3825971.4546505585</v>
      </c>
      <c r="L35" s="17"/>
      <c r="M35" s="48">
        <f>M23-M22</f>
        <v>3825971.4546505585</v>
      </c>
    </row>
    <row r="36" spans="2:16">
      <c r="B36" s="2" t="s">
        <v>203</v>
      </c>
      <c r="F36" s="2" t="s">
        <v>164</v>
      </c>
      <c r="J36" s="48">
        <f t="shared" si="0"/>
        <v>4138170.7253500447</v>
      </c>
      <c r="L36" s="17"/>
      <c r="M36" s="49">
        <f>M35*(1+H16)</f>
        <v>4138170.7253500447</v>
      </c>
    </row>
    <row r="37" spans="2:16">
      <c r="J37" s="59"/>
    </row>
    <row r="38" spans="2:16">
      <c r="B38" s="1" t="s">
        <v>187</v>
      </c>
      <c r="J38" s="59"/>
      <c r="O38" s="97"/>
    </row>
    <row r="39" spans="2:16">
      <c r="B39" s="2" t="s">
        <v>212</v>
      </c>
      <c r="F39" s="2" t="s">
        <v>162</v>
      </c>
      <c r="J39" s="48">
        <f t="shared" si="0"/>
        <v>13469827.543252531</v>
      </c>
      <c r="L39" s="48">
        <f>L27-L26</f>
        <v>13469827.543252531</v>
      </c>
      <c r="M39" s="17"/>
      <c r="O39" s="97"/>
    </row>
    <row r="40" spans="2:16">
      <c r="B40" s="34" t="s">
        <v>204</v>
      </c>
      <c r="F40" s="2" t="s">
        <v>164</v>
      </c>
      <c r="J40" s="48">
        <f t="shared" si="0"/>
        <v>14568965.470781939</v>
      </c>
      <c r="L40" s="49">
        <f>L39*(1+H16)</f>
        <v>14568965.470781939</v>
      </c>
      <c r="M40" s="17"/>
      <c r="O40" s="184"/>
      <c r="P40" s="5"/>
    </row>
    <row r="41" spans="2:16">
      <c r="O41" s="97"/>
    </row>
    <row r="42" spans="2:16">
      <c r="O42" s="97"/>
    </row>
  </sheetData>
  <mergeCells count="1">
    <mergeCell ref="B4:E1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V51"/>
  <sheetViews>
    <sheetView showGridLines="0" zoomScale="85" zoomScaleNormal="85" workbookViewId="0">
      <pane xSplit="6" ySplit="13" topLeftCell="G14" activePane="bottomRight" state="frozen"/>
      <selection pane="topRight"/>
      <selection pane="bottomLeft"/>
      <selection pane="bottomRight"/>
    </sheetView>
  </sheetViews>
  <sheetFormatPr defaultRowHeight="12.75"/>
  <cols>
    <col min="1" max="1" width="4" style="2" customWidth="1"/>
    <col min="2" max="2" width="82.1406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2.5703125" style="2" customWidth="1"/>
    <col min="11" max="11" width="2.7109375" style="2" customWidth="1"/>
    <col min="12" max="18" width="12.5703125" style="2" customWidth="1"/>
    <col min="19" max="19" width="12.5703125" style="182" customWidth="1"/>
    <col min="20" max="20" width="2.7109375" style="2" customWidth="1"/>
    <col min="21" max="35" width="13.7109375" style="2" customWidth="1"/>
    <col min="36" max="16384" width="9.140625" style="2"/>
  </cols>
  <sheetData>
    <row r="1" spans="1:22">
      <c r="A1" s="8"/>
    </row>
    <row r="2" spans="1:22" s="28" customFormat="1" ht="18">
      <c r="B2" s="28" t="s">
        <v>364</v>
      </c>
    </row>
    <row r="4" spans="1:22">
      <c r="B4" s="1" t="s">
        <v>61</v>
      </c>
      <c r="C4" s="1"/>
      <c r="D4" s="1"/>
    </row>
    <row r="5" spans="1:22" ht="12.75" customHeight="1">
      <c r="B5" s="248" t="s">
        <v>552</v>
      </c>
      <c r="C5" s="251"/>
      <c r="D5" s="251"/>
      <c r="E5" s="251"/>
      <c r="H5" s="29"/>
    </row>
    <row r="6" spans="1:22">
      <c r="B6" s="251"/>
      <c r="C6" s="251"/>
      <c r="D6" s="251"/>
      <c r="E6" s="251"/>
      <c r="H6" s="29"/>
    </row>
    <row r="7" spans="1:22">
      <c r="B7" s="251"/>
      <c r="C7" s="251"/>
      <c r="D7" s="251"/>
      <c r="E7" s="251"/>
      <c r="H7" s="29"/>
    </row>
    <row r="8" spans="1:22">
      <c r="B8" s="251"/>
      <c r="C8" s="251"/>
      <c r="D8" s="251"/>
      <c r="E8" s="251"/>
    </row>
    <row r="9" spans="1:22" s="96" customFormat="1">
      <c r="B9" s="251"/>
      <c r="C9" s="251"/>
      <c r="D9" s="251"/>
      <c r="E9" s="251"/>
      <c r="S9" s="182"/>
    </row>
    <row r="10" spans="1:22" s="96" customFormat="1">
      <c r="B10" s="251"/>
      <c r="C10" s="251"/>
      <c r="D10" s="251"/>
      <c r="E10" s="251"/>
      <c r="S10" s="182"/>
    </row>
    <row r="12" spans="1:22" s="7" customFormat="1">
      <c r="B12" s="7" t="s">
        <v>47</v>
      </c>
      <c r="F12" s="7" t="s">
        <v>28</v>
      </c>
      <c r="H12" s="7" t="s">
        <v>29</v>
      </c>
      <c r="J12" s="7" t="s">
        <v>51</v>
      </c>
      <c r="L12" s="86">
        <v>2011</v>
      </c>
      <c r="M12" s="86">
        <v>2012</v>
      </c>
      <c r="N12" s="86">
        <v>2013</v>
      </c>
      <c r="O12" s="86">
        <v>2014</v>
      </c>
      <c r="P12" s="86">
        <v>2015</v>
      </c>
      <c r="Q12" s="86">
        <v>2016</v>
      </c>
      <c r="R12" s="86">
        <v>2017</v>
      </c>
      <c r="S12" s="86">
        <v>2018</v>
      </c>
      <c r="U12" s="7" t="s">
        <v>49</v>
      </c>
      <c r="V12" s="46"/>
    </row>
    <row r="15" spans="1:22" s="7" customFormat="1">
      <c r="B15" s="7" t="s">
        <v>50</v>
      </c>
      <c r="S15" s="100"/>
    </row>
    <row r="17" spans="2:21">
      <c r="B17" s="1" t="s">
        <v>74</v>
      </c>
    </row>
    <row r="18" spans="2:21">
      <c r="B18" s="2" t="s">
        <v>399</v>
      </c>
      <c r="F18" s="2" t="s">
        <v>65</v>
      </c>
      <c r="H18" s="119">
        <f>'Tab 12_Berekening parameters'!T51</f>
        <v>0.32508306616109528</v>
      </c>
    </row>
    <row r="19" spans="2:21">
      <c r="B19" s="96" t="s">
        <v>400</v>
      </c>
      <c r="F19" s="2" t="s">
        <v>65</v>
      </c>
      <c r="H19" s="119">
        <f>'Tab 12_Berekening parameters'!T52</f>
        <v>0.28993657724418176</v>
      </c>
    </row>
    <row r="20" spans="2:21">
      <c r="B20" s="96" t="s">
        <v>401</v>
      </c>
      <c r="F20" s="2" t="s">
        <v>65</v>
      </c>
      <c r="H20" s="119">
        <f>'Tab 12_Berekening parameters'!T53</f>
        <v>0.2561831101248484</v>
      </c>
    </row>
    <row r="21" spans="2:21">
      <c r="B21" s="96" t="s">
        <v>402</v>
      </c>
      <c r="F21" s="2" t="s">
        <v>65</v>
      </c>
      <c r="H21" s="119">
        <f>'Tab 12_Berekening parameters'!T54</f>
        <v>0.21665290240000035</v>
      </c>
    </row>
    <row r="22" spans="2:21">
      <c r="B22" s="96" t="s">
        <v>403</v>
      </c>
      <c r="F22" s="2" t="s">
        <v>65</v>
      </c>
      <c r="H22" s="119">
        <f>'Tab 12_Berekening parameters'!T55</f>
        <v>0.16985856000000021</v>
      </c>
    </row>
    <row r="23" spans="2:21">
      <c r="B23" s="96" t="s">
        <v>404</v>
      </c>
      <c r="F23" s="2" t="s">
        <v>65</v>
      </c>
      <c r="H23" s="119">
        <f>'Tab 12_Berekening parameters'!T56</f>
        <v>0.12486400000000009</v>
      </c>
    </row>
    <row r="24" spans="2:21">
      <c r="B24" s="96" t="s">
        <v>398</v>
      </c>
      <c r="F24" s="2" t="s">
        <v>65</v>
      </c>
      <c r="H24" s="119">
        <f>'Tab 12_Berekening parameters'!T57</f>
        <v>8.1600000000000117E-2</v>
      </c>
    </row>
    <row r="25" spans="2:21" s="182" customFormat="1">
      <c r="B25" s="182" t="s">
        <v>453</v>
      </c>
      <c r="F25" s="182" t="s">
        <v>65</v>
      </c>
      <c r="H25" s="119">
        <f>'Tab 12_Berekening parameters'!T58</f>
        <v>4.0000000000000036E-2</v>
      </c>
    </row>
    <row r="27" spans="2:21" s="96" customFormat="1">
      <c r="B27" s="95" t="s">
        <v>318</v>
      </c>
      <c r="S27" s="182"/>
    </row>
    <row r="28" spans="2:21">
      <c r="B28" s="2" t="s">
        <v>188</v>
      </c>
      <c r="F28" s="2" t="s">
        <v>310</v>
      </c>
      <c r="L28" s="47">
        <f>'Tab 6_Correcties en prognoses'!L18</f>
        <v>0</v>
      </c>
      <c r="M28" s="47">
        <f>'Tab 6_Correcties en prognoses'!M18</f>
        <v>0</v>
      </c>
      <c r="N28" s="47">
        <f>'Tab 6_Correcties en prognoses'!N18</f>
        <v>0</v>
      </c>
      <c r="O28" s="47">
        <f>'Tab 6_Correcties en prognoses'!O18</f>
        <v>0</v>
      </c>
      <c r="P28" s="47">
        <f>'Tab 6_Correcties en prognoses'!P18</f>
        <v>0</v>
      </c>
      <c r="Q28" s="47">
        <f>'Tab 6_Correcties en prognoses'!Q18</f>
        <v>-2208.2499999999854</v>
      </c>
      <c r="R28" s="47">
        <f>'Tab 6_Correcties en prognoses'!R18</f>
        <v>0</v>
      </c>
      <c r="S28" s="57"/>
      <c r="U28" s="29"/>
    </row>
    <row r="29" spans="2:21" s="96" customFormat="1">
      <c r="B29" s="8"/>
      <c r="L29" s="57"/>
      <c r="M29" s="57"/>
      <c r="N29" s="57"/>
      <c r="O29" s="57"/>
      <c r="P29" s="57"/>
      <c r="Q29" s="57"/>
      <c r="R29" s="57"/>
      <c r="S29" s="57"/>
    </row>
    <row r="30" spans="2:21">
      <c r="B30" s="8" t="s">
        <v>189</v>
      </c>
      <c r="F30" s="2" t="s">
        <v>310</v>
      </c>
      <c r="L30" s="47">
        <f>'Tab 6_Correcties en prognoses'!L24</f>
        <v>0</v>
      </c>
      <c r="M30" s="47">
        <f>'Tab 6_Correcties en prognoses'!M24</f>
        <v>0</v>
      </c>
      <c r="N30" s="47">
        <f>'Tab 6_Correcties en prognoses'!N24</f>
        <v>0</v>
      </c>
      <c r="O30" s="47">
        <f>'Tab 6_Correcties en prognoses'!O24</f>
        <v>0</v>
      </c>
      <c r="P30" s="47">
        <f>'Tab 6_Correcties en prognoses'!P24</f>
        <v>0</v>
      </c>
      <c r="Q30" s="47">
        <f>'Tab 6_Correcties en prognoses'!Q24</f>
        <v>281841.23</v>
      </c>
      <c r="R30" s="47">
        <f>'Tab 6_Correcties en prognoses'!R24</f>
        <v>0</v>
      </c>
      <c r="S30" s="57"/>
    </row>
    <row r="31" spans="2:21">
      <c r="B31" s="215" t="s">
        <v>555</v>
      </c>
      <c r="F31" s="96" t="s">
        <v>310</v>
      </c>
      <c r="L31" s="221">
        <f>'Tab 6_Correcties en prognoses'!L25</f>
        <v>0</v>
      </c>
      <c r="M31" s="221">
        <f>'Tab 6_Correcties en prognoses'!M25</f>
        <v>0</v>
      </c>
      <c r="N31" s="221">
        <f>'Tab 6_Correcties en prognoses'!N25</f>
        <v>0</v>
      </c>
      <c r="O31" s="221">
        <f>'Tab 6_Correcties en prognoses'!O25</f>
        <v>0</v>
      </c>
      <c r="P31" s="221">
        <f>'Tab 6_Correcties en prognoses'!P25</f>
        <v>0</v>
      </c>
      <c r="Q31" s="221">
        <f>'Tab 6_Correcties en prognoses'!Q25</f>
        <v>-166725.84</v>
      </c>
      <c r="R31" s="221">
        <f>'Tab 6_Correcties en prognoses'!R25</f>
        <v>0</v>
      </c>
      <c r="S31" s="57"/>
    </row>
    <row r="32" spans="2:21" s="8" customFormat="1">
      <c r="L32" s="57"/>
      <c r="M32" s="57"/>
      <c r="N32" s="57"/>
      <c r="O32" s="57"/>
      <c r="P32" s="57"/>
      <c r="Q32" s="57"/>
      <c r="R32" s="57"/>
      <c r="S32" s="57"/>
    </row>
    <row r="33" spans="2:19" s="8" customFormat="1">
      <c r="B33" s="111" t="s">
        <v>319</v>
      </c>
      <c r="L33" s="57"/>
      <c r="M33" s="57"/>
      <c r="N33" s="57"/>
      <c r="O33" s="57"/>
      <c r="P33" s="57"/>
      <c r="Q33" s="57"/>
      <c r="R33" s="57"/>
      <c r="S33" s="57"/>
    </row>
    <row r="34" spans="2:19">
      <c r="B34" s="2" t="s">
        <v>322</v>
      </c>
      <c r="F34" s="96" t="s">
        <v>310</v>
      </c>
      <c r="L34" s="47">
        <f>'Tab 6_Correcties en prognoses'!L31</f>
        <v>189311.89</v>
      </c>
      <c r="M34" s="47">
        <f>'Tab 6_Correcties en prognoses'!M31</f>
        <v>-1140643.77</v>
      </c>
      <c r="N34" s="47">
        <f>'Tab 6_Correcties en prognoses'!N31</f>
        <v>-485024.31096774212</v>
      </c>
      <c r="O34" s="47">
        <f>'Tab 6_Correcties en prognoses'!O31</f>
        <v>-509210.69000000018</v>
      </c>
      <c r="P34" s="57"/>
      <c r="Q34" s="57"/>
      <c r="R34" s="57"/>
      <c r="S34" s="57"/>
    </row>
    <row r="35" spans="2:19">
      <c r="B35" s="96" t="s">
        <v>320</v>
      </c>
      <c r="F35" s="96" t="s">
        <v>310</v>
      </c>
      <c r="L35" s="57"/>
      <c r="M35" s="57"/>
      <c r="N35" s="57"/>
      <c r="O35" s="57"/>
      <c r="P35" s="57"/>
      <c r="Q35" s="57"/>
      <c r="R35" s="47">
        <f>'Tab 6_Correcties en prognoses'!R32</f>
        <v>13555121.02</v>
      </c>
      <c r="S35" s="47">
        <f>'Tab 6_Correcties en prognoses'!S32</f>
        <v>2728825.51</v>
      </c>
    </row>
    <row r="36" spans="2:19">
      <c r="B36" s="96" t="s">
        <v>321</v>
      </c>
      <c r="F36" s="96" t="s">
        <v>310</v>
      </c>
      <c r="L36" s="57"/>
      <c r="M36" s="57"/>
      <c r="N36" s="57"/>
      <c r="O36" s="57"/>
      <c r="P36" s="57"/>
      <c r="Q36" s="57"/>
      <c r="R36" s="47">
        <f>'Tab 6_Correcties en prognoses'!R33</f>
        <v>0</v>
      </c>
      <c r="S36" s="47">
        <f>'Tab 6_Correcties en prognoses'!S33</f>
        <v>488057.94</v>
      </c>
    </row>
    <row r="37" spans="2:19" s="96" customFormat="1">
      <c r="B37" s="8"/>
      <c r="S37" s="182"/>
    </row>
    <row r="38" spans="2:19" s="7" customFormat="1">
      <c r="B38" s="7" t="s">
        <v>323</v>
      </c>
      <c r="S38" s="100"/>
    </row>
    <row r="40" spans="2:19" s="96" customFormat="1">
      <c r="B40" s="95" t="s">
        <v>90</v>
      </c>
      <c r="S40" s="182"/>
    </row>
    <row r="41" spans="2:19">
      <c r="B41" s="8" t="s">
        <v>578</v>
      </c>
      <c r="F41" s="2" t="s">
        <v>138</v>
      </c>
      <c r="J41" s="49">
        <f>SUM(L41:S41)</f>
        <v>-2483.980927999984</v>
      </c>
      <c r="L41" s="48">
        <f>L28*(1+$H$18)</f>
        <v>0</v>
      </c>
      <c r="M41" s="48">
        <f>M28*(1+$H$19)</f>
        <v>0</v>
      </c>
      <c r="N41" s="48">
        <f>N28*(1+$H$20)</f>
        <v>0</v>
      </c>
      <c r="O41" s="48">
        <f>O28*(1+$H$21)</f>
        <v>0</v>
      </c>
      <c r="P41" s="48">
        <f>P28*(1+$H$22)</f>
        <v>0</v>
      </c>
      <c r="Q41" s="48">
        <f>Q28*(1+$H$23)</f>
        <v>-2483.980927999984</v>
      </c>
      <c r="R41" s="48">
        <f>R28*(1+$H$24)</f>
        <v>0</v>
      </c>
      <c r="S41" s="186"/>
    </row>
    <row r="42" spans="2:19">
      <c r="B42" s="8"/>
      <c r="J42" s="59"/>
      <c r="S42" s="8"/>
    </row>
    <row r="43" spans="2:19" s="96" customFormat="1">
      <c r="B43" s="111" t="s">
        <v>93</v>
      </c>
      <c r="J43" s="59"/>
      <c r="S43" s="8"/>
    </row>
    <row r="44" spans="2:19">
      <c r="B44" s="8" t="s">
        <v>579</v>
      </c>
      <c r="F44" s="2" t="s">
        <v>138</v>
      </c>
      <c r="J44" s="49">
        <f>SUM(L44:S44)</f>
        <v>317033.05334272003</v>
      </c>
      <c r="L44" s="48">
        <f>L30*(1+$H$18)</f>
        <v>0</v>
      </c>
      <c r="M44" s="48">
        <f>M30*(1+$H$19)</f>
        <v>0</v>
      </c>
      <c r="N44" s="48">
        <f>N30*(1+$H$20)</f>
        <v>0</v>
      </c>
      <c r="O44" s="48">
        <f>O30*(1+$H$21)</f>
        <v>0</v>
      </c>
      <c r="P44" s="48">
        <f>P30*(1+$H$22)</f>
        <v>0</v>
      </c>
      <c r="Q44" s="48">
        <f>Q30*(1+$H$23)</f>
        <v>317033.05334272003</v>
      </c>
      <c r="R44" s="48">
        <f>R30*(1+$H$24)</f>
        <v>0</v>
      </c>
      <c r="S44" s="186"/>
    </row>
    <row r="45" spans="2:19">
      <c r="B45" s="218" t="s">
        <v>580</v>
      </c>
      <c r="F45" s="2" t="s">
        <v>138</v>
      </c>
      <c r="J45" s="49">
        <f t="shared" ref="J45" si="0">SUM(L45:S45)</f>
        <v>-187543.89528576002</v>
      </c>
      <c r="L45" s="48">
        <f>L31*(1+$H$18)</f>
        <v>0</v>
      </c>
      <c r="M45" s="48">
        <f>M31*(1+$H$19)</f>
        <v>0</v>
      </c>
      <c r="N45" s="48">
        <f>N31*(1+$H$20)</f>
        <v>0</v>
      </c>
      <c r="O45" s="48">
        <f>O31*(1+$H$21)</f>
        <v>0</v>
      </c>
      <c r="P45" s="48">
        <f>P31*(1+$H$22)</f>
        <v>0</v>
      </c>
      <c r="Q45" s="48">
        <f>Q31*(1+$H$23)</f>
        <v>-187543.89528576002</v>
      </c>
      <c r="R45" s="48">
        <f>R31*(1+$H$24)</f>
        <v>0</v>
      </c>
      <c r="S45" s="186"/>
    </row>
    <row r="46" spans="2:19">
      <c r="J46" s="59"/>
    </row>
    <row r="47" spans="2:19" s="100" customFormat="1">
      <c r="B47" s="100" t="s">
        <v>325</v>
      </c>
    </row>
    <row r="49" spans="2:19">
      <c r="B49" s="8" t="s">
        <v>324</v>
      </c>
      <c r="F49" s="2" t="s">
        <v>138</v>
      </c>
      <c r="J49" s="49">
        <f>SUM(L49:S49)</f>
        <v>-2449316.1522259749</v>
      </c>
      <c r="L49" s="48">
        <f>L34*(1+$H$18)</f>
        <v>250853.97966195201</v>
      </c>
      <c r="M49" s="48">
        <f>M34*(1+$H$19)</f>
        <v>-1471358.1205286998</v>
      </c>
      <c r="N49" s="48">
        <f>N34*(1+$H$20)</f>
        <v>-609279.34743761993</v>
      </c>
      <c r="O49" s="48">
        <f>O34*(1+$H$21)</f>
        <v>-619532.66392160708</v>
      </c>
      <c r="P49" s="159"/>
      <c r="Q49" s="159"/>
      <c r="R49" s="159"/>
      <c r="S49" s="159"/>
    </row>
    <row r="50" spans="2:19" s="96" customFormat="1">
      <c r="B50" s="96" t="s">
        <v>327</v>
      </c>
      <c r="F50" s="96" t="s">
        <v>138</v>
      </c>
      <c r="J50" s="49">
        <f t="shared" ref="J50:J51" si="1">SUM(L50:S50)</f>
        <v>17499197.425632</v>
      </c>
      <c r="L50" s="186"/>
      <c r="M50" s="186"/>
      <c r="N50" s="186"/>
      <c r="O50" s="186"/>
      <c r="P50" s="186"/>
      <c r="Q50" s="186"/>
      <c r="R50" s="48">
        <f>R35*(1+$H$24)</f>
        <v>14661218.895232001</v>
      </c>
      <c r="S50" s="48">
        <f>S35*(1+$H$25)</f>
        <v>2837978.5304</v>
      </c>
    </row>
    <row r="51" spans="2:19" s="96" customFormat="1">
      <c r="B51" s="96" t="s">
        <v>326</v>
      </c>
      <c r="F51" s="96" t="s">
        <v>138</v>
      </c>
      <c r="J51" s="49">
        <f t="shared" si="1"/>
        <v>507580.25760000001</v>
      </c>
      <c r="L51" s="186"/>
      <c r="M51" s="186"/>
      <c r="N51" s="186"/>
      <c r="O51" s="186"/>
      <c r="P51" s="186"/>
      <c r="Q51" s="186"/>
      <c r="R51" s="48">
        <f>R36*(1+$H$24)</f>
        <v>0</v>
      </c>
      <c r="S51" s="48">
        <f>S36*(1+$H$25)</f>
        <v>507580.25760000001</v>
      </c>
    </row>
  </sheetData>
  <mergeCells count="1">
    <mergeCell ref="B5:E1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R52"/>
  <sheetViews>
    <sheetView showGridLines="0" zoomScale="85" zoomScaleNormal="85" workbookViewId="0">
      <pane xSplit="6" ySplit="14" topLeftCell="G15" activePane="bottomRight" state="frozen"/>
      <selection pane="topRight"/>
      <selection pane="bottomLeft"/>
      <selection pane="bottomRight"/>
    </sheetView>
  </sheetViews>
  <sheetFormatPr defaultRowHeight="12.75"/>
  <cols>
    <col min="1" max="1" width="4" style="2" customWidth="1"/>
    <col min="2" max="2" width="55" style="2" customWidth="1"/>
    <col min="3" max="5" width="4.5703125" style="2" customWidth="1"/>
    <col min="6" max="6" width="13.7109375" style="2" customWidth="1"/>
    <col min="7" max="7" width="2.7109375" style="2" customWidth="1"/>
    <col min="8" max="8" width="15.28515625" style="2" customWidth="1"/>
    <col min="9" max="9" width="2.7109375" style="2" customWidth="1"/>
    <col min="10" max="10" width="15.28515625" style="2" customWidth="1"/>
    <col min="11" max="11" width="2.7109375" style="2" customWidth="1"/>
    <col min="12" max="16" width="15.28515625" style="2" customWidth="1"/>
    <col min="17" max="17" width="2.7109375" style="2" customWidth="1"/>
    <col min="18" max="32" width="13.7109375" style="2" customWidth="1"/>
    <col min="33" max="16384" width="9.140625" style="2"/>
  </cols>
  <sheetData>
    <row r="1" spans="1:18">
      <c r="A1" s="8"/>
    </row>
    <row r="2" spans="1:18" s="28" customFormat="1" ht="18">
      <c r="B2" s="28" t="s">
        <v>384</v>
      </c>
    </row>
    <row r="4" spans="1:18" s="166" customFormat="1">
      <c r="B4" s="245" t="s">
        <v>515</v>
      </c>
      <c r="C4" s="245"/>
      <c r="D4" s="245"/>
      <c r="E4" s="245"/>
      <c r="H4" s="97"/>
    </row>
    <row r="5" spans="1:18" s="166" customFormat="1">
      <c r="B5" s="245"/>
      <c r="C5" s="245"/>
      <c r="D5" s="245"/>
      <c r="E5" s="245"/>
      <c r="H5" s="97"/>
    </row>
    <row r="6" spans="1:18" s="166" customFormat="1">
      <c r="B6" s="245"/>
      <c r="C6" s="245"/>
      <c r="D6" s="245"/>
      <c r="E6" s="245"/>
    </row>
    <row r="7" spans="1:18" s="166" customFormat="1">
      <c r="B7" s="245"/>
      <c r="C7" s="245"/>
      <c r="D7" s="245"/>
      <c r="E7" s="245"/>
    </row>
    <row r="8" spans="1:18" s="166" customFormat="1">
      <c r="B8" s="245"/>
      <c r="C8" s="245"/>
      <c r="D8" s="245"/>
      <c r="E8" s="245"/>
    </row>
    <row r="9" spans="1:18" s="166" customFormat="1">
      <c r="B9" s="245"/>
      <c r="C9" s="245"/>
      <c r="D9" s="245"/>
      <c r="E9" s="245"/>
    </row>
    <row r="10" spans="1:18" s="166" customFormat="1">
      <c r="B10" s="245"/>
      <c r="C10" s="245"/>
      <c r="D10" s="245"/>
      <c r="E10" s="245"/>
    </row>
    <row r="11" spans="1:18">
      <c r="B11" s="245"/>
      <c r="C11" s="245"/>
      <c r="D11" s="245"/>
      <c r="E11" s="245"/>
    </row>
    <row r="13" spans="1:18" s="7" customFormat="1" ht="51">
      <c r="B13" s="7" t="s">
        <v>47</v>
      </c>
      <c r="F13" s="7" t="s">
        <v>28</v>
      </c>
      <c r="H13" s="7" t="s">
        <v>29</v>
      </c>
      <c r="J13" s="7" t="s">
        <v>51</v>
      </c>
      <c r="L13" s="53" t="s">
        <v>86</v>
      </c>
      <c r="M13" s="42" t="s">
        <v>87</v>
      </c>
      <c r="N13" s="42" t="s">
        <v>88</v>
      </c>
      <c r="O13" s="42" t="s">
        <v>89</v>
      </c>
      <c r="P13" s="42" t="s">
        <v>243</v>
      </c>
      <c r="R13" s="7" t="s">
        <v>49</v>
      </c>
    </row>
    <row r="16" spans="1:18" s="7" customFormat="1">
      <c r="B16" s="7" t="s">
        <v>50</v>
      </c>
    </row>
    <row r="18" spans="2:18">
      <c r="B18" s="2" t="s">
        <v>557</v>
      </c>
      <c r="F18" s="2" t="s">
        <v>65</v>
      </c>
      <c r="H18" s="119">
        <f>'Tab 12_Berekening parameters'!H60</f>
        <v>6.0596058827298904E-2</v>
      </c>
    </row>
    <row r="20" spans="2:18">
      <c r="B20" s="1" t="s">
        <v>90</v>
      </c>
    </row>
    <row r="21" spans="2:18">
      <c r="B21" s="34" t="s">
        <v>91</v>
      </c>
      <c r="F21" s="2" t="s">
        <v>136</v>
      </c>
      <c r="L21" s="112">
        <f>'Tab 11_Tarieven, RV en omzet'!L15</f>
        <v>12478.96</v>
      </c>
      <c r="M21" s="112">
        <f>'Tab 11_Tarieven, RV en omzet'!M15</f>
        <v>5.64</v>
      </c>
      <c r="N21" s="112">
        <f>'Tab 11_Tarieven, RV en omzet'!N15</f>
        <v>0.65</v>
      </c>
      <c r="O21" s="112">
        <f>'Tab 11_Tarieven, RV en omzet'!O15</f>
        <v>2.82</v>
      </c>
      <c r="P21" s="112">
        <f>'Tab 11_Tarieven, RV en omzet'!P15</f>
        <v>0.23</v>
      </c>
    </row>
    <row r="22" spans="2:18">
      <c r="B22" s="34" t="s">
        <v>436</v>
      </c>
      <c r="F22" s="2" t="s">
        <v>92</v>
      </c>
      <c r="L22" s="112">
        <f>'Tab 8_Voorstel tarieven en RV'!L23</f>
        <v>22.55</v>
      </c>
      <c r="M22" s="47">
        <f>'Tab 8_Voorstel tarieven en RV'!M23</f>
        <v>1212716</v>
      </c>
      <c r="N22" s="47">
        <f>'Tab 8_Voorstel tarieven en RV'!N23</f>
        <v>12026541</v>
      </c>
      <c r="O22" s="47">
        <f>'Tab 8_Voorstel tarieven en RV'!O23</f>
        <v>235262</v>
      </c>
      <c r="P22" s="47">
        <f>'Tab 8_Voorstel tarieven en RV'!P23</f>
        <v>3215320</v>
      </c>
      <c r="R22" s="29"/>
    </row>
    <row r="23" spans="2:18">
      <c r="B23" s="1"/>
    </row>
    <row r="24" spans="2:18" s="96" customFormat="1">
      <c r="B24" s="107" t="s">
        <v>293</v>
      </c>
      <c r="C24" s="107"/>
      <c r="F24" s="96" t="s">
        <v>136</v>
      </c>
      <c r="H24" s="47">
        <f>'Tab 11_Tarieven, RV en omzet'!H18</f>
        <v>511637.36</v>
      </c>
    </row>
    <row r="25" spans="2:18" s="96" customFormat="1">
      <c r="B25" s="107" t="s">
        <v>294</v>
      </c>
      <c r="C25" s="107"/>
      <c r="F25" s="96" t="s">
        <v>136</v>
      </c>
      <c r="H25" s="47">
        <f>'Tab 11_Tarieven, RV en omzet'!H19</f>
        <v>15754319.796090702</v>
      </c>
    </row>
    <row r="26" spans="2:18">
      <c r="B26" s="60"/>
      <c r="C26" s="60"/>
    </row>
    <row r="27" spans="2:18">
      <c r="B27" s="61" t="s">
        <v>93</v>
      </c>
      <c r="C27" s="60"/>
    </row>
    <row r="28" spans="2:18">
      <c r="B28" s="34" t="s">
        <v>91</v>
      </c>
      <c r="F28" s="2" t="s">
        <v>136</v>
      </c>
      <c r="L28" s="112">
        <f>'Tab 11_Tarieven, RV en omzet'!L22</f>
        <v>2760</v>
      </c>
      <c r="M28" s="112">
        <f>'Tab 11_Tarieven, RV en omzet'!M22</f>
        <v>16.84</v>
      </c>
      <c r="N28" s="112">
        <f>'Tab 11_Tarieven, RV en omzet'!N22</f>
        <v>1.63</v>
      </c>
      <c r="O28" s="112">
        <f>'Tab 11_Tarieven, RV en omzet'!O22</f>
        <v>8.42</v>
      </c>
      <c r="P28" s="112">
        <f>'Tab 11_Tarieven, RV en omzet'!P22</f>
        <v>0.56000000000000005</v>
      </c>
    </row>
    <row r="29" spans="2:18">
      <c r="B29" s="34" t="s">
        <v>436</v>
      </c>
      <c r="F29" s="2" t="s">
        <v>92</v>
      </c>
      <c r="L29" s="112">
        <f>'Tab 8_Voorstel tarieven en RV'!L26</f>
        <v>91.56</v>
      </c>
      <c r="M29" s="47">
        <f>'Tab 8_Voorstel tarieven en RV'!M26</f>
        <v>14929120</v>
      </c>
      <c r="N29" s="47">
        <f>'Tab 8_Voorstel tarieven en RV'!N26</f>
        <v>153986790</v>
      </c>
      <c r="O29" s="47">
        <f>'Tab 8_Voorstel tarieven en RV'!O26</f>
        <v>226512</v>
      </c>
      <c r="P29" s="47">
        <f>'Tab 8_Voorstel tarieven en RV'!P26</f>
        <v>1737592</v>
      </c>
    </row>
    <row r="30" spans="2:18">
      <c r="B30" s="1"/>
    </row>
    <row r="31" spans="2:18" s="96" customFormat="1">
      <c r="B31" s="107" t="s">
        <v>295</v>
      </c>
      <c r="C31" s="107"/>
      <c r="F31" s="96" t="s">
        <v>136</v>
      </c>
      <c r="H31" s="47">
        <f>'Tab 11_Tarieven, RV en omzet'!H25</f>
        <v>427339.99999999907</v>
      </c>
    </row>
    <row r="32" spans="2:18" s="96" customFormat="1">
      <c r="B32" s="107" t="s">
        <v>296</v>
      </c>
      <c r="C32" s="107"/>
      <c r="F32" s="96" t="s">
        <v>136</v>
      </c>
      <c r="H32" s="47">
        <f>'Tab 11_Tarieven, RV en omzet'!H26</f>
        <v>490904268.4319973</v>
      </c>
    </row>
    <row r="33" spans="2:16">
      <c r="B33" s="60"/>
      <c r="C33" s="60"/>
    </row>
    <row r="34" spans="2:16" s="7" customFormat="1">
      <c r="B34" s="7" t="s">
        <v>209</v>
      </c>
    </row>
    <row r="36" spans="2:16" s="96" customFormat="1">
      <c r="B36" s="96" t="s">
        <v>297</v>
      </c>
      <c r="F36" s="96" t="s">
        <v>136</v>
      </c>
      <c r="H36" s="48">
        <f>H24+H25</f>
        <v>16265957.156090701</v>
      </c>
    </row>
    <row r="37" spans="2:16" s="96" customFormat="1">
      <c r="B37" s="96" t="s">
        <v>298</v>
      </c>
      <c r="F37" s="96" t="s">
        <v>136</v>
      </c>
      <c r="H37" s="48">
        <f>H31+H32</f>
        <v>491331608.4319973</v>
      </c>
    </row>
    <row r="38" spans="2:16" s="96" customFormat="1"/>
    <row r="39" spans="2:16">
      <c r="B39" s="1" t="s">
        <v>299</v>
      </c>
    </row>
    <row r="40" spans="2:16">
      <c r="B40" s="2" t="s">
        <v>300</v>
      </c>
      <c r="F40" s="2" t="s">
        <v>136</v>
      </c>
      <c r="J40" s="48">
        <f>SUM(L40:P40)</f>
        <v>16341332.878</v>
      </c>
      <c r="L40" s="48">
        <f t="shared" ref="L40:P40" si="0">L21*L22</f>
        <v>281400.54800000001</v>
      </c>
      <c r="M40" s="48">
        <f t="shared" si="0"/>
        <v>6839718.2399999993</v>
      </c>
      <c r="N40" s="48">
        <f t="shared" si="0"/>
        <v>7817251.6500000004</v>
      </c>
      <c r="O40" s="48">
        <f t="shared" si="0"/>
        <v>663438.84</v>
      </c>
      <c r="P40" s="48">
        <f t="shared" si="0"/>
        <v>739523.6</v>
      </c>
    </row>
    <row r="41" spans="2:16">
      <c r="B41" s="62" t="s">
        <v>267</v>
      </c>
      <c r="F41" s="2" t="s">
        <v>136</v>
      </c>
      <c r="H41" s="48">
        <f>H36-J40</f>
        <v>-75375.721909299493</v>
      </c>
    </row>
    <row r="42" spans="2:16">
      <c r="B42" s="62" t="s">
        <v>386</v>
      </c>
      <c r="F42" s="2" t="s">
        <v>138</v>
      </c>
      <c r="H42" s="49">
        <f>H41*(1+H18)</f>
        <v>-79943.193588265523</v>
      </c>
    </row>
    <row r="44" spans="2:16">
      <c r="B44" s="1" t="s">
        <v>301</v>
      </c>
    </row>
    <row r="45" spans="2:16">
      <c r="B45" s="2" t="s">
        <v>302</v>
      </c>
      <c r="F45" s="2" t="s">
        <v>136</v>
      </c>
      <c r="J45" s="48">
        <f>SUM(L45:P45)</f>
        <v>505537836.66000003</v>
      </c>
      <c r="L45" s="48">
        <f>L28*L29</f>
        <v>252705.6</v>
      </c>
      <c r="M45" s="48">
        <f>M28*M29</f>
        <v>251406380.80000001</v>
      </c>
      <c r="N45" s="48">
        <f>N28*N29</f>
        <v>250998467.69999999</v>
      </c>
      <c r="O45" s="48">
        <f>O28*O29</f>
        <v>1907231.04</v>
      </c>
      <c r="P45" s="48">
        <f>P28*P29</f>
        <v>973051.52000000014</v>
      </c>
    </row>
    <row r="46" spans="2:16">
      <c r="B46" s="102" t="s">
        <v>267</v>
      </c>
      <c r="F46" s="2" t="s">
        <v>136</v>
      </c>
      <c r="H46" s="48">
        <f>H37-J45</f>
        <v>-14206228.228002727</v>
      </c>
    </row>
    <row r="47" spans="2:16">
      <c r="B47" s="62" t="s">
        <v>385</v>
      </c>
      <c r="F47" s="2" t="s">
        <v>138</v>
      </c>
      <c r="H47" s="49">
        <f>H46*(1+H18)</f>
        <v>-15067069.669420814</v>
      </c>
    </row>
    <row r="50" spans="2:8">
      <c r="H50" s="45"/>
    </row>
    <row r="51" spans="2:8">
      <c r="B51" s="62"/>
      <c r="H51" s="39"/>
    </row>
    <row r="52" spans="2:8">
      <c r="H52" s="45"/>
    </row>
  </sheetData>
  <mergeCells count="1">
    <mergeCell ref="B4:E1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B2:X38"/>
  <sheetViews>
    <sheetView showGridLines="0" zoomScale="85" zoomScaleNormal="85" workbookViewId="0">
      <pane xSplit="6" ySplit="16" topLeftCell="G17" activePane="bottomRight" state="frozen"/>
      <selection pane="topRight"/>
      <selection pane="bottomLeft"/>
      <selection pane="bottomRight"/>
    </sheetView>
  </sheetViews>
  <sheetFormatPr defaultRowHeight="12.75" outlineLevelCol="1"/>
  <cols>
    <col min="1" max="1" width="4" style="2" customWidth="1"/>
    <col min="2" max="2" width="41.425781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96" hidden="1" customWidth="1" outlineLevel="1"/>
    <col min="14" max="14" width="14.7109375" style="2" bestFit="1" customWidth="1" collapsed="1"/>
    <col min="15" max="16" width="14.7109375" style="2" bestFit="1" customWidth="1"/>
    <col min="17" max="22" width="12.5703125" style="2" customWidth="1"/>
    <col min="23" max="23" width="2.7109375" style="2" customWidth="1"/>
    <col min="24" max="35" width="13.7109375" style="2" customWidth="1"/>
    <col min="36" max="16384" width="9.140625" style="2"/>
  </cols>
  <sheetData>
    <row r="2" spans="2:24" s="28" customFormat="1" ht="18">
      <c r="B2" s="28" t="s">
        <v>365</v>
      </c>
    </row>
    <row r="4" spans="2:24" ht="12.75" customHeight="1">
      <c r="B4" s="252" t="s">
        <v>504</v>
      </c>
      <c r="C4" s="252"/>
      <c r="D4" s="252"/>
      <c r="E4" s="252"/>
    </row>
    <row r="5" spans="2:24" ht="12.75" customHeight="1">
      <c r="B5" s="252"/>
      <c r="C5" s="252"/>
      <c r="D5" s="252"/>
      <c r="E5" s="252"/>
      <c r="H5" s="29"/>
    </row>
    <row r="6" spans="2:24">
      <c r="B6" s="252"/>
      <c r="C6" s="252"/>
      <c r="D6" s="252"/>
      <c r="E6" s="252"/>
      <c r="H6" s="29"/>
    </row>
    <row r="7" spans="2:24" s="182" customFormat="1">
      <c r="B7" s="252"/>
      <c r="C7" s="252"/>
      <c r="D7" s="252"/>
      <c r="E7" s="252"/>
      <c r="H7" s="183"/>
    </row>
    <row r="8" spans="2:24" s="182" customFormat="1">
      <c r="B8" s="252"/>
      <c r="C8" s="252"/>
      <c r="D8" s="252"/>
      <c r="E8" s="252"/>
      <c r="H8" s="183"/>
    </row>
    <row r="9" spans="2:24" s="182" customFormat="1">
      <c r="B9" s="252"/>
      <c r="C9" s="252"/>
      <c r="D9" s="252"/>
      <c r="E9" s="252"/>
      <c r="H9" s="183"/>
    </row>
    <row r="10" spans="2:24" s="182" customFormat="1">
      <c r="B10" s="252"/>
      <c r="C10" s="252"/>
      <c r="D10" s="252"/>
      <c r="E10" s="252"/>
      <c r="H10" s="183"/>
    </row>
    <row r="11" spans="2:24" s="182" customFormat="1">
      <c r="B11" s="252"/>
      <c r="C11" s="252"/>
      <c r="D11" s="252"/>
      <c r="E11" s="252"/>
      <c r="H11" s="183"/>
    </row>
    <row r="12" spans="2:24" s="191" customFormat="1">
      <c r="B12" s="252"/>
      <c r="C12" s="252"/>
      <c r="D12" s="252"/>
      <c r="E12" s="252"/>
      <c r="H12" s="183"/>
    </row>
    <row r="13" spans="2:24" s="191" customFormat="1">
      <c r="B13" s="252"/>
      <c r="C13" s="252"/>
      <c r="D13" s="252"/>
      <c r="E13" s="252"/>
      <c r="H13" s="183"/>
    </row>
    <row r="15" spans="2:24" s="7" customFormat="1">
      <c r="B15" s="7" t="s">
        <v>47</v>
      </c>
      <c r="F15" s="7" t="s">
        <v>28</v>
      </c>
      <c r="H15" s="7" t="s">
        <v>29</v>
      </c>
      <c r="J15" s="7" t="s">
        <v>51</v>
      </c>
      <c r="L15" s="38">
        <v>2011</v>
      </c>
      <c r="M15" s="38">
        <v>2012</v>
      </c>
      <c r="N15" s="38">
        <v>2013</v>
      </c>
      <c r="O15" s="38">
        <v>2014</v>
      </c>
      <c r="P15" s="38">
        <v>2015</v>
      </c>
      <c r="Q15" s="38">
        <v>2016</v>
      </c>
      <c r="R15" s="38">
        <v>2017</v>
      </c>
      <c r="S15" s="38">
        <v>2018</v>
      </c>
      <c r="T15" s="38">
        <v>2019</v>
      </c>
      <c r="U15" s="38">
        <v>2020</v>
      </c>
      <c r="V15" s="38">
        <v>2021</v>
      </c>
      <c r="X15" s="7" t="s">
        <v>49</v>
      </c>
    </row>
    <row r="18" spans="2:22" s="7" customFormat="1">
      <c r="B18" s="7" t="s">
        <v>50</v>
      </c>
      <c r="L18" s="100"/>
      <c r="M18" s="100"/>
    </row>
    <row r="20" spans="2:22">
      <c r="B20" s="2" t="s">
        <v>501</v>
      </c>
      <c r="F20" s="2" t="s">
        <v>310</v>
      </c>
      <c r="R20" s="47">
        <f>'Tab 10_Brondata'!R58</f>
        <v>26550703</v>
      </c>
      <c r="S20" s="47">
        <f>'Tab 10_Brondata'!S58</f>
        <v>26550703</v>
      </c>
      <c r="T20" s="47">
        <f>'Tab 10_Brondata'!T58</f>
        <v>26550703</v>
      </c>
      <c r="U20" s="47">
        <f>'Tab 10_Brondata'!U58</f>
        <v>26550703</v>
      </c>
    </row>
    <row r="21" spans="2:22">
      <c r="H21" s="8"/>
      <c r="J21" s="8"/>
    </row>
    <row r="22" spans="2:22">
      <c r="B22" s="2" t="s">
        <v>502</v>
      </c>
      <c r="F22" s="2" t="s">
        <v>310</v>
      </c>
      <c r="V22" s="47">
        <f>'Tab 10_Brondata'!V60</f>
        <v>75000000</v>
      </c>
    </row>
    <row r="23" spans="2:22">
      <c r="J23" s="8"/>
      <c r="K23" s="8"/>
      <c r="L23" s="8"/>
      <c r="M23" s="8"/>
      <c r="N23" s="8"/>
      <c r="O23" s="8"/>
      <c r="P23" s="8"/>
      <c r="Q23" s="8"/>
      <c r="R23" s="8"/>
      <c r="S23" s="8"/>
      <c r="T23" s="8"/>
      <c r="U23" s="8"/>
      <c r="V23" s="8"/>
    </row>
    <row r="24" spans="2:22">
      <c r="B24" s="2" t="s">
        <v>146</v>
      </c>
      <c r="F24" s="2" t="s">
        <v>310</v>
      </c>
      <c r="H24" s="39"/>
      <c r="J24" s="39"/>
      <c r="K24" s="8"/>
      <c r="L24" s="8"/>
      <c r="M24" s="8"/>
      <c r="N24" s="47">
        <f>'Tab 10_Brondata'!N62</f>
        <v>153199000</v>
      </c>
      <c r="O24" s="47">
        <f>'Tab 10_Brondata'!O62</f>
        <v>133814454.8</v>
      </c>
      <c r="P24" s="47">
        <f>'Tab 10_Brondata'!P62</f>
        <v>154182000</v>
      </c>
      <c r="Q24" s="47">
        <f>'Tab 10_Brondata'!Q62</f>
        <v>67581000</v>
      </c>
      <c r="R24" s="47">
        <f>'Tab 10_Brondata'!R62</f>
        <v>51165706.090000004</v>
      </c>
      <c r="S24" s="39"/>
      <c r="T24" s="39"/>
      <c r="U24" s="39"/>
      <c r="V24" s="39"/>
    </row>
    <row r="26" spans="2:22" s="96" customFormat="1">
      <c r="B26" s="96" t="s">
        <v>498</v>
      </c>
      <c r="F26" s="96" t="s">
        <v>92</v>
      </c>
      <c r="H26" s="158">
        <f>'Tab 9_Parameters'!H62</f>
        <v>3</v>
      </c>
    </row>
    <row r="27" spans="2:22" s="96" customFormat="1"/>
    <row r="28" spans="2:22" s="7" customFormat="1">
      <c r="B28" s="7" t="s">
        <v>63</v>
      </c>
      <c r="L28" s="100"/>
      <c r="M28" s="100"/>
    </row>
    <row r="30" spans="2:22">
      <c r="B30" s="2" t="s">
        <v>238</v>
      </c>
      <c r="F30" s="2" t="s">
        <v>136</v>
      </c>
      <c r="J30" s="48">
        <f>SUM(N30:V30)</f>
        <v>173615854.59999999</v>
      </c>
      <c r="N30" s="48">
        <f>N24/$H26</f>
        <v>51066333.333333336</v>
      </c>
      <c r="O30" s="48">
        <f>O24/$H26</f>
        <v>44604818.266666666</v>
      </c>
      <c r="P30" s="48">
        <f>P24/$H26</f>
        <v>51394000</v>
      </c>
      <c r="Q30" s="17"/>
      <c r="R30" s="47">
        <f>R20</f>
        <v>26550703</v>
      </c>
      <c r="S30" s="17"/>
      <c r="T30" s="17"/>
      <c r="U30" s="17"/>
      <c r="V30" s="17"/>
    </row>
    <row r="31" spans="2:22" s="8" customFormat="1">
      <c r="B31" s="40"/>
      <c r="J31" s="39"/>
      <c r="N31" s="39"/>
      <c r="O31" s="39"/>
      <c r="P31" s="39"/>
      <c r="R31" s="39"/>
    </row>
    <row r="32" spans="2:22">
      <c r="B32" s="2" t="s">
        <v>239</v>
      </c>
      <c r="F32" s="2" t="s">
        <v>137</v>
      </c>
      <c r="J32" s="48">
        <f>SUM(N32:V32)</f>
        <v>145076521.26666665</v>
      </c>
      <c r="N32" s="41"/>
      <c r="O32" s="48">
        <f>O24/$H26</f>
        <v>44604818.266666666</v>
      </c>
      <c r="P32" s="48">
        <f t="shared" ref="P32:Q32" si="0">P24/$H26</f>
        <v>51394000</v>
      </c>
      <c r="Q32" s="48">
        <f t="shared" si="0"/>
        <v>22527000</v>
      </c>
      <c r="R32" s="17"/>
      <c r="S32" s="47">
        <f>S20</f>
        <v>26550703</v>
      </c>
      <c r="T32" s="41"/>
      <c r="U32" s="41"/>
      <c r="V32" s="41"/>
    </row>
    <row r="33" spans="2:22" s="8" customFormat="1">
      <c r="J33" s="39"/>
      <c r="N33" s="39"/>
      <c r="O33" s="39"/>
      <c r="P33" s="39"/>
      <c r="Q33" s="39"/>
      <c r="S33" s="39"/>
      <c r="T33" s="39"/>
      <c r="U33" s="39"/>
      <c r="V33" s="39"/>
    </row>
    <row r="34" spans="2:22">
      <c r="B34" s="2" t="s">
        <v>240</v>
      </c>
      <c r="F34" s="2" t="s">
        <v>138</v>
      </c>
      <c r="J34" s="49">
        <f>SUM(N34:V34)</f>
        <v>117526938.36333333</v>
      </c>
      <c r="N34" s="17"/>
      <c r="O34" s="17"/>
      <c r="P34" s="48">
        <f>P24/$H26</f>
        <v>51394000</v>
      </c>
      <c r="Q34" s="48">
        <f>Q24/$H26</f>
        <v>22527000</v>
      </c>
      <c r="R34" s="48">
        <f>R24/$H26</f>
        <v>17055235.363333333</v>
      </c>
      <c r="S34" s="17"/>
      <c r="T34" s="47">
        <f>T20</f>
        <v>26550703</v>
      </c>
      <c r="U34" s="17"/>
      <c r="V34" s="17"/>
    </row>
    <row r="35" spans="2:22">
      <c r="J35" s="39"/>
    </row>
    <row r="36" spans="2:22">
      <c r="B36" s="2" t="s">
        <v>241</v>
      </c>
      <c r="F36" s="2" t="s">
        <v>311</v>
      </c>
      <c r="J36" s="48"/>
      <c r="N36" s="17"/>
      <c r="O36" s="17"/>
      <c r="P36" s="17"/>
      <c r="Q36" s="48">
        <f>Q24/$H26</f>
        <v>22527000</v>
      </c>
      <c r="R36" s="48">
        <f t="shared" ref="R36:S36" si="1">R24/$H26</f>
        <v>17055235.363333333</v>
      </c>
      <c r="S36" s="48">
        <f t="shared" si="1"/>
        <v>0</v>
      </c>
      <c r="T36" s="17"/>
      <c r="U36" s="47">
        <f>U20</f>
        <v>26550703</v>
      </c>
      <c r="V36" s="17"/>
    </row>
    <row r="37" spans="2:22">
      <c r="J37" s="39"/>
    </row>
    <row r="38" spans="2:22">
      <c r="B38" s="2" t="s">
        <v>242</v>
      </c>
      <c r="F38" s="2" t="s">
        <v>312</v>
      </c>
      <c r="J38" s="48"/>
      <c r="N38" s="17"/>
      <c r="O38" s="17"/>
      <c r="P38" s="17"/>
      <c r="Q38" s="17"/>
      <c r="R38" s="48">
        <f>R24/$H26</f>
        <v>17055235.363333333</v>
      </c>
      <c r="S38" s="48">
        <f t="shared" ref="S38:T38" si="2">S24/$H26</f>
        <v>0</v>
      </c>
      <c r="T38" s="48">
        <f t="shared" si="2"/>
        <v>0</v>
      </c>
      <c r="U38" s="17"/>
      <c r="V38" s="47">
        <f>V22</f>
        <v>75000000</v>
      </c>
    </row>
  </sheetData>
  <mergeCells count="1">
    <mergeCell ref="B4:E1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fitToPage="1"/>
  </sheetPr>
  <dimension ref="A1:S53"/>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39" customWidth="1"/>
    <col min="2" max="2" width="59.5703125" style="239" customWidth="1"/>
    <col min="3" max="5" width="4.5703125" style="239" customWidth="1"/>
    <col min="6" max="6" width="13.7109375" style="239" customWidth="1"/>
    <col min="7" max="7" width="2.7109375" style="239" customWidth="1"/>
    <col min="8" max="8" width="15.7109375" style="239" customWidth="1"/>
    <col min="9" max="9" width="2.7109375" style="239" customWidth="1"/>
    <col min="10" max="10" width="13.7109375" style="239" customWidth="1"/>
    <col min="11" max="11" width="2.7109375" style="239" customWidth="1"/>
    <col min="12" max="16" width="18.7109375" style="239" customWidth="1"/>
    <col min="17" max="17" width="2.7109375" style="239" customWidth="1"/>
    <col min="18" max="32" width="13.7109375" style="239" customWidth="1"/>
    <col min="33" max="16384" width="9.140625" style="239"/>
  </cols>
  <sheetData>
    <row r="1" spans="1:19">
      <c r="A1" s="225"/>
      <c r="B1" s="225"/>
      <c r="C1" s="225"/>
      <c r="D1" s="225"/>
      <c r="E1" s="225"/>
      <c r="F1" s="225"/>
      <c r="G1" s="225"/>
      <c r="H1" s="225"/>
      <c r="I1" s="225"/>
      <c r="J1" s="225"/>
      <c r="K1" s="225"/>
      <c r="L1" s="225"/>
      <c r="M1" s="225"/>
      <c r="N1" s="225"/>
      <c r="O1" s="225"/>
      <c r="P1" s="225"/>
      <c r="Q1" s="225"/>
      <c r="R1" s="225"/>
      <c r="S1" s="225"/>
    </row>
    <row r="2" spans="1:19" s="28" customFormat="1" ht="18">
      <c r="A2" s="93"/>
      <c r="B2" s="178" t="s">
        <v>514</v>
      </c>
      <c r="C2" s="93"/>
      <c r="D2" s="93"/>
      <c r="E2" s="93"/>
      <c r="F2" s="93"/>
      <c r="G2" s="93"/>
      <c r="H2" s="93"/>
      <c r="I2" s="93"/>
      <c r="J2" s="93"/>
      <c r="K2" s="93"/>
      <c r="L2" s="93"/>
      <c r="M2" s="93"/>
      <c r="N2" s="93"/>
      <c r="O2" s="93"/>
      <c r="P2" s="93"/>
      <c r="Q2" s="93"/>
      <c r="R2" s="93"/>
      <c r="S2" s="93"/>
    </row>
    <row r="3" spans="1:19">
      <c r="A3" s="225"/>
      <c r="B3" s="225"/>
      <c r="C3" s="225"/>
      <c r="D3" s="225"/>
      <c r="E3" s="225"/>
      <c r="F3" s="225"/>
      <c r="G3" s="225"/>
      <c r="H3" s="225"/>
      <c r="I3" s="225"/>
      <c r="J3" s="225"/>
      <c r="K3" s="225"/>
      <c r="L3" s="225"/>
      <c r="M3" s="225"/>
      <c r="N3" s="225"/>
      <c r="O3" s="225"/>
      <c r="P3" s="225"/>
      <c r="Q3" s="225"/>
      <c r="R3" s="225"/>
      <c r="S3" s="225"/>
    </row>
    <row r="4" spans="1:19">
      <c r="A4" s="225"/>
      <c r="B4" s="214" t="s">
        <v>61</v>
      </c>
      <c r="C4" s="214"/>
      <c r="D4" s="214"/>
      <c r="E4" s="225"/>
      <c r="F4" s="225"/>
      <c r="G4" s="225"/>
      <c r="H4" s="225"/>
      <c r="I4" s="225"/>
      <c r="J4" s="225"/>
      <c r="K4" s="225"/>
      <c r="L4" s="225"/>
      <c r="M4" s="225"/>
      <c r="N4" s="225"/>
      <c r="O4" s="225"/>
      <c r="P4" s="225"/>
      <c r="Q4" s="225"/>
      <c r="R4" s="225"/>
      <c r="S4" s="225"/>
    </row>
    <row r="5" spans="1:19" ht="89.25" customHeight="1">
      <c r="A5" s="225"/>
      <c r="B5" s="248" t="s">
        <v>569</v>
      </c>
      <c r="C5" s="248"/>
      <c r="D5" s="248"/>
      <c r="E5" s="248"/>
      <c r="F5" s="225"/>
      <c r="G5" s="225"/>
      <c r="H5" s="199"/>
      <c r="I5" s="225"/>
      <c r="J5" s="225"/>
      <c r="K5" s="225"/>
      <c r="L5" s="183"/>
      <c r="M5" s="225"/>
      <c r="N5" s="225"/>
      <c r="O5" s="225"/>
      <c r="P5" s="225"/>
      <c r="Q5" s="225"/>
      <c r="R5" s="225"/>
      <c r="S5" s="225"/>
    </row>
    <row r="6" spans="1:19">
      <c r="A6" s="225"/>
      <c r="B6" s="99"/>
      <c r="C6" s="225"/>
      <c r="D6" s="225"/>
      <c r="E6" s="225"/>
      <c r="F6" s="225"/>
      <c r="G6" s="225"/>
      <c r="H6" s="225"/>
      <c r="I6" s="225"/>
      <c r="J6" s="225"/>
      <c r="K6" s="225"/>
      <c r="L6" s="225"/>
      <c r="M6" s="225"/>
      <c r="N6" s="225"/>
      <c r="O6" s="225"/>
      <c r="P6" s="225"/>
      <c r="Q6" s="225"/>
      <c r="R6" s="225"/>
      <c r="S6" s="225"/>
    </row>
    <row r="7" spans="1:19">
      <c r="A7" s="225"/>
      <c r="B7" s="99" t="s">
        <v>31</v>
      </c>
      <c r="C7" s="225"/>
      <c r="D7" s="225"/>
      <c r="E7" s="225"/>
      <c r="F7" s="225"/>
      <c r="G7" s="225"/>
      <c r="H7" s="225"/>
      <c r="I7" s="225"/>
      <c r="J7" s="225"/>
      <c r="K7" s="225"/>
      <c r="L7" s="225"/>
      <c r="M7" s="225"/>
      <c r="N7" s="225"/>
      <c r="O7" s="225"/>
      <c r="P7" s="225"/>
      <c r="Q7" s="225"/>
      <c r="R7" s="225"/>
      <c r="S7" s="225"/>
    </row>
    <row r="8" spans="1:19" ht="63.75" customHeight="1">
      <c r="A8" s="225"/>
      <c r="B8" s="253" t="s">
        <v>463</v>
      </c>
      <c r="C8" s="253"/>
      <c r="D8" s="253"/>
      <c r="E8" s="253"/>
      <c r="F8" s="225"/>
      <c r="G8" s="225"/>
      <c r="H8" s="225"/>
      <c r="I8" s="225"/>
      <c r="J8" s="225"/>
      <c r="K8" s="225"/>
      <c r="L8" s="225"/>
      <c r="M8" s="225"/>
      <c r="N8" s="225"/>
      <c r="O8" s="225"/>
      <c r="P8" s="225"/>
      <c r="Q8" s="225"/>
      <c r="R8" s="225"/>
      <c r="S8" s="225"/>
    </row>
    <row r="9" spans="1:19">
      <c r="A9" s="225"/>
      <c r="B9" s="225"/>
      <c r="C9" s="225"/>
      <c r="D9" s="225"/>
      <c r="E9" s="225"/>
      <c r="F9" s="225"/>
      <c r="G9" s="225"/>
      <c r="H9" s="225"/>
      <c r="I9" s="225"/>
      <c r="J9" s="225"/>
      <c r="K9" s="225"/>
      <c r="L9" s="225"/>
      <c r="M9" s="225"/>
      <c r="N9" s="225"/>
      <c r="O9" s="225"/>
      <c r="P9" s="225"/>
      <c r="Q9" s="225"/>
      <c r="R9" s="225"/>
      <c r="S9" s="225"/>
    </row>
    <row r="10" spans="1:19" s="217" customFormat="1" ht="38.25">
      <c r="A10" s="229"/>
      <c r="B10" s="229" t="s">
        <v>47</v>
      </c>
      <c r="C10" s="229"/>
      <c r="D10" s="229"/>
      <c r="E10" s="229"/>
      <c r="F10" s="229" t="s">
        <v>28</v>
      </c>
      <c r="G10" s="229"/>
      <c r="H10" s="229" t="s">
        <v>29</v>
      </c>
      <c r="I10" s="229"/>
      <c r="J10" s="229" t="s">
        <v>51</v>
      </c>
      <c r="K10" s="229"/>
      <c r="L10" s="101" t="s">
        <v>86</v>
      </c>
      <c r="M10" s="101" t="s">
        <v>407</v>
      </c>
      <c r="N10" s="101" t="s">
        <v>88</v>
      </c>
      <c r="O10" s="101" t="s">
        <v>406</v>
      </c>
      <c r="P10" s="101" t="s">
        <v>243</v>
      </c>
      <c r="Q10" s="229"/>
      <c r="R10" s="229" t="s">
        <v>49</v>
      </c>
      <c r="S10" s="229"/>
    </row>
    <row r="11" spans="1:19">
      <c r="A11" s="225"/>
      <c r="B11" s="225"/>
      <c r="C11" s="225"/>
      <c r="D11" s="225"/>
      <c r="E11" s="225"/>
      <c r="F11" s="225"/>
      <c r="G11" s="225"/>
      <c r="H11" s="225"/>
      <c r="I11" s="225"/>
      <c r="J11" s="225"/>
      <c r="K11" s="225"/>
      <c r="L11" s="225"/>
      <c r="M11" s="225"/>
      <c r="N11" s="225"/>
      <c r="O11" s="225"/>
      <c r="P11" s="225"/>
      <c r="Q11" s="225"/>
      <c r="R11" s="225"/>
      <c r="S11" s="225"/>
    </row>
    <row r="12" spans="1:19">
      <c r="A12" s="225"/>
      <c r="B12" s="225"/>
      <c r="C12" s="225"/>
      <c r="D12" s="225"/>
      <c r="E12" s="225"/>
      <c r="F12" s="225"/>
      <c r="G12" s="225"/>
      <c r="H12" s="225"/>
      <c r="I12" s="225"/>
      <c r="J12" s="225"/>
      <c r="K12" s="225"/>
      <c r="L12" s="225"/>
      <c r="M12" s="225"/>
      <c r="N12" s="225"/>
      <c r="O12" s="225"/>
      <c r="P12" s="225"/>
      <c r="Q12" s="225"/>
      <c r="R12" s="225"/>
      <c r="S12" s="225"/>
    </row>
    <row r="13" spans="1:19" s="217" customFormat="1">
      <c r="A13" s="229"/>
      <c r="B13" s="229" t="s">
        <v>50</v>
      </c>
      <c r="C13" s="229"/>
      <c r="D13" s="229"/>
      <c r="E13" s="229"/>
      <c r="F13" s="229"/>
      <c r="G13" s="229"/>
      <c r="H13" s="229"/>
      <c r="I13" s="229"/>
      <c r="J13" s="229"/>
      <c r="K13" s="229"/>
      <c r="L13" s="229"/>
      <c r="M13" s="229"/>
      <c r="N13" s="229"/>
      <c r="O13" s="229"/>
      <c r="P13" s="229"/>
      <c r="Q13" s="229"/>
      <c r="R13" s="229"/>
      <c r="S13" s="229"/>
    </row>
    <row r="14" spans="1:19">
      <c r="A14" s="225"/>
      <c r="B14" s="225"/>
      <c r="C14" s="225"/>
      <c r="D14" s="225"/>
      <c r="E14" s="225"/>
      <c r="F14" s="225"/>
      <c r="G14" s="225"/>
      <c r="H14" s="225"/>
      <c r="I14" s="225"/>
      <c r="J14" s="225"/>
      <c r="K14" s="225"/>
      <c r="L14" s="225"/>
      <c r="M14" s="225"/>
      <c r="N14" s="225"/>
      <c r="O14" s="225"/>
      <c r="P14" s="225"/>
      <c r="Q14" s="225"/>
      <c r="R14" s="225"/>
      <c r="S14" s="225"/>
    </row>
    <row r="15" spans="1:19">
      <c r="A15" s="225"/>
      <c r="B15" s="214" t="s">
        <v>90</v>
      </c>
      <c r="C15" s="225"/>
      <c r="D15" s="225"/>
      <c r="E15" s="225"/>
      <c r="F15" s="225"/>
      <c r="G15" s="225"/>
      <c r="H15" s="225"/>
      <c r="I15" s="225"/>
      <c r="J15" s="225"/>
      <c r="K15" s="225"/>
      <c r="L15" s="225"/>
      <c r="M15" s="225"/>
      <c r="N15" s="225"/>
      <c r="O15" s="225"/>
      <c r="P15" s="225"/>
      <c r="Q15" s="225"/>
      <c r="R15" s="225"/>
      <c r="S15" s="225"/>
    </row>
    <row r="16" spans="1:19" s="226" customFormat="1">
      <c r="A16" s="219"/>
      <c r="B16" s="219" t="s">
        <v>436</v>
      </c>
      <c r="C16" s="219"/>
      <c r="D16" s="219"/>
      <c r="E16" s="219"/>
      <c r="F16" s="219" t="s">
        <v>92</v>
      </c>
      <c r="G16" s="219"/>
      <c r="H16" s="219"/>
      <c r="I16" s="219"/>
      <c r="J16" s="219"/>
      <c r="K16" s="219"/>
      <c r="L16" s="230">
        <f>'Tab 8_Voorstel tarieven en RV'!L23</f>
        <v>22.55</v>
      </c>
      <c r="M16" s="200">
        <f>'Tab 8_Voorstel tarieven en RV'!M23</f>
        <v>1212716</v>
      </c>
      <c r="N16" s="200">
        <f>'Tab 8_Voorstel tarieven en RV'!N23</f>
        <v>12026541</v>
      </c>
      <c r="O16" s="200">
        <f>'Tab 8_Voorstel tarieven en RV'!O23</f>
        <v>235262</v>
      </c>
      <c r="P16" s="200">
        <f>'Tab 8_Voorstel tarieven en RV'!P23</f>
        <v>3215320</v>
      </c>
      <c r="Q16" s="219"/>
      <c r="R16" s="219"/>
      <c r="S16" s="219"/>
    </row>
    <row r="17" spans="1:19">
      <c r="A17" s="225"/>
      <c r="B17" s="225" t="s">
        <v>454</v>
      </c>
      <c r="C17" s="225"/>
      <c r="D17" s="225"/>
      <c r="E17" s="225"/>
      <c r="F17" s="225" t="s">
        <v>92</v>
      </c>
      <c r="G17" s="225"/>
      <c r="H17" s="225"/>
      <c r="I17" s="225"/>
      <c r="J17" s="225"/>
      <c r="K17" s="225"/>
      <c r="L17" s="230">
        <f>'Tab 11_Tarieven, RV en omzet'!L16</f>
        <v>22</v>
      </c>
      <c r="M17" s="221">
        <f>'Tab 11_Tarieven, RV en omzet'!M16</f>
        <v>1337596</v>
      </c>
      <c r="N17" s="221">
        <f>'Tab 11_Tarieven, RV en omzet'!N16</f>
        <v>13264388</v>
      </c>
      <c r="O17" s="221">
        <f>'Tab 11_Tarieven, RV en omzet'!O16</f>
        <v>181630</v>
      </c>
      <c r="P17" s="221">
        <f>'Tab 11_Tarieven, RV en omzet'!P16</f>
        <v>2052004</v>
      </c>
      <c r="Q17" s="225"/>
      <c r="R17" s="214"/>
      <c r="S17" s="225"/>
    </row>
    <row r="18" spans="1:19">
      <c r="A18" s="225"/>
      <c r="B18" s="225" t="s">
        <v>435</v>
      </c>
      <c r="C18" s="225"/>
      <c r="D18" s="225"/>
      <c r="E18" s="225"/>
      <c r="F18" s="225" t="s">
        <v>92</v>
      </c>
      <c r="G18" s="225"/>
      <c r="H18" s="225"/>
      <c r="I18" s="225"/>
      <c r="J18" s="225"/>
      <c r="K18" s="225"/>
      <c r="L18" s="230">
        <f>'Tab 8_Voorstel tarieven en RV'!L32</f>
        <v>22.55</v>
      </c>
      <c r="M18" s="221">
        <f>'Tab 8_Voorstel tarieven en RV'!M32</f>
        <v>1212716</v>
      </c>
      <c r="N18" s="221">
        <f>'Tab 8_Voorstel tarieven en RV'!N32</f>
        <v>12026541</v>
      </c>
      <c r="O18" s="221">
        <f>'Tab 8_Voorstel tarieven en RV'!O32</f>
        <v>235262</v>
      </c>
      <c r="P18" s="221">
        <f>'Tab 8_Voorstel tarieven en RV'!P32</f>
        <v>3215320</v>
      </c>
      <c r="Q18" s="225"/>
      <c r="R18" s="214"/>
      <c r="S18" s="225"/>
    </row>
    <row r="19" spans="1:19">
      <c r="A19" s="225"/>
      <c r="B19" s="225" t="s">
        <v>95</v>
      </c>
      <c r="C19" s="225"/>
      <c r="D19" s="225"/>
      <c r="E19" s="225"/>
      <c r="F19" s="225" t="s">
        <v>138</v>
      </c>
      <c r="G19" s="225"/>
      <c r="H19" s="225"/>
      <c r="I19" s="225"/>
      <c r="J19" s="225"/>
      <c r="K19" s="225"/>
      <c r="L19" s="233">
        <f>'Tab 8_Voorstel tarieven en RV'!L31</f>
        <v>12478.96</v>
      </c>
      <c r="M19" s="112">
        <f>'Tab 8_Voorstel tarieven en RV'!M31</f>
        <v>8.61</v>
      </c>
      <c r="N19" s="112">
        <f>'Tab 8_Voorstel tarieven en RV'!N31</f>
        <v>0.87</v>
      </c>
      <c r="O19" s="112">
        <f>'Tab 8_Voorstel tarieven en RV'!O31</f>
        <v>4.3</v>
      </c>
      <c r="P19" s="112">
        <f>'Tab 8_Voorstel tarieven en RV'!P31</f>
        <v>0.3</v>
      </c>
      <c r="Q19" s="225"/>
      <c r="R19" s="225"/>
      <c r="S19" s="225"/>
    </row>
    <row r="20" spans="1:19">
      <c r="A20" s="225"/>
      <c r="B20" s="225"/>
      <c r="C20" s="225"/>
      <c r="D20" s="225"/>
      <c r="E20" s="225"/>
      <c r="F20" s="225"/>
      <c r="G20" s="225"/>
      <c r="H20" s="225"/>
      <c r="I20" s="225"/>
      <c r="J20" s="225"/>
      <c r="K20" s="225"/>
      <c r="L20" s="225"/>
      <c r="M20" s="225"/>
      <c r="N20" s="225"/>
      <c r="O20" s="225"/>
      <c r="P20" s="225"/>
      <c r="Q20" s="225"/>
      <c r="R20" s="225"/>
      <c r="S20" s="225"/>
    </row>
    <row r="21" spans="1:19">
      <c r="A21" s="225"/>
      <c r="B21" s="214" t="s">
        <v>93</v>
      </c>
      <c r="C21" s="225"/>
      <c r="D21" s="225"/>
      <c r="E21" s="225"/>
      <c r="F21" s="225"/>
      <c r="G21" s="225"/>
      <c r="H21" s="225"/>
      <c r="I21" s="225"/>
      <c r="J21" s="225"/>
      <c r="K21" s="225"/>
      <c r="L21" s="225"/>
      <c r="M21" s="225"/>
      <c r="N21" s="225"/>
      <c r="O21" s="225"/>
      <c r="P21" s="225"/>
      <c r="Q21" s="225"/>
      <c r="R21" s="225"/>
      <c r="S21" s="225"/>
    </row>
    <row r="22" spans="1:19" s="226" customFormat="1">
      <c r="A22" s="219"/>
      <c r="B22" s="219" t="s">
        <v>436</v>
      </c>
      <c r="C22" s="219"/>
      <c r="D22" s="219"/>
      <c r="E22" s="219"/>
      <c r="F22" s="219" t="s">
        <v>92</v>
      </c>
      <c r="G22" s="219"/>
      <c r="H22" s="219"/>
      <c r="I22" s="219"/>
      <c r="J22" s="219"/>
      <c r="K22" s="219"/>
      <c r="L22" s="230">
        <f>'Tab 8_Voorstel tarieven en RV'!L26</f>
        <v>91.56</v>
      </c>
      <c r="M22" s="200">
        <f>'Tab 8_Voorstel tarieven en RV'!M26</f>
        <v>14929120</v>
      </c>
      <c r="N22" s="200">
        <f>'Tab 8_Voorstel tarieven en RV'!N26</f>
        <v>153986790</v>
      </c>
      <c r="O22" s="200">
        <f>'Tab 8_Voorstel tarieven en RV'!O26</f>
        <v>226512</v>
      </c>
      <c r="P22" s="200">
        <f>'Tab 8_Voorstel tarieven en RV'!P26</f>
        <v>1737592</v>
      </c>
      <c r="Q22" s="219"/>
      <c r="R22" s="219"/>
      <c r="S22" s="219"/>
    </row>
    <row r="23" spans="1:19">
      <c r="A23" s="225"/>
      <c r="B23" s="225" t="s">
        <v>454</v>
      </c>
      <c r="C23" s="225"/>
      <c r="D23" s="225"/>
      <c r="E23" s="225"/>
      <c r="F23" s="225" t="s">
        <v>92</v>
      </c>
      <c r="G23" s="225"/>
      <c r="H23" s="225"/>
      <c r="I23" s="225"/>
      <c r="J23" s="225"/>
      <c r="K23" s="225"/>
      <c r="L23" s="230">
        <f>'Tab 11_Tarieven, RV en omzet'!L23</f>
        <v>89</v>
      </c>
      <c r="M23" s="221">
        <f>'Tab 11_Tarieven, RV en omzet'!M23</f>
        <v>14504678</v>
      </c>
      <c r="N23" s="221">
        <f>'Tab 11_Tarieven, RV en omzet'!N23</f>
        <v>152867809</v>
      </c>
      <c r="O23" s="221">
        <f>'Tab 11_Tarieven, RV en omzet'!O23</f>
        <v>392827</v>
      </c>
      <c r="P23" s="221">
        <f>'Tab 11_Tarieven, RV en omzet'!P23</f>
        <v>2496528</v>
      </c>
      <c r="Q23" s="225"/>
      <c r="R23" s="214"/>
      <c r="S23" s="225"/>
    </row>
    <row r="24" spans="1:19">
      <c r="A24" s="225"/>
      <c r="B24" s="225" t="s">
        <v>435</v>
      </c>
      <c r="C24" s="225"/>
      <c r="D24" s="225"/>
      <c r="E24" s="225"/>
      <c r="F24" s="225" t="s">
        <v>92</v>
      </c>
      <c r="G24" s="225"/>
      <c r="H24" s="225"/>
      <c r="I24" s="225"/>
      <c r="J24" s="225"/>
      <c r="K24" s="225"/>
      <c r="L24" s="230">
        <f>'Tab 8_Voorstel tarieven en RV'!L36</f>
        <v>91.56</v>
      </c>
      <c r="M24" s="221">
        <f>'Tab 8_Voorstel tarieven en RV'!M36</f>
        <v>14929120</v>
      </c>
      <c r="N24" s="221">
        <f>'Tab 8_Voorstel tarieven en RV'!N36</f>
        <v>153986790</v>
      </c>
      <c r="O24" s="221">
        <f>'Tab 8_Voorstel tarieven en RV'!O36</f>
        <v>226512</v>
      </c>
      <c r="P24" s="221">
        <f>'Tab 8_Voorstel tarieven en RV'!P36</f>
        <v>1737592</v>
      </c>
      <c r="Q24" s="225"/>
      <c r="R24" s="214"/>
      <c r="S24" s="225"/>
    </row>
    <row r="25" spans="1:19">
      <c r="A25" s="225"/>
      <c r="B25" s="225" t="s">
        <v>95</v>
      </c>
      <c r="C25" s="225"/>
      <c r="D25" s="225"/>
      <c r="E25" s="225"/>
      <c r="F25" s="225" t="s">
        <v>138</v>
      </c>
      <c r="G25" s="225"/>
      <c r="H25" s="225"/>
      <c r="I25" s="225"/>
      <c r="J25" s="225"/>
      <c r="K25" s="225"/>
      <c r="L25" s="233">
        <f>'Tab 8_Voorstel tarieven en RV'!L35</f>
        <v>2760</v>
      </c>
      <c r="M25" s="112">
        <f>'Tab 8_Voorstel tarieven en RV'!M35</f>
        <v>17.100000000000001</v>
      </c>
      <c r="N25" s="112">
        <f>'Tab 8_Voorstel tarieven en RV'!N35</f>
        <v>1.66</v>
      </c>
      <c r="O25" s="112">
        <f>'Tab 8_Voorstel tarieven en RV'!O35</f>
        <v>8.5500000000000007</v>
      </c>
      <c r="P25" s="112">
        <f>'Tab 8_Voorstel tarieven en RV'!P35</f>
        <v>0.57999999999999996</v>
      </c>
      <c r="Q25" s="225"/>
      <c r="R25" s="225"/>
      <c r="S25" s="225"/>
    </row>
    <row r="26" spans="1:19">
      <c r="A26" s="225"/>
      <c r="B26" s="225"/>
      <c r="C26" s="225"/>
      <c r="D26" s="225"/>
      <c r="E26" s="225"/>
      <c r="F26" s="225"/>
      <c r="G26" s="225"/>
      <c r="H26" s="225"/>
      <c r="I26" s="225"/>
      <c r="J26" s="225"/>
      <c r="K26" s="225"/>
      <c r="L26" s="225"/>
      <c r="M26" s="225"/>
      <c r="N26" s="225"/>
      <c r="O26" s="225"/>
      <c r="P26" s="225"/>
      <c r="Q26" s="225"/>
      <c r="R26" s="225"/>
      <c r="S26" s="225"/>
    </row>
    <row r="27" spans="1:19">
      <c r="A27" s="225"/>
      <c r="B27" s="225"/>
      <c r="C27" s="225"/>
      <c r="D27" s="225"/>
      <c r="E27" s="225"/>
      <c r="F27" s="225"/>
      <c r="G27" s="225"/>
      <c r="H27" s="225"/>
      <c r="I27" s="225"/>
      <c r="J27" s="225"/>
      <c r="K27" s="225"/>
      <c r="L27" s="225"/>
      <c r="M27" s="225"/>
      <c r="N27" s="225"/>
      <c r="O27" s="225"/>
      <c r="P27" s="225"/>
      <c r="Q27" s="225"/>
      <c r="R27" s="225"/>
      <c r="S27" s="225"/>
    </row>
    <row r="28" spans="1:19" s="217" customFormat="1">
      <c r="A28" s="229"/>
      <c r="B28" s="229" t="s">
        <v>455</v>
      </c>
      <c r="C28" s="229"/>
      <c r="D28" s="229"/>
      <c r="E28" s="229"/>
      <c r="F28" s="229"/>
      <c r="G28" s="229"/>
      <c r="H28" s="229"/>
      <c r="I28" s="229"/>
      <c r="J28" s="229"/>
      <c r="K28" s="229"/>
      <c r="L28" s="229"/>
      <c r="M28" s="229"/>
      <c r="N28" s="229"/>
      <c r="O28" s="229"/>
      <c r="P28" s="229"/>
      <c r="Q28" s="229"/>
      <c r="R28" s="229"/>
      <c r="S28" s="229"/>
    </row>
    <row r="29" spans="1:19">
      <c r="A29" s="225"/>
      <c r="B29" s="225"/>
      <c r="C29" s="225"/>
      <c r="D29" s="225"/>
      <c r="E29" s="225"/>
      <c r="F29" s="225"/>
      <c r="G29" s="225"/>
      <c r="H29" s="225"/>
      <c r="I29" s="225"/>
      <c r="J29" s="225"/>
      <c r="K29" s="225"/>
      <c r="L29" s="225"/>
      <c r="M29" s="225"/>
      <c r="N29" s="225"/>
      <c r="O29" s="225"/>
      <c r="P29" s="225"/>
      <c r="Q29" s="225"/>
      <c r="R29" s="225"/>
      <c r="S29" s="225"/>
    </row>
    <row r="30" spans="1:19">
      <c r="A30" s="225"/>
      <c r="B30" s="214" t="s">
        <v>570</v>
      </c>
      <c r="C30" s="225"/>
      <c r="D30" s="225"/>
      <c r="E30" s="225"/>
      <c r="F30" s="225"/>
      <c r="G30" s="225"/>
      <c r="H30" s="225"/>
      <c r="I30" s="225"/>
      <c r="J30" s="225"/>
      <c r="K30" s="225"/>
      <c r="L30" s="225"/>
      <c r="M30" s="225"/>
      <c r="N30" s="225"/>
      <c r="O30" s="225"/>
      <c r="P30" s="225"/>
      <c r="Q30" s="225"/>
      <c r="R30" s="225"/>
      <c r="S30" s="225"/>
    </row>
    <row r="31" spans="1:19">
      <c r="A31" s="225"/>
      <c r="B31" s="225" t="s">
        <v>571</v>
      </c>
      <c r="C31" s="225"/>
      <c r="D31" s="225"/>
      <c r="E31" s="225"/>
      <c r="F31" s="225" t="s">
        <v>92</v>
      </c>
      <c r="G31" s="225"/>
      <c r="H31" s="225"/>
      <c r="I31" s="225"/>
      <c r="J31" s="225"/>
      <c r="K31" s="225"/>
      <c r="L31" s="232">
        <f>L18-L16</f>
        <v>0</v>
      </c>
      <c r="M31" s="232">
        <f>M18-M16</f>
        <v>0</v>
      </c>
      <c r="N31" s="232">
        <f>N18-N16</f>
        <v>0</v>
      </c>
      <c r="O31" s="232">
        <f>O18-O16</f>
        <v>0</v>
      </c>
      <c r="P31" s="232">
        <f>P18-P16</f>
        <v>0</v>
      </c>
      <c r="Q31" s="225"/>
      <c r="R31" s="225"/>
      <c r="S31" s="225"/>
    </row>
    <row r="32" spans="1:19">
      <c r="A32" s="225"/>
      <c r="B32" s="225" t="s">
        <v>572</v>
      </c>
      <c r="C32" s="225"/>
      <c r="D32" s="225"/>
      <c r="E32" s="225"/>
      <c r="F32" s="225" t="s">
        <v>92</v>
      </c>
      <c r="G32" s="225"/>
      <c r="H32" s="225"/>
      <c r="I32" s="225"/>
      <c r="J32" s="225"/>
      <c r="K32" s="225"/>
      <c r="L32" s="232">
        <f>L24-L22</f>
        <v>0</v>
      </c>
      <c r="M32" s="232">
        <f>M24-M22</f>
        <v>0</v>
      </c>
      <c r="N32" s="232">
        <f>N24-N22</f>
        <v>0</v>
      </c>
      <c r="O32" s="232">
        <f>O24-O22</f>
        <v>0</v>
      </c>
      <c r="P32" s="232">
        <f>P24-P22</f>
        <v>0</v>
      </c>
      <c r="Q32" s="225"/>
      <c r="R32" s="225"/>
      <c r="S32" s="225"/>
    </row>
    <row r="33" spans="1:19">
      <c r="A33" s="225"/>
      <c r="B33" s="225"/>
      <c r="C33" s="225"/>
      <c r="D33" s="225"/>
      <c r="E33" s="225"/>
      <c r="F33" s="225"/>
      <c r="G33" s="225"/>
      <c r="H33" s="225"/>
      <c r="I33" s="225"/>
      <c r="J33" s="225"/>
      <c r="K33" s="225"/>
      <c r="L33" s="225"/>
      <c r="M33" s="225"/>
      <c r="N33" s="225"/>
      <c r="O33" s="225"/>
      <c r="P33" s="225"/>
      <c r="Q33" s="225"/>
      <c r="R33" s="225"/>
      <c r="S33" s="225"/>
    </row>
    <row r="34" spans="1:19">
      <c r="A34" s="225"/>
      <c r="B34" s="225" t="s">
        <v>573</v>
      </c>
      <c r="C34" s="225"/>
      <c r="D34" s="225"/>
      <c r="E34" s="225"/>
      <c r="F34" s="225" t="s">
        <v>405</v>
      </c>
      <c r="G34" s="225"/>
      <c r="H34" s="94" t="str">
        <f>IF(AND(L31=0,M31=0,N31=0,O31=0,P31=0,L32=0,M32=0,N32=0,O32=0,P32=0),"ja","nee")</f>
        <v>ja</v>
      </c>
      <c r="I34" s="225"/>
      <c r="J34" s="225"/>
      <c r="K34" s="225"/>
      <c r="L34" s="225"/>
      <c r="M34" s="225"/>
      <c r="N34" s="225"/>
      <c r="O34" s="225"/>
      <c r="P34" s="225"/>
      <c r="Q34" s="225"/>
      <c r="R34" s="239" t="s">
        <v>574</v>
      </c>
      <c r="S34" s="225"/>
    </row>
    <row r="35" spans="1:19">
      <c r="A35" s="225"/>
      <c r="B35" s="225"/>
      <c r="C35" s="225"/>
      <c r="D35" s="225"/>
      <c r="E35" s="225"/>
      <c r="F35" s="225"/>
      <c r="G35" s="225"/>
      <c r="H35" s="225"/>
      <c r="I35" s="225"/>
      <c r="J35" s="225"/>
      <c r="K35" s="225"/>
      <c r="L35" s="225"/>
      <c r="M35" s="225"/>
      <c r="N35" s="225"/>
      <c r="O35" s="225"/>
      <c r="P35" s="225"/>
      <c r="Q35" s="225"/>
      <c r="R35" s="225"/>
      <c r="S35" s="225"/>
    </row>
    <row r="36" spans="1:19">
      <c r="A36" s="225"/>
      <c r="B36" s="214" t="s">
        <v>431</v>
      </c>
      <c r="C36" s="225"/>
      <c r="D36" s="225"/>
      <c r="E36" s="225"/>
      <c r="F36" s="225"/>
      <c r="G36" s="225"/>
      <c r="H36" s="225"/>
      <c r="I36" s="225"/>
      <c r="J36" s="225"/>
      <c r="K36" s="225"/>
      <c r="L36" s="225"/>
      <c r="M36" s="225"/>
      <c r="N36" s="225"/>
      <c r="O36" s="225"/>
      <c r="P36" s="225"/>
      <c r="Q36" s="225"/>
      <c r="R36" s="225"/>
      <c r="S36" s="225"/>
    </row>
    <row r="37" spans="1:19">
      <c r="A37" s="225"/>
      <c r="B37" s="225" t="s">
        <v>456</v>
      </c>
      <c r="C37" s="225"/>
      <c r="D37" s="225"/>
      <c r="E37" s="225"/>
      <c r="F37" s="225" t="s">
        <v>138</v>
      </c>
      <c r="G37" s="225"/>
      <c r="H37" s="48">
        <f>SUMPRODUCT(L19:P19,L18:P18)</f>
        <v>23162198.578000002</v>
      </c>
      <c r="I37" s="225"/>
      <c r="J37" s="225"/>
      <c r="K37" s="225"/>
      <c r="L37" s="225"/>
      <c r="M37" s="225"/>
      <c r="N37" s="225"/>
      <c r="O37" s="225"/>
      <c r="P37" s="225"/>
      <c r="Q37" s="225"/>
      <c r="R37" s="225"/>
      <c r="S37" s="225"/>
    </row>
    <row r="38" spans="1:19">
      <c r="A38" s="225"/>
      <c r="B38" s="225" t="s">
        <v>457</v>
      </c>
      <c r="C38" s="225"/>
      <c r="D38" s="225"/>
      <c r="E38" s="225"/>
      <c r="F38" s="225" t="s">
        <v>138</v>
      </c>
      <c r="G38" s="225"/>
      <c r="H38" s="48">
        <f>SUMPRODUCT(L25:P25,L24:P24)</f>
        <v>514103209.96000004</v>
      </c>
      <c r="I38" s="225"/>
      <c r="J38" s="225"/>
      <c r="K38" s="225"/>
      <c r="L38" s="219"/>
      <c r="M38" s="225"/>
      <c r="N38" s="225"/>
      <c r="O38" s="225"/>
      <c r="P38" s="225"/>
      <c r="Q38" s="225"/>
      <c r="R38" s="225"/>
      <c r="S38" s="225"/>
    </row>
    <row r="39" spans="1:19">
      <c r="A39" s="225"/>
      <c r="B39" s="225" t="s">
        <v>458</v>
      </c>
      <c r="C39" s="225"/>
      <c r="D39" s="225"/>
      <c r="E39" s="225"/>
      <c r="F39" s="225" t="s">
        <v>138</v>
      </c>
      <c r="G39" s="225"/>
      <c r="H39" s="48">
        <f>H37+H38</f>
        <v>537265408.53799999</v>
      </c>
      <c r="I39" s="225"/>
      <c r="J39" s="225"/>
      <c r="K39" s="225"/>
      <c r="L39" s="225"/>
      <c r="M39" s="225"/>
      <c r="N39" s="225"/>
      <c r="O39" s="225"/>
      <c r="P39" s="225"/>
      <c r="Q39" s="225"/>
      <c r="R39" s="225"/>
      <c r="S39" s="225"/>
    </row>
    <row r="40" spans="1:19">
      <c r="A40" s="225"/>
      <c r="B40" s="225"/>
      <c r="C40" s="225"/>
      <c r="D40" s="225"/>
      <c r="E40" s="225"/>
      <c r="F40" s="225"/>
      <c r="G40" s="225"/>
      <c r="H40" s="92"/>
      <c r="I40" s="225"/>
      <c r="J40" s="225"/>
      <c r="K40" s="225"/>
      <c r="L40" s="225"/>
      <c r="M40" s="225"/>
      <c r="N40" s="225"/>
      <c r="O40" s="225"/>
      <c r="P40" s="225"/>
      <c r="Q40" s="225"/>
      <c r="R40" s="225"/>
      <c r="S40" s="225"/>
    </row>
    <row r="41" spans="1:19">
      <c r="A41" s="225"/>
      <c r="B41" s="225" t="s">
        <v>459</v>
      </c>
      <c r="C41" s="225"/>
      <c r="D41" s="225"/>
      <c r="E41" s="225"/>
      <c r="F41" s="225" t="s">
        <v>138</v>
      </c>
      <c r="G41" s="225"/>
      <c r="H41" s="48">
        <f>SUMPRODUCT(L19:P19,L17:P17)</f>
        <v>24727866.439999998</v>
      </c>
      <c r="I41" s="225"/>
      <c r="J41" s="225"/>
      <c r="K41" s="225"/>
      <c r="L41" s="225"/>
      <c r="M41" s="225"/>
      <c r="N41" s="225"/>
      <c r="O41" s="225"/>
      <c r="P41" s="225"/>
      <c r="Q41" s="225"/>
      <c r="R41" s="225"/>
      <c r="S41" s="225"/>
    </row>
    <row r="42" spans="1:19">
      <c r="A42" s="225"/>
      <c r="B42" s="225" t="s">
        <v>460</v>
      </c>
      <c r="C42" s="225"/>
      <c r="D42" s="225"/>
      <c r="E42" s="225"/>
      <c r="F42" s="225" t="s">
        <v>138</v>
      </c>
      <c r="G42" s="225"/>
      <c r="H42" s="48">
        <f>SUMPRODUCT(L25:P25,L23:P23)</f>
        <v>506842853.83000004</v>
      </c>
      <c r="I42" s="225"/>
      <c r="J42" s="225"/>
      <c r="K42" s="225"/>
      <c r="L42" s="225"/>
      <c r="M42" s="225"/>
      <c r="N42" s="225"/>
      <c r="O42" s="225"/>
      <c r="P42" s="225"/>
      <c r="Q42" s="225"/>
      <c r="R42" s="225"/>
      <c r="S42" s="225"/>
    </row>
    <row r="43" spans="1:19">
      <c r="A43" s="225"/>
      <c r="B43" s="225" t="s">
        <v>461</v>
      </c>
      <c r="C43" s="225"/>
      <c r="D43" s="225"/>
      <c r="E43" s="225"/>
      <c r="F43" s="225" t="s">
        <v>138</v>
      </c>
      <c r="G43" s="225"/>
      <c r="H43" s="48">
        <f>H41+H42</f>
        <v>531570720.27000004</v>
      </c>
      <c r="I43" s="225"/>
      <c r="J43" s="225"/>
      <c r="K43" s="225"/>
      <c r="L43" s="225"/>
      <c r="M43" s="225"/>
      <c r="N43" s="225"/>
      <c r="O43" s="225"/>
      <c r="P43" s="225"/>
      <c r="Q43" s="225"/>
      <c r="R43" s="225"/>
      <c r="S43" s="225"/>
    </row>
    <row r="44" spans="1:19">
      <c r="A44" s="225"/>
      <c r="B44" s="225"/>
      <c r="C44" s="225"/>
      <c r="D44" s="225"/>
      <c r="E44" s="225"/>
      <c r="F44" s="225"/>
      <c r="G44" s="225"/>
      <c r="H44" s="91"/>
      <c r="I44" s="225"/>
      <c r="J44" s="225"/>
      <c r="K44" s="225"/>
      <c r="L44" s="225"/>
      <c r="M44" s="225"/>
      <c r="N44" s="225"/>
      <c r="O44" s="225"/>
      <c r="P44" s="225"/>
      <c r="Q44" s="225"/>
      <c r="R44" s="225"/>
      <c r="S44" s="225"/>
    </row>
    <row r="45" spans="1:19">
      <c r="A45" s="225"/>
      <c r="B45" s="102" t="s">
        <v>462</v>
      </c>
      <c r="C45" s="225"/>
      <c r="D45" s="225"/>
      <c r="E45" s="225"/>
      <c r="F45" s="225" t="s">
        <v>65</v>
      </c>
      <c r="G45" s="225"/>
      <c r="H45" s="103">
        <f>(H39-H43)/H43</f>
        <v>1.0712945711357938E-2</v>
      </c>
      <c r="I45" s="225"/>
      <c r="J45" s="225"/>
      <c r="K45" s="225"/>
      <c r="L45" s="225"/>
      <c r="M45" s="225"/>
      <c r="N45" s="225"/>
      <c r="O45" s="225"/>
      <c r="P45" s="225"/>
      <c r="Q45" s="225"/>
      <c r="R45" s="37"/>
      <c r="S45" s="225"/>
    </row>
    <row r="46" spans="1:19">
      <c r="A46" s="225"/>
      <c r="B46" s="102" t="s">
        <v>505</v>
      </c>
      <c r="C46" s="225"/>
      <c r="D46" s="225"/>
      <c r="E46" s="225"/>
      <c r="F46" s="225" t="s">
        <v>405</v>
      </c>
      <c r="G46" s="225"/>
      <c r="H46" s="94" t="str">
        <f>IF(ABS(H45)&gt;0.01,"ja","nee")</f>
        <v>ja</v>
      </c>
      <c r="I46" s="225"/>
      <c r="J46" s="225"/>
      <c r="K46" s="225"/>
      <c r="L46" s="225"/>
      <c r="M46" s="225"/>
      <c r="N46" s="225"/>
      <c r="O46" s="225"/>
      <c r="P46" s="225"/>
      <c r="Q46" s="225"/>
      <c r="R46" s="225" t="s">
        <v>506</v>
      </c>
      <c r="S46" s="225"/>
    </row>
    <row r="47" spans="1:19">
      <c r="A47" s="225"/>
      <c r="B47" s="225"/>
      <c r="C47" s="225"/>
      <c r="D47" s="225"/>
      <c r="E47" s="225"/>
      <c r="F47" s="225"/>
      <c r="G47" s="225"/>
      <c r="H47" s="225"/>
      <c r="I47" s="225"/>
      <c r="J47" s="225"/>
      <c r="K47" s="225"/>
      <c r="L47" s="225"/>
      <c r="M47" s="225"/>
      <c r="N47" s="225"/>
      <c r="O47" s="225"/>
      <c r="P47" s="225"/>
      <c r="Q47" s="225"/>
      <c r="R47" s="225"/>
      <c r="S47" s="225"/>
    </row>
    <row r="48" spans="1:19" s="226" customFormat="1">
      <c r="A48" s="219"/>
      <c r="B48" s="111" t="s">
        <v>245</v>
      </c>
      <c r="C48" s="219"/>
      <c r="D48" s="219"/>
      <c r="E48" s="219"/>
      <c r="F48" s="219"/>
      <c r="G48" s="219"/>
      <c r="H48" s="219"/>
      <c r="I48" s="219"/>
      <c r="J48" s="219"/>
      <c r="K48" s="219"/>
      <c r="L48" s="219"/>
      <c r="M48" s="219"/>
      <c r="N48" s="219"/>
      <c r="O48" s="219"/>
      <c r="P48" s="219"/>
      <c r="Q48" s="219"/>
      <c r="R48" s="219"/>
      <c r="S48" s="219"/>
    </row>
    <row r="49" spans="1:19">
      <c r="A49" s="225"/>
      <c r="B49" s="225" t="s">
        <v>586</v>
      </c>
      <c r="C49" s="225"/>
      <c r="D49" s="225"/>
      <c r="E49" s="225"/>
      <c r="F49" s="225"/>
      <c r="G49" s="225"/>
      <c r="H49" s="94" t="str">
        <f>IF(AND(H34="ja",H46="ja"),"ja","nee")</f>
        <v>ja</v>
      </c>
      <c r="I49" s="225"/>
      <c r="J49" s="225"/>
      <c r="K49" s="225"/>
      <c r="L49" s="225"/>
      <c r="M49" s="225"/>
      <c r="N49" s="225"/>
      <c r="O49" s="225"/>
      <c r="P49" s="225"/>
      <c r="Q49" s="225"/>
      <c r="R49" s="37"/>
      <c r="S49" s="225"/>
    </row>
    <row r="50" spans="1:19">
      <c r="A50" s="225"/>
      <c r="B50" s="225"/>
      <c r="C50" s="225"/>
      <c r="D50" s="225"/>
      <c r="E50" s="225"/>
      <c r="F50" s="225"/>
      <c r="G50" s="225"/>
      <c r="H50" s="225"/>
      <c r="I50" s="225"/>
      <c r="J50" s="225"/>
      <c r="K50" s="225"/>
      <c r="L50" s="225"/>
      <c r="M50" s="225"/>
      <c r="N50" s="225"/>
      <c r="O50" s="225"/>
      <c r="P50" s="225"/>
      <c r="Q50" s="225"/>
      <c r="R50" s="225"/>
      <c r="S50" s="225"/>
    </row>
    <row r="51" spans="1:19">
      <c r="A51" s="225"/>
      <c r="B51" s="225" t="s">
        <v>432</v>
      </c>
      <c r="C51" s="225"/>
      <c r="D51" s="225"/>
      <c r="E51" s="225"/>
      <c r="F51" s="225" t="s">
        <v>92</v>
      </c>
      <c r="G51" s="225"/>
      <c r="H51" s="225"/>
      <c r="I51" s="225"/>
      <c r="J51" s="225"/>
      <c r="K51" s="225"/>
      <c r="L51" s="234">
        <f>IF($H$49="ja",L18,L17)</f>
        <v>22.55</v>
      </c>
      <c r="M51" s="49">
        <f>IF($H$49="ja",M18,M17)</f>
        <v>1212716</v>
      </c>
      <c r="N51" s="49">
        <f>IF($H$49="ja",N18,N17)</f>
        <v>12026541</v>
      </c>
      <c r="O51" s="49">
        <f>IF($H$49="ja",O18,O17)</f>
        <v>235262</v>
      </c>
      <c r="P51" s="49">
        <f>IF($H$49="ja",P18,P17)</f>
        <v>3215320</v>
      </c>
      <c r="Q51" s="225"/>
      <c r="R51" s="225"/>
      <c r="S51" s="225"/>
    </row>
    <row r="52" spans="1:19">
      <c r="A52" s="225"/>
      <c r="B52" s="225" t="s">
        <v>433</v>
      </c>
      <c r="C52" s="225"/>
      <c r="D52" s="225"/>
      <c r="E52" s="225"/>
      <c r="F52" s="225" t="s">
        <v>92</v>
      </c>
      <c r="G52" s="225"/>
      <c r="H52" s="225"/>
      <c r="I52" s="225"/>
      <c r="J52" s="225"/>
      <c r="K52" s="225"/>
      <c r="L52" s="234">
        <f>IF($H$49="ja",L24,L23)</f>
        <v>91.56</v>
      </c>
      <c r="M52" s="49">
        <f>IF($H$49="ja",M24,M23)</f>
        <v>14929120</v>
      </c>
      <c r="N52" s="49">
        <f>IF($H$49="ja",N24,N23)</f>
        <v>153986790</v>
      </c>
      <c r="O52" s="49">
        <f>IF($H$49="ja",O24,O23)</f>
        <v>226512</v>
      </c>
      <c r="P52" s="49">
        <f>IF($H$49="ja",P24,P23)</f>
        <v>1737592</v>
      </c>
      <c r="Q52" s="225"/>
      <c r="R52" s="225"/>
      <c r="S52" s="225"/>
    </row>
    <row r="53" spans="1:19">
      <c r="A53" s="225"/>
      <c r="B53" s="225"/>
      <c r="C53" s="225"/>
      <c r="D53" s="225"/>
      <c r="E53" s="225"/>
      <c r="F53" s="225"/>
      <c r="G53" s="225"/>
      <c r="H53" s="225"/>
      <c r="I53" s="225"/>
      <c r="J53" s="225"/>
      <c r="K53" s="225"/>
      <c r="L53" s="225"/>
      <c r="M53" s="225"/>
      <c r="N53" s="225"/>
      <c r="O53" s="225"/>
      <c r="P53" s="225"/>
      <c r="Q53" s="225"/>
      <c r="R53" s="225"/>
      <c r="S53" s="225"/>
    </row>
  </sheetData>
  <mergeCells count="2">
    <mergeCell ref="B5:E5"/>
    <mergeCell ref="B8:E8"/>
  </mergeCells>
  <pageMargins left="0.7" right="0.7" top="0.75" bottom="0.75" header="0.3" footer="0.3"/>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autoPageBreaks="0"/>
  </sheetPr>
  <dimension ref="A1:U92"/>
  <sheetViews>
    <sheetView showGridLines="0" zoomScale="85" zoomScaleNormal="85" workbookViewId="0">
      <pane xSplit="6" ySplit="8" topLeftCell="G9" activePane="bottomRight" state="frozen"/>
      <selection pane="topRight"/>
      <selection pane="bottomLeft"/>
      <selection pane="bottomRight"/>
    </sheetView>
  </sheetViews>
  <sheetFormatPr defaultRowHeight="12.75"/>
  <cols>
    <col min="1" max="1" width="4" style="2" customWidth="1"/>
    <col min="2" max="2" width="62.5703125" style="2" customWidth="1"/>
    <col min="3" max="5" width="4.5703125" style="2" customWidth="1"/>
    <col min="6" max="6" width="13.7109375" style="2" customWidth="1"/>
    <col min="7" max="7" width="2.7109375" style="2" customWidth="1"/>
    <col min="8" max="8" width="14.85546875" style="2" bestFit="1" customWidth="1"/>
    <col min="9" max="9" width="2.7109375" style="2" customWidth="1"/>
    <col min="10" max="10" width="13.7109375" style="2" customWidth="1"/>
    <col min="11" max="11" width="2.7109375" style="2" customWidth="1"/>
    <col min="12" max="16" width="18.7109375" style="2" customWidth="1"/>
    <col min="17" max="17" width="2.7109375" style="2" customWidth="1"/>
    <col min="18" max="32" width="13.7109375" style="2" customWidth="1"/>
    <col min="33" max="16384" width="9.140625" style="2"/>
  </cols>
  <sheetData>
    <row r="1" spans="1:18">
      <c r="A1" s="8"/>
    </row>
    <row r="2" spans="1:18" s="28" customFormat="1" ht="18">
      <c r="B2" s="28" t="s">
        <v>366</v>
      </c>
    </row>
    <row r="4" spans="1:18">
      <c r="B4" s="1" t="s">
        <v>61</v>
      </c>
      <c r="C4" s="1"/>
      <c r="D4" s="1"/>
      <c r="H4" s="98"/>
    </row>
    <row r="5" spans="1:18" ht="68.25" customHeight="1">
      <c r="B5" s="248" t="s">
        <v>575</v>
      </c>
      <c r="C5" s="248"/>
      <c r="D5" s="248"/>
      <c r="E5" s="248"/>
      <c r="H5" s="29"/>
    </row>
    <row r="6" spans="1:18">
      <c r="C6" s="34"/>
      <c r="D6" s="34"/>
      <c r="H6" s="29"/>
    </row>
    <row r="7" spans="1:18" s="7" customFormat="1" ht="38.25">
      <c r="B7" s="7" t="s">
        <v>47</v>
      </c>
      <c r="F7" s="7" t="s">
        <v>28</v>
      </c>
      <c r="H7" s="7" t="s">
        <v>29</v>
      </c>
      <c r="J7" s="7" t="s">
        <v>51</v>
      </c>
      <c r="L7" s="101" t="s">
        <v>86</v>
      </c>
      <c r="M7" s="42" t="s">
        <v>407</v>
      </c>
      <c r="N7" s="42" t="s">
        <v>88</v>
      </c>
      <c r="O7" s="42" t="s">
        <v>406</v>
      </c>
      <c r="P7" s="42" t="s">
        <v>243</v>
      </c>
      <c r="R7" s="7" t="s">
        <v>49</v>
      </c>
    </row>
    <row r="10" spans="1:18" s="7" customFormat="1">
      <c r="B10" s="7" t="s">
        <v>50</v>
      </c>
    </row>
    <row r="12" spans="1:18">
      <c r="B12" s="1" t="s">
        <v>90</v>
      </c>
    </row>
    <row r="13" spans="1:18">
      <c r="B13" s="34" t="s">
        <v>95</v>
      </c>
      <c r="F13" s="2" t="s">
        <v>138</v>
      </c>
      <c r="L13" s="112">
        <f>'Tab 8_Voorstel tarieven en RV'!L31</f>
        <v>12478.96</v>
      </c>
      <c r="M13" s="112">
        <f>'Tab 8_Voorstel tarieven en RV'!M31</f>
        <v>8.61</v>
      </c>
      <c r="N13" s="112">
        <f>'Tab 8_Voorstel tarieven en RV'!N31</f>
        <v>0.87</v>
      </c>
      <c r="O13" s="112">
        <f>'Tab 8_Voorstel tarieven en RV'!O31</f>
        <v>4.3</v>
      </c>
      <c r="P13" s="112">
        <f>'Tab 8_Voorstel tarieven en RV'!P31</f>
        <v>0.3</v>
      </c>
    </row>
    <row r="14" spans="1:18">
      <c r="B14" s="34" t="s">
        <v>435</v>
      </c>
      <c r="F14" s="2" t="s">
        <v>92</v>
      </c>
      <c r="L14" s="233">
        <f>'Tab 8_Voorstel tarieven en RV'!L32</f>
        <v>22.55</v>
      </c>
      <c r="M14" s="47">
        <f>'Tab 8_Voorstel tarieven en RV'!M32</f>
        <v>1212716</v>
      </c>
      <c r="N14" s="47">
        <f>'Tab 8_Voorstel tarieven en RV'!N32</f>
        <v>12026541</v>
      </c>
      <c r="O14" s="47">
        <f>'Tab 8_Voorstel tarieven en RV'!O32</f>
        <v>235262</v>
      </c>
      <c r="P14" s="47">
        <f>'Tab 8_Voorstel tarieven en RV'!P32</f>
        <v>3215320</v>
      </c>
      <c r="R14" s="5"/>
    </row>
    <row r="15" spans="1:18">
      <c r="B15" s="34"/>
    </row>
    <row r="16" spans="1:18">
      <c r="B16" s="1" t="s">
        <v>93</v>
      </c>
    </row>
    <row r="17" spans="2:18">
      <c r="B17" s="34" t="s">
        <v>95</v>
      </c>
      <c r="F17" s="2" t="s">
        <v>138</v>
      </c>
      <c r="L17" s="112">
        <f>'Tab 8_Voorstel tarieven en RV'!L35</f>
        <v>2760</v>
      </c>
      <c r="M17" s="112">
        <f>'Tab 8_Voorstel tarieven en RV'!M35</f>
        <v>17.100000000000001</v>
      </c>
      <c r="N17" s="112">
        <f>'Tab 8_Voorstel tarieven en RV'!N35</f>
        <v>1.66</v>
      </c>
      <c r="O17" s="112">
        <f>'Tab 8_Voorstel tarieven en RV'!O35</f>
        <v>8.5500000000000007</v>
      </c>
      <c r="P17" s="112">
        <f>'Tab 8_Voorstel tarieven en RV'!P35</f>
        <v>0.57999999999999996</v>
      </c>
    </row>
    <row r="18" spans="2:18">
      <c r="B18" s="34" t="s">
        <v>435</v>
      </c>
      <c r="F18" s="2" t="s">
        <v>92</v>
      </c>
      <c r="L18" s="233">
        <f>'Tab 8_Voorstel tarieven en RV'!L36</f>
        <v>91.56</v>
      </c>
      <c r="M18" s="47">
        <f>'Tab 8_Voorstel tarieven en RV'!M36</f>
        <v>14929120</v>
      </c>
      <c r="N18" s="47">
        <f>'Tab 8_Voorstel tarieven en RV'!N36</f>
        <v>153986790</v>
      </c>
      <c r="O18" s="47">
        <f>'Tab 8_Voorstel tarieven en RV'!O36</f>
        <v>226512</v>
      </c>
      <c r="P18" s="47">
        <f>'Tab 8_Voorstel tarieven en RV'!P36</f>
        <v>1737592</v>
      </c>
      <c r="R18" s="5"/>
    </row>
    <row r="20" spans="2:18">
      <c r="B20" s="63" t="s">
        <v>247</v>
      </c>
      <c r="F20" s="2" t="s">
        <v>138</v>
      </c>
      <c r="H20" s="47">
        <f>'Tab 4_Totale inkomsten 2019'!L57</f>
        <v>262830900.9773764</v>
      </c>
    </row>
    <row r="21" spans="2:18">
      <c r="B21" s="63" t="s">
        <v>248</v>
      </c>
      <c r="F21" s="2" t="s">
        <v>138</v>
      </c>
      <c r="H21" s="47">
        <f>'Tab 4_Totale inkomsten 2019'!M57</f>
        <v>275086085.11098683</v>
      </c>
    </row>
    <row r="23" spans="2:18">
      <c r="B23" s="64" t="s">
        <v>120</v>
      </c>
      <c r="C23" s="65"/>
    </row>
    <row r="24" spans="2:18">
      <c r="B24" s="66" t="s">
        <v>329</v>
      </c>
      <c r="C24" s="65"/>
      <c r="F24" s="2" t="s">
        <v>65</v>
      </c>
      <c r="H24" s="118">
        <f>'Tab 9_Parameters'!H54</f>
        <v>0.5</v>
      </c>
      <c r="J24" s="29"/>
      <c r="R24" s="67"/>
    </row>
    <row r="25" spans="2:18">
      <c r="B25" s="66" t="s">
        <v>122</v>
      </c>
      <c r="C25" s="65"/>
      <c r="F25" s="2" t="s">
        <v>65</v>
      </c>
      <c r="H25" s="118">
        <f>'Tab 9_Parameters'!H55</f>
        <v>0.5</v>
      </c>
      <c r="J25" s="29"/>
      <c r="R25" s="67"/>
    </row>
    <row r="26" spans="2:18">
      <c r="B26" s="66"/>
      <c r="C26" s="65"/>
      <c r="H26" s="68"/>
      <c r="R26" s="67"/>
    </row>
    <row r="27" spans="2:18">
      <c r="B27" s="64" t="s">
        <v>123</v>
      </c>
      <c r="C27" s="65"/>
      <c r="H27" s="67"/>
      <c r="R27" s="67"/>
    </row>
    <row r="28" spans="2:18">
      <c r="B28" s="65" t="s">
        <v>330</v>
      </c>
      <c r="C28" s="65"/>
      <c r="F28" s="2" t="s">
        <v>65</v>
      </c>
      <c r="H28" s="118">
        <f>'Tab 9_Parameters'!H58</f>
        <v>0.5</v>
      </c>
      <c r="J28" s="29"/>
      <c r="R28" s="67"/>
    </row>
    <row r="29" spans="2:18">
      <c r="B29" s="65" t="s">
        <v>124</v>
      </c>
      <c r="C29" s="65"/>
      <c r="F29" s="2" t="s">
        <v>65</v>
      </c>
      <c r="H29" s="118">
        <f>'Tab 9_Parameters'!H59</f>
        <v>0.34615384615384615</v>
      </c>
      <c r="J29" s="29"/>
      <c r="R29" s="67"/>
    </row>
    <row r="31" spans="2:18" s="7" customFormat="1">
      <c r="B31" s="7" t="s">
        <v>195</v>
      </c>
    </row>
    <row r="33" spans="2:21">
      <c r="B33" s="62"/>
    </row>
    <row r="34" spans="2:21">
      <c r="B34" s="69" t="s">
        <v>125</v>
      </c>
      <c r="C34" s="67"/>
      <c r="E34" s="70"/>
      <c r="F34" s="67" t="s">
        <v>65</v>
      </c>
      <c r="G34" s="71"/>
      <c r="H34" s="72">
        <f>((M18+O18)/((M14+O14)+(M18+O18)))</f>
        <v>0.91279137488775031</v>
      </c>
      <c r="R34" s="71" t="s">
        <v>507</v>
      </c>
      <c r="U34" s="73" t="s">
        <v>126</v>
      </c>
    </row>
    <row r="35" spans="2:21">
      <c r="H35" s="74"/>
    </row>
    <row r="36" spans="2:21">
      <c r="B36" s="64" t="s">
        <v>522</v>
      </c>
      <c r="C36" s="64"/>
      <c r="D36" s="70"/>
      <c r="E36" s="70"/>
      <c r="F36" s="71"/>
      <c r="H36" s="74"/>
    </row>
    <row r="37" spans="2:21">
      <c r="B37" s="75" t="s">
        <v>328</v>
      </c>
      <c r="C37" s="70"/>
      <c r="F37" s="96" t="s">
        <v>138</v>
      </c>
      <c r="H37" s="58">
        <f>SUMPRODUCT(L13:P13,L14:P14)+SUMPRODUCT(L17:P17,L18:P18)</f>
        <v>537265408.53799999</v>
      </c>
      <c r="I37" s="70"/>
      <c r="J37" s="71"/>
    </row>
    <row r="38" spans="2:21">
      <c r="B38" s="63" t="s">
        <v>343</v>
      </c>
      <c r="C38" s="70"/>
      <c r="F38" s="2" t="s">
        <v>138</v>
      </c>
      <c r="H38" s="58">
        <f>H20+H21</f>
        <v>537916986.08836317</v>
      </c>
      <c r="I38" s="70"/>
      <c r="J38" s="71"/>
    </row>
    <row r="39" spans="2:21">
      <c r="B39" s="75" t="s">
        <v>127</v>
      </c>
      <c r="C39" s="70"/>
      <c r="F39" s="96" t="s">
        <v>138</v>
      </c>
      <c r="H39" s="58">
        <f>H37-H38</f>
        <v>-651577.55036318302</v>
      </c>
      <c r="I39" s="70"/>
    </row>
    <row r="40" spans="2:21">
      <c r="B40" s="2" t="s">
        <v>469</v>
      </c>
      <c r="F40" s="2" t="s">
        <v>405</v>
      </c>
      <c r="H40" s="114" t="str">
        <f>IF(H39&gt;0,"nee","ja")</f>
        <v>ja</v>
      </c>
      <c r="J40" s="71"/>
      <c r="O40" s="65"/>
      <c r="P40" s="67"/>
      <c r="R40" s="97" t="s">
        <v>508</v>
      </c>
    </row>
    <row r="41" spans="2:21">
      <c r="O41" s="65"/>
      <c r="P41" s="67"/>
    </row>
    <row r="42" spans="2:21">
      <c r="O42" s="65"/>
      <c r="P42" s="67"/>
    </row>
    <row r="43" spans="2:21">
      <c r="B43" s="64" t="s">
        <v>521</v>
      </c>
      <c r="C43" s="64"/>
      <c r="N43" s="68"/>
      <c r="O43" s="65"/>
      <c r="P43" s="67"/>
    </row>
    <row r="44" spans="2:21">
      <c r="B44" s="65" t="s">
        <v>333</v>
      </c>
      <c r="F44" s="2" t="s">
        <v>138</v>
      </c>
      <c r="H44" s="58">
        <f>L14*L13</f>
        <v>281400.54800000001</v>
      </c>
      <c r="O44" s="65"/>
      <c r="P44" s="67"/>
    </row>
    <row r="45" spans="2:21">
      <c r="B45" s="65" t="s">
        <v>334</v>
      </c>
      <c r="F45" s="96" t="s">
        <v>138</v>
      </c>
      <c r="H45" s="58">
        <f>H20-H44</f>
        <v>262549500.42937639</v>
      </c>
      <c r="O45" s="65"/>
      <c r="P45" s="67"/>
    </row>
    <row r="46" spans="2:21">
      <c r="B46" s="67"/>
      <c r="F46" s="96"/>
      <c r="H46" s="67"/>
      <c r="O46" s="67"/>
      <c r="P46" s="67"/>
    </row>
    <row r="47" spans="2:21">
      <c r="B47" s="65" t="s">
        <v>335</v>
      </c>
      <c r="F47" s="96" t="s">
        <v>138</v>
      </c>
      <c r="H47" s="58">
        <f>(1-H34)*H45</f>
        <v>22896580.956353925</v>
      </c>
      <c r="O47" s="65"/>
      <c r="P47" s="65"/>
    </row>
    <row r="48" spans="2:21">
      <c r="B48" s="76"/>
      <c r="F48" s="96"/>
      <c r="H48" s="77"/>
      <c r="O48" s="65"/>
      <c r="P48" s="65"/>
    </row>
    <row r="49" spans="2:18">
      <c r="B49" s="65" t="s">
        <v>331</v>
      </c>
      <c r="F49" s="96" t="s">
        <v>138</v>
      </c>
      <c r="H49" s="58">
        <f>H47*H24</f>
        <v>11448290.478176963</v>
      </c>
    </row>
    <row r="50" spans="2:18">
      <c r="B50" s="65" t="s">
        <v>332</v>
      </c>
      <c r="F50" s="96" t="s">
        <v>138</v>
      </c>
      <c r="H50" s="58">
        <f>H47*H25</f>
        <v>11448290.478176963</v>
      </c>
    </row>
    <row r="51" spans="2:18">
      <c r="F51" s="96"/>
      <c r="N51" s="70"/>
      <c r="O51" s="70"/>
      <c r="P51" s="71"/>
    </row>
    <row r="52" spans="2:18">
      <c r="B52" s="192" t="s">
        <v>339</v>
      </c>
      <c r="F52" s="96" t="s">
        <v>138</v>
      </c>
      <c r="J52" s="74"/>
      <c r="K52" s="74"/>
      <c r="L52" s="160">
        <f>L13</f>
        <v>12478.96</v>
      </c>
      <c r="M52" s="196">
        <f>H49/(M14+H28*O14)</f>
        <v>8.6054920093606881</v>
      </c>
      <c r="N52" s="196">
        <f>H50/(N14+P14*H29)</f>
        <v>0.87128572447817554</v>
      </c>
      <c r="O52" s="196">
        <f>H28*M52</f>
        <v>4.3027460046803441</v>
      </c>
      <c r="P52" s="196">
        <f>H29*N52</f>
        <v>0.30159890462706074</v>
      </c>
      <c r="R52" s="97" t="s">
        <v>509</v>
      </c>
    </row>
    <row r="53" spans="2:18">
      <c r="B53" s="192" t="s">
        <v>128</v>
      </c>
      <c r="F53" s="96" t="s">
        <v>138</v>
      </c>
      <c r="J53" s="58">
        <f>SUM(L53:P53)</f>
        <v>23177981.504353926</v>
      </c>
      <c r="K53" s="74"/>
      <c r="L53" s="58">
        <f>L52*L14</f>
        <v>281400.54800000001</v>
      </c>
      <c r="M53" s="58">
        <f>M52*M14</f>
        <v>10436017.847623857</v>
      </c>
      <c r="N53" s="58">
        <f>N52*N14</f>
        <v>10478553.488151481</v>
      </c>
      <c r="O53" s="58">
        <f>O52*O14</f>
        <v>1012272.6305531071</v>
      </c>
      <c r="P53" s="58">
        <f>P52*P14</f>
        <v>969736.99002548098</v>
      </c>
    </row>
    <row r="54" spans="2:18">
      <c r="B54" s="193"/>
      <c r="F54" s="96"/>
      <c r="J54" s="74"/>
      <c r="K54" s="74"/>
      <c r="L54" s="74"/>
      <c r="M54" s="74"/>
      <c r="N54" s="76"/>
      <c r="O54" s="76"/>
      <c r="P54" s="68"/>
    </row>
    <row r="55" spans="2:18">
      <c r="B55" s="192" t="s">
        <v>129</v>
      </c>
      <c r="F55" s="96" t="s">
        <v>138</v>
      </c>
      <c r="J55" s="74"/>
      <c r="K55" s="74"/>
      <c r="L55" s="78">
        <f>ROUND(L52,2)</f>
        <v>12478.96</v>
      </c>
      <c r="M55" s="78">
        <f t="shared" ref="M55:P55" si="0">ROUND(M52,2)</f>
        <v>8.61</v>
      </c>
      <c r="N55" s="78">
        <f t="shared" si="0"/>
        <v>0.87</v>
      </c>
      <c r="O55" s="78">
        <f t="shared" si="0"/>
        <v>4.3</v>
      </c>
      <c r="P55" s="78">
        <f t="shared" si="0"/>
        <v>0.3</v>
      </c>
    </row>
    <row r="56" spans="2:18">
      <c r="B56" s="76" t="s">
        <v>130</v>
      </c>
      <c r="F56" s="96" t="s">
        <v>138</v>
      </c>
      <c r="J56" s="79">
        <f>SUM(L56:P56)</f>
        <v>23162198.578000002</v>
      </c>
      <c r="L56" s="79">
        <f>L55*L14</f>
        <v>281400.54800000001</v>
      </c>
      <c r="M56" s="58">
        <f>M55*M14</f>
        <v>10441484.76</v>
      </c>
      <c r="N56" s="58">
        <f>N55*N14</f>
        <v>10463090.67</v>
      </c>
      <c r="O56" s="58">
        <f>O55*O14</f>
        <v>1011626.6</v>
      </c>
      <c r="P56" s="58">
        <f>P55*P14</f>
        <v>964596</v>
      </c>
    </row>
    <row r="57" spans="2:18" s="8" customFormat="1">
      <c r="B57" s="8" t="s">
        <v>131</v>
      </c>
      <c r="H57" s="79">
        <f>J56-J53</f>
        <v>-15782.926353923976</v>
      </c>
      <c r="M57" s="67"/>
      <c r="O57" s="65"/>
      <c r="P57" s="65"/>
      <c r="R57" s="198"/>
    </row>
    <row r="58" spans="2:18">
      <c r="M58" s="67"/>
      <c r="O58" s="76"/>
      <c r="P58" s="76"/>
    </row>
    <row r="59" spans="2:18">
      <c r="M59" s="67"/>
      <c r="O59" s="76"/>
      <c r="P59" s="76"/>
    </row>
    <row r="60" spans="2:18">
      <c r="B60" s="64" t="s">
        <v>512</v>
      </c>
      <c r="M60" s="67"/>
      <c r="O60" s="76"/>
      <c r="P60" s="76"/>
    </row>
    <row r="61" spans="2:18">
      <c r="B61" s="65" t="s">
        <v>336</v>
      </c>
      <c r="F61" s="2" t="s">
        <v>138</v>
      </c>
      <c r="H61" s="58">
        <f>L18*L17</f>
        <v>252705.6</v>
      </c>
      <c r="J61" s="194"/>
      <c r="L61" s="67"/>
      <c r="M61" s="67"/>
      <c r="N61" s="67"/>
      <c r="O61" s="67"/>
      <c r="P61" s="67"/>
    </row>
    <row r="62" spans="2:18">
      <c r="B62" s="65" t="s">
        <v>337</v>
      </c>
      <c r="F62" s="96" t="s">
        <v>138</v>
      </c>
      <c r="H62" s="58">
        <f>H21-H61</f>
        <v>274833379.5109868</v>
      </c>
      <c r="L62" s="67"/>
      <c r="M62" s="67"/>
      <c r="N62" s="67"/>
      <c r="O62" s="67"/>
      <c r="P62" s="67"/>
    </row>
    <row r="63" spans="2:18">
      <c r="B63" s="67"/>
      <c r="F63" s="96"/>
      <c r="H63" s="67"/>
      <c r="M63" s="67"/>
      <c r="N63" s="67"/>
      <c r="O63" s="77"/>
      <c r="P63" s="67"/>
    </row>
    <row r="64" spans="2:18">
      <c r="B64" s="69" t="s">
        <v>125</v>
      </c>
      <c r="F64" s="96" t="s">
        <v>138</v>
      </c>
      <c r="H64" s="58">
        <f>H34*H45</f>
        <v>239652919.47302246</v>
      </c>
      <c r="M64" s="67"/>
      <c r="N64" s="67"/>
      <c r="O64" s="76"/>
      <c r="P64" s="67"/>
    </row>
    <row r="65" spans="2:18">
      <c r="B65" s="65" t="s">
        <v>338</v>
      </c>
      <c r="F65" s="96" t="s">
        <v>138</v>
      </c>
      <c r="H65" s="58">
        <f>H64+H62</f>
        <v>514486298.98400927</v>
      </c>
      <c r="M65" s="67"/>
      <c r="N65" s="67"/>
      <c r="O65" s="76"/>
      <c r="P65" s="67"/>
    </row>
    <row r="66" spans="2:18">
      <c r="B66" s="67"/>
      <c r="F66" s="96"/>
      <c r="H66" s="67"/>
      <c r="M66" s="67"/>
      <c r="N66" s="67"/>
      <c r="O66" s="76"/>
      <c r="P66" s="67"/>
    </row>
    <row r="67" spans="2:18">
      <c r="B67" s="66" t="s">
        <v>331</v>
      </c>
      <c r="F67" s="96" t="s">
        <v>138</v>
      </c>
      <c r="H67" s="58">
        <f>H65*H24</f>
        <v>257243149.49200463</v>
      </c>
      <c r="M67" s="67"/>
      <c r="N67" s="67"/>
      <c r="O67" s="77"/>
      <c r="P67" s="67"/>
    </row>
    <row r="68" spans="2:18">
      <c r="B68" s="66" t="s">
        <v>132</v>
      </c>
      <c r="F68" s="96" t="s">
        <v>138</v>
      </c>
      <c r="H68" s="58">
        <f>H65*H25</f>
        <v>257243149.49200463</v>
      </c>
      <c r="M68" s="67"/>
      <c r="N68" s="67"/>
      <c r="O68" s="76"/>
      <c r="P68" s="80"/>
    </row>
    <row r="69" spans="2:18">
      <c r="F69" s="96"/>
      <c r="M69" s="67"/>
      <c r="N69" s="67"/>
      <c r="O69" s="76"/>
      <c r="P69" s="76"/>
    </row>
    <row r="70" spans="2:18">
      <c r="B70" s="76" t="s">
        <v>340</v>
      </c>
      <c r="F70" s="96" t="s">
        <v>138</v>
      </c>
      <c r="J70" s="74"/>
      <c r="K70" s="74"/>
      <c r="L70" s="197">
        <f>L17</f>
        <v>2760</v>
      </c>
      <c r="M70" s="196">
        <f>H67/(M18+H28*O18)</f>
        <v>17.101231181297731</v>
      </c>
      <c r="N70" s="196">
        <f>H68/(N18+P18*H29)</f>
        <v>1.6640535483081458</v>
      </c>
      <c r="O70" s="196">
        <f>H28*M70</f>
        <v>8.5506155906488654</v>
      </c>
      <c r="P70" s="196">
        <f>H29*N70</f>
        <v>0.57601853595281971</v>
      </c>
      <c r="R70" s="97" t="s">
        <v>509</v>
      </c>
    </row>
    <row r="71" spans="2:18">
      <c r="B71" s="76" t="s">
        <v>133</v>
      </c>
      <c r="F71" s="96" t="s">
        <v>138</v>
      </c>
      <c r="J71" s="58">
        <f>SUM(L71:P71)</f>
        <v>514739004.58400929</v>
      </c>
      <c r="K71" s="74"/>
      <c r="L71" s="58">
        <f>L70*L18</f>
        <v>252705.6</v>
      </c>
      <c r="M71" s="58">
        <f>M70*M18</f>
        <v>255306332.45333558</v>
      </c>
      <c r="N71" s="58">
        <f>N70*N18</f>
        <v>256242264.2920813</v>
      </c>
      <c r="O71" s="58">
        <f>O70*O18</f>
        <v>1936817.0386690558</v>
      </c>
      <c r="P71" s="58">
        <f>P70*P18</f>
        <v>1000885.1999233318</v>
      </c>
    </row>
    <row r="72" spans="2:18">
      <c r="F72" s="96"/>
      <c r="J72" s="74"/>
      <c r="K72" s="74"/>
      <c r="L72" s="74"/>
      <c r="M72" s="74"/>
      <c r="N72" s="76"/>
      <c r="O72" s="76"/>
      <c r="P72" s="68"/>
    </row>
    <row r="73" spans="2:18">
      <c r="B73" s="76" t="s">
        <v>134</v>
      </c>
      <c r="F73" s="96" t="s">
        <v>138</v>
      </c>
      <c r="J73" s="74"/>
      <c r="K73" s="74"/>
      <c r="L73" s="78">
        <f>ROUND(L70,2)</f>
        <v>2760</v>
      </c>
      <c r="M73" s="78">
        <f>ROUND(M70,2)</f>
        <v>17.100000000000001</v>
      </c>
      <c r="N73" s="78">
        <f>ROUND(N70,2)</f>
        <v>1.66</v>
      </c>
      <c r="O73" s="78">
        <f>ROUND(O70,2)</f>
        <v>8.5500000000000007</v>
      </c>
      <c r="P73" s="78">
        <f>ROUND(P70,2)</f>
        <v>0.57999999999999996</v>
      </c>
    </row>
    <row r="74" spans="2:18">
      <c r="B74" s="76" t="s">
        <v>133</v>
      </c>
      <c r="F74" s="96" t="s">
        <v>138</v>
      </c>
      <c r="J74" s="58">
        <f>SUM(L74:P74)</f>
        <v>514103209.96000004</v>
      </c>
      <c r="L74" s="58">
        <f>L73*L18</f>
        <v>252705.6</v>
      </c>
      <c r="M74" s="58">
        <f>M73*M18</f>
        <v>255287952.00000003</v>
      </c>
      <c r="N74" s="58">
        <f>N73*N18</f>
        <v>255618071.39999998</v>
      </c>
      <c r="O74" s="58">
        <f>O73*O18</f>
        <v>1936677.6</v>
      </c>
      <c r="P74" s="58">
        <f>P73*P18</f>
        <v>1007803.36</v>
      </c>
    </row>
    <row r="75" spans="2:18" s="8" customFormat="1">
      <c r="B75" s="8" t="s">
        <v>131</v>
      </c>
      <c r="H75" s="79">
        <f>J74-J71</f>
        <v>-635794.62400925159</v>
      </c>
      <c r="M75" s="67"/>
      <c r="O75" s="65"/>
      <c r="P75" s="65"/>
    </row>
    <row r="76" spans="2:18">
      <c r="B76" s="40"/>
    </row>
    <row r="77" spans="2:18">
      <c r="B77" s="111" t="s">
        <v>513</v>
      </c>
      <c r="C77" s="96"/>
      <c r="D77" s="96"/>
      <c r="E77" s="96"/>
      <c r="F77" s="96"/>
      <c r="G77" s="96"/>
      <c r="H77" s="96"/>
    </row>
    <row r="78" spans="2:18" s="188" customFormat="1">
      <c r="B78" s="111" t="s">
        <v>470</v>
      </c>
    </row>
    <row r="79" spans="2:18">
      <c r="B79" s="65" t="s">
        <v>471</v>
      </c>
      <c r="C79" s="81"/>
      <c r="D79" s="96"/>
      <c r="E79" s="96"/>
      <c r="F79" s="96" t="s">
        <v>138</v>
      </c>
      <c r="G79" s="96"/>
      <c r="H79" s="48">
        <f>J53+J71</f>
        <v>537916986.08836317</v>
      </c>
      <c r="M79" s="76"/>
      <c r="N79" s="77"/>
      <c r="O79" s="76"/>
      <c r="P79" s="76"/>
      <c r="R79" s="97"/>
    </row>
    <row r="80" spans="2:18">
      <c r="B80" s="65" t="s">
        <v>472</v>
      </c>
      <c r="C80" s="81"/>
      <c r="D80" s="96"/>
      <c r="E80" s="96"/>
      <c r="F80" s="96" t="s">
        <v>138</v>
      </c>
      <c r="G80" s="96"/>
      <c r="H80" s="48">
        <f>J56+J74</f>
        <v>537265408.53799999</v>
      </c>
    </row>
    <row r="81" spans="2:18">
      <c r="B81" s="67" t="s">
        <v>135</v>
      </c>
      <c r="C81" s="81"/>
      <c r="D81" s="96"/>
      <c r="E81" s="96"/>
      <c r="F81" s="96" t="s">
        <v>138</v>
      </c>
      <c r="G81" s="96"/>
      <c r="H81" s="48">
        <f>H80-H79</f>
        <v>-651577.55036318302</v>
      </c>
      <c r="R81" s="198" t="s">
        <v>510</v>
      </c>
    </row>
    <row r="82" spans="2:18" s="96" customFormat="1">
      <c r="B82" s="67"/>
      <c r="C82" s="81"/>
      <c r="H82" s="117"/>
    </row>
    <row r="83" spans="2:18" s="96" customFormat="1">
      <c r="B83" s="111" t="s">
        <v>245</v>
      </c>
      <c r="H83" s="116"/>
    </row>
    <row r="84" spans="2:18">
      <c r="B84" s="40" t="s">
        <v>344</v>
      </c>
      <c r="C84" s="96"/>
      <c r="D84" s="96"/>
      <c r="E84" s="96"/>
      <c r="F84" s="96" t="s">
        <v>405</v>
      </c>
      <c r="G84" s="96"/>
      <c r="H84" s="113" t="str">
        <f>H40</f>
        <v>ja</v>
      </c>
      <c r="R84" s="195"/>
    </row>
    <row r="85" spans="2:18" s="96" customFormat="1">
      <c r="B85" s="40"/>
    </row>
    <row r="86" spans="2:18">
      <c r="B86" s="40" t="s">
        <v>341</v>
      </c>
      <c r="F86" s="2" t="s">
        <v>138</v>
      </c>
      <c r="L86" s="115">
        <f>IF($H$84="ja",L13,L55)</f>
        <v>12478.96</v>
      </c>
      <c r="M86" s="115">
        <f t="shared" ref="M86:P86" si="1">IF($H$84="ja",M13,M55)</f>
        <v>8.61</v>
      </c>
      <c r="N86" s="115">
        <f t="shared" si="1"/>
        <v>0.87</v>
      </c>
      <c r="O86" s="115">
        <f t="shared" si="1"/>
        <v>4.3</v>
      </c>
      <c r="P86" s="115">
        <f t="shared" si="1"/>
        <v>0.3</v>
      </c>
    </row>
    <row r="87" spans="2:18">
      <c r="B87" s="40" t="s">
        <v>342</v>
      </c>
      <c r="F87" s="2" t="s">
        <v>138</v>
      </c>
      <c r="L87" s="115">
        <f>IF($H$84="ja",L17,L73)</f>
        <v>2760</v>
      </c>
      <c r="M87" s="115">
        <f t="shared" ref="M87:P87" si="2">IF($H$84="ja",M17,M73)</f>
        <v>17.100000000000001</v>
      </c>
      <c r="N87" s="115">
        <f t="shared" si="2"/>
        <v>1.66</v>
      </c>
      <c r="O87" s="115">
        <f t="shared" si="2"/>
        <v>8.5500000000000007</v>
      </c>
      <c r="P87" s="115">
        <f t="shared" si="2"/>
        <v>0.57999999999999996</v>
      </c>
    </row>
    <row r="91" spans="2:18">
      <c r="N91" s="67"/>
      <c r="O91" s="76"/>
      <c r="P91" s="76"/>
    </row>
    <row r="92" spans="2:18">
      <c r="N92" s="67"/>
      <c r="O92" s="76"/>
      <c r="P92" s="76"/>
    </row>
  </sheetData>
  <mergeCells count="1">
    <mergeCell ref="B5: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autoPageBreaks="0" fitToPage="1"/>
  </sheetPr>
  <dimension ref="A1:G34"/>
  <sheetViews>
    <sheetView showGridLines="0" zoomScale="85" zoomScaleNormal="85" workbookViewId="0">
      <pane ySplit="3" topLeftCell="A4" activePane="bottomLeft" state="frozen"/>
      <selection pane="bottomLeft"/>
    </sheetView>
  </sheetViews>
  <sheetFormatPr defaultRowHeight="12.75"/>
  <cols>
    <col min="1" max="1" width="2.85546875" style="2" customWidth="1"/>
    <col min="2" max="2" width="7.5703125" style="2" customWidth="1"/>
    <col min="3" max="3" width="47.140625" style="2" customWidth="1"/>
    <col min="4" max="4" width="47.140625" style="96" customWidth="1"/>
    <col min="5" max="5" width="45.85546875" style="2" customWidth="1"/>
    <col min="6" max="6" width="4.5703125" style="2" customWidth="1"/>
    <col min="7" max="7" width="22" style="2" customWidth="1"/>
    <col min="8" max="16384" width="9.140625" style="2"/>
  </cols>
  <sheetData>
    <row r="1" spans="1:7">
      <c r="A1" s="8"/>
    </row>
    <row r="2" spans="1:7" s="12" customFormat="1" ht="18">
      <c r="B2" s="11" t="s">
        <v>355</v>
      </c>
    </row>
    <row r="4" spans="1:7" s="7" customFormat="1">
      <c r="B4" s="7" t="s">
        <v>26</v>
      </c>
      <c r="D4" s="100"/>
    </row>
    <row r="5" spans="1:7">
      <c r="C5" s="37"/>
    </row>
    <row r="6" spans="1:7">
      <c r="B6" s="153" t="s">
        <v>57</v>
      </c>
      <c r="C6" s="153" t="s">
        <v>58</v>
      </c>
      <c r="D6" s="153" t="s">
        <v>271</v>
      </c>
      <c r="E6" s="153" t="s">
        <v>60</v>
      </c>
    </row>
    <row r="7" spans="1:7">
      <c r="B7" s="27"/>
      <c r="C7" s="35" t="s">
        <v>59</v>
      </c>
      <c r="D7" s="35"/>
      <c r="E7" s="35" t="s">
        <v>27</v>
      </c>
    </row>
    <row r="8" spans="1:7">
      <c r="B8" s="36">
        <v>1</v>
      </c>
      <c r="C8" s="36" t="s">
        <v>270</v>
      </c>
      <c r="D8" s="6" t="s">
        <v>280</v>
      </c>
      <c r="E8" s="6"/>
    </row>
    <row r="9" spans="1:7">
      <c r="B9" s="6">
        <v>2</v>
      </c>
      <c r="C9" s="36" t="s">
        <v>272</v>
      </c>
      <c r="D9" s="6" t="s">
        <v>273</v>
      </c>
      <c r="E9" s="6"/>
      <c r="G9" s="37"/>
    </row>
    <row r="10" spans="1:7">
      <c r="B10" s="6">
        <v>3</v>
      </c>
      <c r="C10" s="36" t="s">
        <v>80</v>
      </c>
      <c r="D10" s="6" t="s">
        <v>275</v>
      </c>
      <c r="E10" s="6" t="s">
        <v>274</v>
      </c>
    </row>
    <row r="11" spans="1:7" s="191" customFormat="1">
      <c r="B11" s="36">
        <v>4</v>
      </c>
      <c r="C11" s="36" t="s">
        <v>416</v>
      </c>
      <c r="D11" s="6" t="s">
        <v>412</v>
      </c>
      <c r="E11" s="6" t="s">
        <v>413</v>
      </c>
    </row>
    <row r="12" spans="1:7">
      <c r="B12" s="6">
        <v>5</v>
      </c>
      <c r="C12" s="36" t="s">
        <v>414</v>
      </c>
      <c r="D12" s="6" t="s">
        <v>278</v>
      </c>
      <c r="E12" s="6" t="s">
        <v>279</v>
      </c>
    </row>
    <row r="13" spans="1:7" s="96" customFormat="1">
      <c r="B13" s="6">
        <v>6</v>
      </c>
      <c r="C13" s="36" t="s">
        <v>415</v>
      </c>
      <c r="D13" s="6" t="s">
        <v>281</v>
      </c>
      <c r="E13" s="6" t="s">
        <v>282</v>
      </c>
    </row>
    <row r="14" spans="1:7">
      <c r="B14" s="6">
        <v>8</v>
      </c>
      <c r="C14" s="36" t="s">
        <v>417</v>
      </c>
      <c r="D14" s="6" t="s">
        <v>283</v>
      </c>
      <c r="E14" s="6" t="s">
        <v>227</v>
      </c>
    </row>
    <row r="15" spans="1:7" s="191" customFormat="1">
      <c r="B15" s="6">
        <v>9</v>
      </c>
      <c r="C15" s="36" t="s">
        <v>421</v>
      </c>
      <c r="D15" s="6" t="s">
        <v>284</v>
      </c>
      <c r="E15" s="6" t="s">
        <v>285</v>
      </c>
    </row>
    <row r="16" spans="1:7">
      <c r="B16" s="6">
        <v>10</v>
      </c>
      <c r="C16" s="36" t="s">
        <v>287</v>
      </c>
      <c r="D16" s="6" t="s">
        <v>286</v>
      </c>
      <c r="E16" s="6"/>
    </row>
    <row r="17" spans="2:5" s="96" customFormat="1">
      <c r="B17" s="6">
        <v>11</v>
      </c>
      <c r="C17" s="36" t="s">
        <v>305</v>
      </c>
      <c r="D17" s="6" t="s">
        <v>303</v>
      </c>
      <c r="E17" s="6" t="s">
        <v>304</v>
      </c>
    </row>
    <row r="18" spans="2:5" s="96" customFormat="1">
      <c r="B18" s="6">
        <v>12</v>
      </c>
      <c r="C18" s="36" t="s">
        <v>288</v>
      </c>
      <c r="D18" s="6"/>
      <c r="E18" s="6"/>
    </row>
    <row r="19" spans="2:5" s="96" customFormat="1">
      <c r="B19" s="6">
        <v>13</v>
      </c>
      <c r="C19" s="36" t="s">
        <v>425</v>
      </c>
      <c r="D19" s="6"/>
      <c r="E19" s="6"/>
    </row>
    <row r="20" spans="2:5" s="96" customFormat="1">
      <c r="B20" s="6">
        <v>14</v>
      </c>
      <c r="C20" s="36" t="s">
        <v>290</v>
      </c>
      <c r="D20" s="6"/>
      <c r="E20" s="6"/>
    </row>
    <row r="21" spans="2:5" s="201" customFormat="1">
      <c r="B21" s="6">
        <v>15</v>
      </c>
      <c r="C21" s="97" t="s">
        <v>289</v>
      </c>
      <c r="D21" s="6"/>
      <c r="E21" s="6"/>
    </row>
    <row r="22" spans="2:5" s="96" customFormat="1">
      <c r="B22" s="6">
        <v>17</v>
      </c>
      <c r="C22" s="36" t="s">
        <v>418</v>
      </c>
      <c r="D22" s="6" t="s">
        <v>292</v>
      </c>
      <c r="E22" s="6" t="s">
        <v>307</v>
      </c>
    </row>
    <row r="23" spans="2:5" s="96" customFormat="1">
      <c r="B23" s="6">
        <v>18</v>
      </c>
      <c r="C23" s="36" t="s">
        <v>419</v>
      </c>
      <c r="D23" s="6" t="s">
        <v>284</v>
      </c>
      <c r="E23" s="6" t="s">
        <v>166</v>
      </c>
    </row>
    <row r="24" spans="2:5" s="96" customFormat="1">
      <c r="B24" s="6">
        <v>19</v>
      </c>
      <c r="C24" s="36" t="s">
        <v>420</v>
      </c>
      <c r="D24" s="6" t="s">
        <v>292</v>
      </c>
      <c r="E24" s="6" t="s">
        <v>291</v>
      </c>
    </row>
    <row r="25" spans="2:5" s="96" customFormat="1">
      <c r="B25" s="6">
        <v>20</v>
      </c>
      <c r="C25" s="205" t="s">
        <v>306</v>
      </c>
      <c r="D25" s="205" t="s">
        <v>556</v>
      </c>
      <c r="E25" s="205" t="s">
        <v>306</v>
      </c>
    </row>
    <row r="26" spans="2:5" s="96" customFormat="1">
      <c r="B26" s="6">
        <v>22</v>
      </c>
      <c r="C26" s="36" t="s">
        <v>422</v>
      </c>
      <c r="D26" s="6"/>
      <c r="E26" s="6"/>
    </row>
    <row r="27" spans="2:5" s="96" customFormat="1">
      <c r="B27" s="6">
        <v>23</v>
      </c>
      <c r="C27" s="36" t="s">
        <v>423</v>
      </c>
      <c r="D27" s="6"/>
      <c r="E27" s="6"/>
    </row>
    <row r="28" spans="2:5" s="96" customFormat="1">
      <c r="B28" s="6">
        <v>24</v>
      </c>
      <c r="C28" s="36" t="s">
        <v>424</v>
      </c>
      <c r="D28" s="6"/>
      <c r="E28" s="6"/>
    </row>
    <row r="29" spans="2:5" s="201" customFormat="1">
      <c r="B29" s="6">
        <v>25</v>
      </c>
      <c r="C29" s="36" t="s">
        <v>490</v>
      </c>
      <c r="D29" s="6" t="s">
        <v>489</v>
      </c>
      <c r="E29" s="6"/>
    </row>
    <row r="31" spans="2:5" s="7" customFormat="1">
      <c r="B31" s="7" t="s">
        <v>54</v>
      </c>
      <c r="D31" s="100"/>
    </row>
    <row r="33" spans="2:2">
      <c r="B33" s="4" t="s">
        <v>52</v>
      </c>
    </row>
    <row r="34" spans="2:2">
      <c r="B34" s="4" t="s">
        <v>53</v>
      </c>
    </row>
  </sheetData>
  <hyperlinks>
    <hyperlink ref="D13" r:id="rId1"/>
    <hyperlink ref="D12" r:id="rId2"/>
    <hyperlink ref="D10" r:id="rId3"/>
    <hyperlink ref="D11" r:id="rId4"/>
    <hyperlink ref="D14" r:id="rId5"/>
    <hyperlink ref="D17" r:id="rId6"/>
    <hyperlink ref="D15" r:id="rId7"/>
  </hyperlinks>
  <pageMargins left="0.75" right="0.75" top="1" bottom="1" header="0.5" footer="0.5"/>
  <pageSetup paperSize="9" scale="87" orientation="landscape"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topLeftCell="A2" zoomScale="90" zoomScaleNormal="90" workbookViewId="0">
      <selection activeCell="A2" sqref="A2"/>
    </sheetView>
  </sheetViews>
  <sheetFormatPr defaultRowHeight="12.75"/>
  <cols>
    <col min="1" max="16384" width="9.140625" style="32"/>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autoPageBreaks="0"/>
  </sheetPr>
  <dimension ref="B2:R61"/>
  <sheetViews>
    <sheetView showGridLines="0" zoomScale="85" zoomScaleNormal="85" workbookViewId="0">
      <pane xSplit="6" ySplit="16" topLeftCell="G17" activePane="bottomRight" state="frozen"/>
      <selection pane="topRight"/>
      <selection pane="bottomLeft"/>
      <selection pane="bottomRight"/>
    </sheetView>
  </sheetViews>
  <sheetFormatPr defaultRowHeight="12.75"/>
  <cols>
    <col min="1" max="1" width="4" style="2" customWidth="1"/>
    <col min="2" max="2" width="86.140625" style="2" customWidth="1"/>
    <col min="3" max="4" width="4.5703125" style="2" customWidth="1"/>
    <col min="5" max="5" width="4.1406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6.42578125" style="2" bestFit="1" customWidth="1"/>
    <col min="13" max="13" width="15.85546875" style="2" bestFit="1" customWidth="1"/>
    <col min="14" max="16" width="2.7109375" style="2" customWidth="1"/>
    <col min="17" max="31" width="13.7109375" style="2" customWidth="1"/>
    <col min="32" max="16384" width="9.140625" style="2"/>
  </cols>
  <sheetData>
    <row r="2" spans="2:17" s="28" customFormat="1" ht="18">
      <c r="B2" s="28" t="s">
        <v>356</v>
      </c>
    </row>
    <row r="4" spans="2:17" s="96" customFormat="1" ht="12.75" customHeight="1">
      <c r="B4" s="245" t="s">
        <v>427</v>
      </c>
      <c r="C4" s="245"/>
      <c r="D4" s="245"/>
      <c r="E4" s="245"/>
    </row>
    <row r="5" spans="2:17" s="96" customFormat="1">
      <c r="B5" s="245"/>
      <c r="C5" s="245"/>
      <c r="D5" s="245"/>
      <c r="E5" s="245"/>
    </row>
    <row r="6" spans="2:17" s="96" customFormat="1">
      <c r="B6" s="245"/>
      <c r="C6" s="245"/>
      <c r="D6" s="245"/>
      <c r="E6" s="245"/>
    </row>
    <row r="7" spans="2:17" s="96" customFormat="1">
      <c r="B7" s="245"/>
      <c r="C7" s="245"/>
      <c r="D7" s="245"/>
      <c r="E7" s="245"/>
    </row>
    <row r="8" spans="2:17" s="96" customFormat="1">
      <c r="B8" s="245"/>
      <c r="C8" s="245"/>
      <c r="D8" s="245"/>
      <c r="E8" s="245"/>
    </row>
    <row r="9" spans="2:17" s="96" customFormat="1">
      <c r="B9" s="245"/>
      <c r="C9" s="245"/>
      <c r="D9" s="245"/>
      <c r="E9" s="245"/>
    </row>
    <row r="10" spans="2:17" s="96" customFormat="1">
      <c r="B10" s="245"/>
      <c r="C10" s="245"/>
      <c r="D10" s="245"/>
      <c r="E10" s="245"/>
    </row>
    <row r="11" spans="2:17" s="96" customFormat="1">
      <c r="B11" s="245"/>
      <c r="C11" s="245"/>
      <c r="D11" s="245"/>
      <c r="E11" s="245"/>
    </row>
    <row r="12" spans="2:17" s="96" customFormat="1">
      <c r="B12" s="245"/>
      <c r="C12" s="245"/>
      <c r="D12" s="245"/>
      <c r="E12" s="245"/>
    </row>
    <row r="13" spans="2:17" s="96" customFormat="1">
      <c r="B13" s="245"/>
      <c r="C13" s="245"/>
      <c r="D13" s="245"/>
      <c r="E13" s="245"/>
    </row>
    <row r="14" spans="2:17" s="96" customFormat="1"/>
    <row r="15" spans="2:17" s="7" customFormat="1">
      <c r="B15" s="7" t="s">
        <v>47</v>
      </c>
      <c r="F15" s="7" t="s">
        <v>28</v>
      </c>
      <c r="H15" s="7" t="s">
        <v>29</v>
      </c>
      <c r="J15" s="7" t="s">
        <v>51</v>
      </c>
      <c r="L15" s="7" t="s">
        <v>90</v>
      </c>
      <c r="M15" s="7" t="s">
        <v>93</v>
      </c>
      <c r="Q15" s="7" t="s">
        <v>49</v>
      </c>
    </row>
    <row r="18" spans="2:18" s="7" customFormat="1">
      <c r="B18" s="7" t="s">
        <v>180</v>
      </c>
    </row>
    <row r="20" spans="2:18" s="7" customFormat="1">
      <c r="B20" s="7" t="s">
        <v>181</v>
      </c>
      <c r="J20" s="7" t="s">
        <v>585</v>
      </c>
      <c r="L20" s="7" t="s">
        <v>90</v>
      </c>
      <c r="M20" s="7" t="s">
        <v>93</v>
      </c>
    </row>
    <row r="21" spans="2:18">
      <c r="B21" s="1"/>
    </row>
    <row r="22" spans="2:18">
      <c r="B22" s="2" t="s">
        <v>221</v>
      </c>
      <c r="F22" s="2" t="s">
        <v>138</v>
      </c>
      <c r="J22" s="49">
        <f>SUM(L22:M22)</f>
        <v>438333217.10561198</v>
      </c>
      <c r="K22" s="45"/>
      <c r="L22" s="49">
        <f>'Tab 13_Wettelijke formule'!T31+'Tab 13_Wettelijke formule'!T32</f>
        <v>139146827.31979567</v>
      </c>
      <c r="M22" s="49">
        <f>'Tab 13_Wettelijke formule'!T33+'Tab 13_Wettelijke formule'!T34</f>
        <v>299186389.78581631</v>
      </c>
    </row>
    <row r="23" spans="2:18">
      <c r="B23" s="2" t="s">
        <v>213</v>
      </c>
      <c r="F23" s="2" t="s">
        <v>138</v>
      </c>
      <c r="J23" s="49">
        <f t="shared" ref="J23:J29" si="0">SUM(L23:M23)</f>
        <v>198628.95707692302</v>
      </c>
      <c r="K23" s="45"/>
      <c r="L23" s="41"/>
      <c r="M23" s="49">
        <f>'Tab 10_Brondata'!T21</f>
        <v>198628.95707692302</v>
      </c>
      <c r="Q23" s="167" t="s">
        <v>439</v>
      </c>
    </row>
    <row r="24" spans="2:18" s="187" customFormat="1">
      <c r="B24" s="187" t="s">
        <v>465</v>
      </c>
      <c r="F24" s="187" t="s">
        <v>138</v>
      </c>
      <c r="J24" s="49">
        <f t="shared" si="0"/>
        <v>397869.81016640039</v>
      </c>
      <c r="K24" s="45"/>
      <c r="L24" s="49">
        <f>'Tab 7_Toevoeging kosten RCR'!L15</f>
        <v>61165.788340800056</v>
      </c>
      <c r="M24" s="49">
        <f>'Tab 7_Toevoeging kosten RCR'!M15</f>
        <v>336704.02182560036</v>
      </c>
      <c r="Q24" s="187" t="s">
        <v>466</v>
      </c>
    </row>
    <row r="25" spans="2:18">
      <c r="B25" s="2" t="s">
        <v>214</v>
      </c>
      <c r="F25" s="2" t="s">
        <v>138</v>
      </c>
      <c r="J25" s="49">
        <f t="shared" si="0"/>
        <v>36830393.712798759</v>
      </c>
      <c r="K25" s="45"/>
      <c r="L25" s="49">
        <f>'Tab 7_Toevoeging kosten RCR'!L16</f>
        <v>35011238.292750247</v>
      </c>
      <c r="M25" s="49">
        <f>'Tab 7_Toevoeging kosten RCR'!M16</f>
        <v>1819155.4200485153</v>
      </c>
    </row>
    <row r="26" spans="2:18">
      <c r="B26" s="2" t="s">
        <v>215</v>
      </c>
      <c r="F26" s="2" t="s">
        <v>138</v>
      </c>
      <c r="J26" s="49">
        <f t="shared" si="0"/>
        <v>57641392.573471755</v>
      </c>
      <c r="K26" s="45"/>
      <c r="L26" s="49">
        <f>'Tab 7_Toevoeging kosten RCR'!L17</f>
        <v>54169915.569261841</v>
      </c>
      <c r="M26" s="49">
        <f>'Tab 7_Toevoeging kosten RCR'!M17</f>
        <v>3471477.0042099119</v>
      </c>
    </row>
    <row r="27" spans="2:18">
      <c r="B27" s="2" t="s">
        <v>216</v>
      </c>
      <c r="F27" s="2" t="s">
        <v>138</v>
      </c>
      <c r="J27" s="49">
        <f t="shared" si="0"/>
        <v>131681254.4848848</v>
      </c>
      <c r="K27" s="45"/>
      <c r="L27" s="49">
        <f>'Tab 14_Budget systeemtaken'!L58</f>
        <v>131681254.4848848</v>
      </c>
      <c r="M27" s="104"/>
      <c r="Q27" s="59"/>
      <c r="R27" s="59"/>
    </row>
    <row r="28" spans="2:18">
      <c r="B28" s="2" t="s">
        <v>382</v>
      </c>
      <c r="F28" s="2" t="s">
        <v>138</v>
      </c>
      <c r="J28" s="49">
        <f t="shared" si="0"/>
        <v>15427119.278183935</v>
      </c>
      <c r="K28" s="45"/>
      <c r="L28" s="41"/>
      <c r="M28" s="49">
        <f>'Tab 15_Prognoses IKTNN'!M33</f>
        <v>15427119.278183935</v>
      </c>
    </row>
    <row r="29" spans="2:18">
      <c r="B29" s="2" t="s">
        <v>217</v>
      </c>
      <c r="F29" s="2" t="s">
        <v>138</v>
      </c>
      <c r="J29" s="49">
        <f t="shared" si="0"/>
        <v>-4862784.8665560354</v>
      </c>
      <c r="K29" s="45"/>
      <c r="L29" s="49">
        <f>'Tab 15_Prognoses IKTNN'!L35</f>
        <v>-4862784.8665560354</v>
      </c>
      <c r="M29" s="104"/>
    </row>
    <row r="30" spans="2:18">
      <c r="J30" s="45"/>
      <c r="K30" s="45"/>
      <c r="L30" s="45"/>
      <c r="M30" s="59"/>
    </row>
    <row r="31" spans="2:18">
      <c r="B31" s="2" t="s">
        <v>348</v>
      </c>
      <c r="F31" s="2" t="s">
        <v>138</v>
      </c>
      <c r="J31" s="49">
        <f>SUM(L31:M31)</f>
        <v>675647091.05563855</v>
      </c>
      <c r="K31" s="45"/>
      <c r="L31" s="49">
        <f>SUM(L22:L29)</f>
        <v>355207616.58847731</v>
      </c>
      <c r="M31" s="49">
        <f>SUM(M22:M29)</f>
        <v>320439474.46716124</v>
      </c>
    </row>
    <row r="33" spans="2:17" s="7" customFormat="1">
      <c r="B33" s="7" t="s">
        <v>182</v>
      </c>
    </row>
    <row r="35" spans="2:17">
      <c r="B35" s="1" t="s">
        <v>185</v>
      </c>
      <c r="J35" s="45"/>
      <c r="K35" s="45"/>
      <c r="L35" s="45"/>
      <c r="M35" s="45"/>
    </row>
    <row r="36" spans="2:17" s="187" customFormat="1">
      <c r="B36" s="97" t="s">
        <v>464</v>
      </c>
      <c r="F36" s="187" t="s">
        <v>138</v>
      </c>
      <c r="J36" s="49">
        <f>SUM(L36:M36)</f>
        <v>1787.4533542496376</v>
      </c>
      <c r="K36" s="45"/>
      <c r="L36" s="49">
        <f>'Tab 10_Brondata'!T42</f>
        <v>1787.4533542496376</v>
      </c>
      <c r="M36" s="189"/>
      <c r="Q36" s="184" t="s">
        <v>468</v>
      </c>
    </row>
    <row r="37" spans="2:17">
      <c r="B37" s="2" t="s">
        <v>205</v>
      </c>
      <c r="F37" s="2" t="s">
        <v>138</v>
      </c>
      <c r="J37" s="49">
        <f>SUM(L37:M37)</f>
        <v>-3788779.9360373383</v>
      </c>
      <c r="K37" s="45"/>
      <c r="L37" s="49">
        <f>'Tab 10_Brondata'!T43</f>
        <v>-3654702.0591935478</v>
      </c>
      <c r="M37" s="49">
        <f>'Tab 10_Brondata'!T44</f>
        <v>-134077.87684379047</v>
      </c>
    </row>
    <row r="38" spans="2:17">
      <c r="B38" s="2" t="s">
        <v>200</v>
      </c>
      <c r="F38" s="2" t="s">
        <v>138</v>
      </c>
      <c r="J38" s="49">
        <f t="shared" ref="J38:J45" si="1">SUM(L38:M38)</f>
        <v>-2141960.0125168003</v>
      </c>
      <c r="K38" s="45"/>
      <c r="L38" s="49">
        <f>'Tab 16_Correcties OA&amp;M en IKTNN'!L32</f>
        <v>-95166.739200000011</v>
      </c>
      <c r="M38" s="49">
        <f>'Tab 16_Correcties OA&amp;M en IKTNN'!M32</f>
        <v>-2046793.2733168001</v>
      </c>
    </row>
    <row r="39" spans="2:17">
      <c r="B39" s="2" t="s">
        <v>194</v>
      </c>
      <c r="F39" s="2" t="s">
        <v>138</v>
      </c>
      <c r="J39" s="49">
        <f t="shared" si="1"/>
        <v>-33518804.150000002</v>
      </c>
      <c r="K39" s="45"/>
      <c r="L39" s="49">
        <f>-'Tab 6_Correcties en prognoses'!T16</f>
        <v>-1145695.73</v>
      </c>
      <c r="M39" s="49">
        <f>-'Tab 6_Correcties en prognoses'!T22</f>
        <v>-32373108.420000002</v>
      </c>
    </row>
    <row r="40" spans="2:17">
      <c r="B40" s="2" t="s">
        <v>578</v>
      </c>
      <c r="F40" s="2" t="s">
        <v>138</v>
      </c>
      <c r="J40" s="49">
        <f t="shared" si="1"/>
        <v>-2483.980927999984</v>
      </c>
      <c r="K40" s="45"/>
      <c r="L40" s="49">
        <f>'Tab 17_Overige correcties'!J41</f>
        <v>-2483.980927999984</v>
      </c>
      <c r="M40" s="41"/>
      <c r="Q40" s="168" t="s">
        <v>440</v>
      </c>
    </row>
    <row r="41" spans="2:17">
      <c r="B41" s="2" t="s">
        <v>579</v>
      </c>
      <c r="F41" s="2" t="s">
        <v>138</v>
      </c>
      <c r="J41" s="49">
        <f t="shared" si="1"/>
        <v>317033.05334272003</v>
      </c>
      <c r="K41" s="45"/>
      <c r="L41" s="41"/>
      <c r="M41" s="49">
        <f>'Tab 17_Overige correcties'!J44</f>
        <v>317033.05334272003</v>
      </c>
      <c r="Q41" s="169" t="s">
        <v>441</v>
      </c>
    </row>
    <row r="42" spans="2:17">
      <c r="B42" s="215" t="s">
        <v>580</v>
      </c>
      <c r="F42" s="2" t="s">
        <v>138</v>
      </c>
      <c r="J42" s="49">
        <f t="shared" si="1"/>
        <v>-187543.89528576002</v>
      </c>
      <c r="K42" s="45"/>
      <c r="L42" s="41"/>
      <c r="M42" s="49">
        <f>'Tab 17_Overige correcties'!J45</f>
        <v>-187543.89528576002</v>
      </c>
    </row>
    <row r="43" spans="2:17">
      <c r="B43" s="2" t="s">
        <v>324</v>
      </c>
      <c r="F43" s="2" t="s">
        <v>138</v>
      </c>
      <c r="J43" s="49">
        <f t="shared" si="1"/>
        <v>-2449316.1522259749</v>
      </c>
      <c r="K43" s="45"/>
      <c r="L43" s="49">
        <f>'Tab 17_Overige correcties'!J49</f>
        <v>-2449316.1522259749</v>
      </c>
      <c r="M43" s="41"/>
      <c r="Q43" s="170" t="s">
        <v>442</v>
      </c>
    </row>
    <row r="44" spans="2:17" s="96" customFormat="1">
      <c r="B44" s="96" t="s">
        <v>327</v>
      </c>
      <c r="F44" s="96" t="s">
        <v>138</v>
      </c>
      <c r="J44" s="49">
        <f t="shared" si="1"/>
        <v>17499197.425632</v>
      </c>
      <c r="K44" s="45"/>
      <c r="L44" s="49">
        <f>'Tab 17_Overige correcties'!J50</f>
        <v>17499197.425632</v>
      </c>
      <c r="M44" s="41"/>
      <c r="Q44" s="171" t="s">
        <v>443</v>
      </c>
    </row>
    <row r="45" spans="2:17" s="96" customFormat="1">
      <c r="B45" s="96" t="s">
        <v>326</v>
      </c>
      <c r="F45" s="96" t="s">
        <v>138</v>
      </c>
      <c r="J45" s="49">
        <f t="shared" si="1"/>
        <v>507580.25760000001</v>
      </c>
      <c r="K45" s="45"/>
      <c r="L45" s="49">
        <f>'Tab 17_Overige correcties'!J51</f>
        <v>507580.25760000001</v>
      </c>
      <c r="M45" s="41"/>
      <c r="Q45" s="171" t="s">
        <v>443</v>
      </c>
    </row>
    <row r="46" spans="2:17" s="96" customFormat="1">
      <c r="J46" s="45"/>
      <c r="K46" s="45"/>
      <c r="L46" s="45"/>
      <c r="M46" s="45"/>
    </row>
    <row r="47" spans="2:17">
      <c r="B47" s="1" t="s">
        <v>186</v>
      </c>
      <c r="J47" s="45"/>
      <c r="K47" s="45"/>
      <c r="L47" s="45"/>
      <c r="M47" s="45"/>
    </row>
    <row r="48" spans="2:17">
      <c r="B48" s="2" t="s">
        <v>203</v>
      </c>
      <c r="F48" s="2" t="s">
        <v>138</v>
      </c>
      <c r="J48" s="49">
        <f>SUM(L48:M48)</f>
        <v>4138170.7253500447</v>
      </c>
      <c r="K48" s="45"/>
      <c r="L48" s="41"/>
      <c r="M48" s="49">
        <f>'Tab 16_Correcties OA&amp;M en IKTNN'!M36</f>
        <v>4138170.7253500447</v>
      </c>
    </row>
    <row r="49" spans="2:17">
      <c r="B49" s="34" t="s">
        <v>204</v>
      </c>
      <c r="F49" s="2" t="s">
        <v>138</v>
      </c>
      <c r="J49" s="49">
        <f t="shared" ref="J49:J51" si="2">SUM(L49:M49)</f>
        <v>14568965.470781939</v>
      </c>
      <c r="K49" s="45"/>
      <c r="L49" s="49">
        <f>'Tab 16_Correcties OA&amp;M en IKTNN'!L40</f>
        <v>14568965.470781939</v>
      </c>
      <c r="M49" s="41"/>
    </row>
    <row r="50" spans="2:17">
      <c r="B50" s="2" t="s">
        <v>383</v>
      </c>
      <c r="F50" s="2" t="s">
        <v>138</v>
      </c>
      <c r="J50" s="49">
        <f t="shared" si="2"/>
        <v>-15147012.86300908</v>
      </c>
      <c r="K50" s="45"/>
      <c r="L50" s="49">
        <f>'Tab 18_Omzetcorrectie'!H42</f>
        <v>-79943.193588265523</v>
      </c>
      <c r="M50" s="49">
        <f>'Tab 18_Omzetcorrectie'!H47</f>
        <v>-15067069.669420814</v>
      </c>
    </row>
    <row r="51" spans="2:17">
      <c r="B51" s="2" t="s">
        <v>218</v>
      </c>
      <c r="F51" s="2" t="s">
        <v>138</v>
      </c>
      <c r="J51" s="49">
        <f t="shared" si="2"/>
        <v>-117526938.36333333</v>
      </c>
      <c r="K51" s="45"/>
      <c r="L51" s="49">
        <f>-'Tab 19_ Inzet veilinggelden'!J34</f>
        <v>-117526938.36333333</v>
      </c>
      <c r="M51" s="41"/>
    </row>
    <row r="52" spans="2:17">
      <c r="J52" s="59"/>
      <c r="K52" s="45"/>
      <c r="L52" s="45"/>
      <c r="M52" s="45"/>
    </row>
    <row r="53" spans="2:17">
      <c r="B53" s="2" t="s">
        <v>347</v>
      </c>
      <c r="F53" s="2" t="s">
        <v>138</v>
      </c>
      <c r="J53" s="49">
        <f>SUM(L53:M53)</f>
        <v>-137730104.96727532</v>
      </c>
      <c r="K53" s="39"/>
      <c r="L53" s="49">
        <f>SUM(L36:L51)</f>
        <v>-92376715.611100927</v>
      </c>
      <c r="M53" s="49">
        <f>SUM(M36:M51)</f>
        <v>-45353389.356174402</v>
      </c>
    </row>
    <row r="55" spans="2:17" s="7" customFormat="1">
      <c r="B55" s="7" t="s">
        <v>183</v>
      </c>
    </row>
    <row r="57" spans="2:17">
      <c r="B57" s="2" t="s">
        <v>346</v>
      </c>
      <c r="F57" s="2" t="s">
        <v>138</v>
      </c>
      <c r="J57" s="49">
        <f>SUM(L57:M57)</f>
        <v>537916986.08836317</v>
      </c>
      <c r="K57" s="59"/>
      <c r="L57" s="49">
        <f>L31+L53</f>
        <v>262830900.9773764</v>
      </c>
      <c r="M57" s="49">
        <f>M31+M53</f>
        <v>275086085.11098683</v>
      </c>
      <c r="Q57" s="2" t="s">
        <v>387</v>
      </c>
    </row>
    <row r="59" spans="2:17">
      <c r="J59" s="220"/>
      <c r="K59" s="215"/>
      <c r="L59" s="220"/>
      <c r="M59" s="220"/>
    </row>
    <row r="61" spans="2:17">
      <c r="J61" s="220"/>
    </row>
  </sheetData>
  <mergeCells count="1">
    <mergeCell ref="B4:E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autoPageBreaks="0"/>
  </sheetPr>
  <dimension ref="A1:Z39"/>
  <sheetViews>
    <sheetView showGridLines="0" zoomScale="85" zoomScaleNormal="85" workbookViewId="0">
      <pane xSplit="6" ySplit="17" topLeftCell="H18" activePane="bottomRight" state="frozen"/>
      <selection pane="topRight"/>
      <selection pane="bottomLeft"/>
      <selection pane="bottomRight"/>
    </sheetView>
  </sheetViews>
  <sheetFormatPr defaultRowHeight="12.75"/>
  <cols>
    <col min="1" max="1" width="4" style="2" customWidth="1"/>
    <col min="2" max="2" width="46.8554687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8.7109375" style="2" customWidth="1"/>
    <col min="17" max="19" width="2.7109375" style="2" customWidth="1"/>
    <col min="20" max="34" width="13.7109375" style="2" customWidth="1"/>
    <col min="35" max="16384" width="9.140625" style="2"/>
  </cols>
  <sheetData>
    <row r="1" spans="1:20">
      <c r="A1" s="8"/>
    </row>
    <row r="2" spans="1:20" s="28" customFormat="1" ht="18">
      <c r="B2" s="28" t="s">
        <v>518</v>
      </c>
    </row>
    <row r="4" spans="1:20" s="96" customFormat="1" ht="12.75" customHeight="1">
      <c r="B4" s="245" t="s">
        <v>562</v>
      </c>
      <c r="C4" s="245"/>
      <c r="D4" s="245"/>
      <c r="E4" s="245"/>
    </row>
    <row r="5" spans="1:20" s="96" customFormat="1" ht="12.75" customHeight="1">
      <c r="B5" s="245"/>
      <c r="C5" s="245"/>
      <c r="D5" s="245"/>
      <c r="E5" s="245"/>
    </row>
    <row r="6" spans="1:20" s="96" customFormat="1" ht="12.75" customHeight="1">
      <c r="B6" s="245"/>
      <c r="C6" s="245"/>
      <c r="D6" s="245"/>
      <c r="E6" s="245"/>
    </row>
    <row r="7" spans="1:20" s="96" customFormat="1" ht="12.75" customHeight="1">
      <c r="B7" s="245"/>
      <c r="C7" s="245"/>
      <c r="D7" s="245"/>
      <c r="E7" s="245"/>
    </row>
    <row r="8" spans="1:20" s="96" customFormat="1" ht="12.75" customHeight="1">
      <c r="B8" s="245"/>
      <c r="C8" s="245"/>
      <c r="D8" s="245"/>
      <c r="E8" s="245"/>
    </row>
    <row r="9" spans="1:20" s="96" customFormat="1" ht="12.75" customHeight="1">
      <c r="B9" s="245"/>
      <c r="C9" s="245"/>
      <c r="D9" s="245"/>
      <c r="E9" s="245"/>
    </row>
    <row r="10" spans="1:20" s="96" customFormat="1" ht="12.75" customHeight="1">
      <c r="B10" s="245"/>
      <c r="C10" s="245"/>
      <c r="D10" s="245"/>
      <c r="E10" s="245"/>
    </row>
    <row r="11" spans="1:20">
      <c r="B11" s="34"/>
      <c r="C11" s="3"/>
      <c r="D11" s="3"/>
      <c r="H11" s="29"/>
    </row>
    <row r="12" spans="1:20">
      <c r="B12" s="95" t="s">
        <v>428</v>
      </c>
      <c r="C12" s="3"/>
      <c r="D12" s="3"/>
      <c r="H12" s="29"/>
    </row>
    <row r="13" spans="1:20" s="96" customFormat="1">
      <c r="B13" s="97" t="s">
        <v>394</v>
      </c>
      <c r="C13" s="3"/>
      <c r="D13" s="3"/>
      <c r="F13" s="112" t="str">
        <f>'Tab 21_Controle tarieven'!H84</f>
        <v>ja</v>
      </c>
    </row>
    <row r="14" spans="1:20" s="96" customFormat="1">
      <c r="B14" s="97" t="s">
        <v>519</v>
      </c>
      <c r="C14" s="3"/>
      <c r="D14" s="3"/>
      <c r="E14" s="2"/>
      <c r="F14" s="112" t="str">
        <f>'Tab 20_Controle rekenvolumina'!H49</f>
        <v>ja</v>
      </c>
    </row>
    <row r="16" spans="1:20" s="7" customFormat="1" ht="38.25">
      <c r="B16" s="7" t="s">
        <v>47</v>
      </c>
      <c r="F16" s="7" t="s">
        <v>28</v>
      </c>
      <c r="H16" s="7" t="s">
        <v>29</v>
      </c>
      <c r="J16" s="7" t="s">
        <v>51</v>
      </c>
      <c r="L16" s="42" t="s">
        <v>86</v>
      </c>
      <c r="M16" s="42" t="s">
        <v>313</v>
      </c>
      <c r="N16" s="42" t="s">
        <v>153</v>
      </c>
      <c r="O16" s="42" t="s">
        <v>154</v>
      </c>
      <c r="P16" s="42" t="s">
        <v>244</v>
      </c>
      <c r="T16" s="7" t="s">
        <v>49</v>
      </c>
    </row>
    <row r="19" spans="2:20" s="7" customFormat="1">
      <c r="B19" s="7" t="s">
        <v>94</v>
      </c>
    </row>
    <row r="21" spans="2:20">
      <c r="B21" s="1" t="s">
        <v>90</v>
      </c>
    </row>
    <row r="22" spans="2:20">
      <c r="B22" s="34" t="s">
        <v>246</v>
      </c>
      <c r="F22" s="2" t="s">
        <v>138</v>
      </c>
      <c r="L22" s="88">
        <f>'Tab 21_Controle tarieven'!L86</f>
        <v>12478.96</v>
      </c>
      <c r="M22" s="88">
        <f>'Tab 21_Controle tarieven'!M86</f>
        <v>8.61</v>
      </c>
      <c r="N22" s="88">
        <f>'Tab 21_Controle tarieven'!N86</f>
        <v>0.87</v>
      </c>
      <c r="O22" s="88">
        <f>'Tab 21_Controle tarieven'!O86</f>
        <v>4.3</v>
      </c>
      <c r="P22" s="88">
        <f>'Tab 21_Controle tarieven'!P86</f>
        <v>0.3</v>
      </c>
      <c r="T22" s="29"/>
    </row>
    <row r="23" spans="2:20">
      <c r="B23" s="34" t="s">
        <v>517</v>
      </c>
      <c r="F23" s="2" t="s">
        <v>92</v>
      </c>
      <c r="L23" s="115">
        <f>'Tab 20_Controle rekenvolumina'!L51</f>
        <v>22.55</v>
      </c>
      <c r="M23" s="241">
        <f>'Tab 20_Controle rekenvolumina'!M51</f>
        <v>1212716</v>
      </c>
      <c r="N23" s="241">
        <f>'Tab 20_Controle rekenvolumina'!N51</f>
        <v>12026541</v>
      </c>
      <c r="O23" s="241">
        <f>'Tab 20_Controle rekenvolumina'!O51</f>
        <v>235262</v>
      </c>
      <c r="P23" s="241">
        <f>'Tab 20_Controle rekenvolumina'!P51</f>
        <v>3215320</v>
      </c>
      <c r="T23" s="5"/>
    </row>
    <row r="24" spans="2:20">
      <c r="B24" s="34"/>
    </row>
    <row r="25" spans="2:20">
      <c r="B25" s="1" t="s">
        <v>93</v>
      </c>
    </row>
    <row r="26" spans="2:20">
      <c r="B26" s="34" t="s">
        <v>246</v>
      </c>
      <c r="F26" s="2" t="s">
        <v>138</v>
      </c>
      <c r="L26" s="88">
        <f>'Tab 21_Controle tarieven'!L87</f>
        <v>2760</v>
      </c>
      <c r="M26" s="88">
        <f>'Tab 21_Controle tarieven'!M87</f>
        <v>17.100000000000001</v>
      </c>
      <c r="N26" s="88">
        <f>'Tab 21_Controle tarieven'!N87</f>
        <v>1.66</v>
      </c>
      <c r="O26" s="88">
        <f>'Tab 21_Controle tarieven'!O87</f>
        <v>8.5500000000000007</v>
      </c>
      <c r="P26" s="88">
        <f>'Tab 21_Controle tarieven'!P87</f>
        <v>0.57999999999999996</v>
      </c>
    </row>
    <row r="27" spans="2:20">
      <c r="B27" s="34" t="s">
        <v>517</v>
      </c>
      <c r="F27" s="2" t="s">
        <v>92</v>
      </c>
      <c r="L27" s="115">
        <f>'Tab 20_Controle rekenvolumina'!L52</f>
        <v>91.56</v>
      </c>
      <c r="M27" s="241">
        <f>'Tab 20_Controle rekenvolumina'!M52</f>
        <v>14929120</v>
      </c>
      <c r="N27" s="241">
        <f>'Tab 20_Controle rekenvolumina'!N52</f>
        <v>153986790</v>
      </c>
      <c r="O27" s="241">
        <f>'Tab 20_Controle rekenvolumina'!O52</f>
        <v>226512</v>
      </c>
      <c r="P27" s="241">
        <f>'Tab 20_Controle rekenvolumina'!P52</f>
        <v>1737592</v>
      </c>
      <c r="T27" s="5"/>
    </row>
    <row r="33" spans="2:26">
      <c r="B33" s="5"/>
    </row>
    <row r="34" spans="2:26">
      <c r="U34" s="238"/>
      <c r="V34" s="238"/>
      <c r="W34" s="238"/>
      <c r="X34" s="238"/>
      <c r="Y34" s="238"/>
      <c r="Z34" s="238"/>
    </row>
    <row r="35" spans="2:26">
      <c r="M35" s="220"/>
      <c r="N35" s="220"/>
      <c r="O35" s="220"/>
      <c r="P35" s="220"/>
      <c r="U35" s="238"/>
      <c r="V35" s="220"/>
      <c r="W35" s="238"/>
      <c r="X35" s="238"/>
      <c r="Y35" s="238"/>
      <c r="Z35" s="220"/>
    </row>
    <row r="36" spans="2:26">
      <c r="U36" s="238"/>
      <c r="V36" s="220"/>
      <c r="W36" s="238"/>
      <c r="X36" s="238"/>
      <c r="Y36" s="238"/>
      <c r="Z36" s="220"/>
    </row>
    <row r="37" spans="2:26">
      <c r="U37" s="238"/>
      <c r="V37" s="220"/>
      <c r="W37" s="238"/>
      <c r="X37" s="238"/>
      <c r="Y37" s="238"/>
      <c r="Z37" s="220"/>
    </row>
    <row r="38" spans="2:26">
      <c r="U38" s="238"/>
      <c r="V38" s="220"/>
      <c r="W38" s="238"/>
      <c r="X38" s="238"/>
      <c r="Y38" s="238"/>
      <c r="Z38" s="220"/>
    </row>
    <row r="39" spans="2:26">
      <c r="M39" s="220"/>
      <c r="N39" s="220"/>
      <c r="O39" s="220"/>
      <c r="P39" s="220"/>
    </row>
  </sheetData>
  <mergeCells count="1">
    <mergeCell ref="B4:E10"/>
  </mergeCells>
  <pageMargins left="0.7" right="0.7" top="0.75" bottom="0.75" header="0.3" footer="0.3"/>
  <pageSetup paperSize="9" scale="45" orientation="portrait" r:id="rId1"/>
  <colBreaks count="1" manualBreakCount="1">
    <brk id="7" max="2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autoPageBreaks="0"/>
  </sheetPr>
  <dimension ref="A1"/>
  <sheetViews>
    <sheetView showGridLines="0" topLeftCell="A2" zoomScale="90" zoomScaleNormal="90" workbookViewId="0">
      <selection activeCell="A2" sqref="A2"/>
    </sheetView>
  </sheetViews>
  <sheetFormatPr defaultRowHeight="12.75"/>
  <cols>
    <col min="1" max="16384" width="9.140625" style="32"/>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V33"/>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cols>
    <col min="1" max="1" width="4" style="2" customWidth="1"/>
    <col min="2" max="2" width="77.28515625" style="2" customWidth="1"/>
    <col min="3" max="5" width="4.5703125" style="2" customWidth="1"/>
    <col min="6" max="6" width="16.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2.57031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8" customFormat="1" ht="18">
      <c r="B2" s="28" t="s">
        <v>357</v>
      </c>
    </row>
    <row r="4" spans="2:22" s="96" customFormat="1">
      <c r="B4" s="245" t="s">
        <v>429</v>
      </c>
      <c r="C4" s="245"/>
      <c r="D4" s="245"/>
      <c r="E4" s="245"/>
    </row>
    <row r="5" spans="2:22" s="96" customFormat="1">
      <c r="B5" s="245"/>
      <c r="C5" s="245"/>
      <c r="D5" s="245"/>
      <c r="E5" s="245"/>
    </row>
    <row r="6" spans="2:22" s="96" customFormat="1">
      <c r="B6" s="245"/>
      <c r="C6" s="245"/>
      <c r="D6" s="245"/>
      <c r="E6" s="245"/>
    </row>
    <row r="7" spans="2:22" s="96" customFormat="1">
      <c r="B7" s="245"/>
      <c r="C7" s="245"/>
      <c r="D7" s="245"/>
      <c r="E7" s="245"/>
    </row>
    <row r="9" spans="2:22" s="7" customFormat="1">
      <c r="B9" s="7" t="s">
        <v>47</v>
      </c>
      <c r="F9" s="7" t="s">
        <v>28</v>
      </c>
      <c r="H9" s="7" t="s">
        <v>29</v>
      </c>
      <c r="J9" s="7" t="s">
        <v>51</v>
      </c>
      <c r="L9" s="86">
        <v>2011</v>
      </c>
      <c r="M9" s="86">
        <v>2012</v>
      </c>
      <c r="N9" s="86">
        <v>2013</v>
      </c>
      <c r="O9" s="86">
        <v>2014</v>
      </c>
      <c r="P9" s="86">
        <v>2015</v>
      </c>
      <c r="Q9" s="86">
        <v>2016</v>
      </c>
      <c r="R9" s="86">
        <v>2017</v>
      </c>
      <c r="S9" s="86">
        <v>2018</v>
      </c>
      <c r="T9" s="86">
        <v>2019</v>
      </c>
      <c r="V9" s="7" t="s">
        <v>49</v>
      </c>
    </row>
    <row r="12" spans="2:22" s="7" customFormat="1">
      <c r="B12" s="7" t="s">
        <v>318</v>
      </c>
    </row>
    <row r="14" spans="2:22" s="96" customFormat="1">
      <c r="B14" s="214" t="s">
        <v>90</v>
      </c>
      <c r="C14" s="215"/>
      <c r="D14" s="215"/>
      <c r="E14" s="215"/>
      <c r="F14" s="215"/>
      <c r="G14" s="215"/>
      <c r="H14" s="215"/>
      <c r="I14" s="215"/>
      <c r="J14" s="215"/>
      <c r="K14" s="215"/>
      <c r="L14" s="215"/>
      <c r="M14" s="215"/>
      <c r="N14" s="215"/>
      <c r="O14" s="215"/>
      <c r="P14" s="215"/>
      <c r="Q14" s="215"/>
      <c r="R14" s="215"/>
      <c r="S14" s="215"/>
      <c r="T14" s="215"/>
    </row>
    <row r="15" spans="2:22">
      <c r="B15" s="216" t="s">
        <v>581</v>
      </c>
      <c r="C15" s="215"/>
      <c r="D15" s="215"/>
      <c r="E15" s="215"/>
      <c r="F15" s="215" t="s">
        <v>310</v>
      </c>
      <c r="G15" s="215"/>
      <c r="H15" s="215"/>
      <c r="I15" s="215"/>
      <c r="J15" s="219"/>
      <c r="K15" s="215"/>
      <c r="L15" s="218"/>
      <c r="M15" s="218"/>
      <c r="N15" s="218"/>
      <c r="O15" s="218"/>
      <c r="P15" s="218"/>
      <c r="Q15" s="228"/>
      <c r="R15" s="231">
        <v>-87987</v>
      </c>
      <c r="S15" s="226"/>
      <c r="T15" s="226"/>
      <c r="V15" s="172" t="s">
        <v>444</v>
      </c>
    </row>
    <row r="16" spans="2:22">
      <c r="B16" s="215" t="s">
        <v>237</v>
      </c>
      <c r="C16" s="215"/>
      <c r="D16" s="215"/>
      <c r="E16" s="215"/>
      <c r="F16" s="215" t="s">
        <v>310</v>
      </c>
      <c r="G16" s="215"/>
      <c r="H16" s="215"/>
      <c r="I16" s="215"/>
      <c r="J16" s="219"/>
      <c r="K16" s="215"/>
      <c r="L16" s="218"/>
      <c r="M16" s="218"/>
      <c r="N16" s="218"/>
      <c r="O16" s="218"/>
      <c r="P16" s="218"/>
      <c r="Q16" s="226"/>
      <c r="R16" s="226"/>
      <c r="S16" s="226"/>
      <c r="T16" s="231">
        <v>1145695.73</v>
      </c>
    </row>
    <row r="17" spans="2:22" s="8" customFormat="1">
      <c r="B17" s="218"/>
      <c r="C17" s="218"/>
      <c r="D17" s="218"/>
      <c r="E17" s="218"/>
      <c r="F17" s="218"/>
      <c r="G17" s="218"/>
      <c r="H17" s="218"/>
      <c r="I17" s="218"/>
      <c r="J17" s="219"/>
      <c r="K17" s="218"/>
      <c r="L17" s="218"/>
      <c r="M17" s="218"/>
      <c r="N17" s="218"/>
      <c r="O17" s="218"/>
      <c r="P17" s="218"/>
      <c r="Q17" s="226"/>
      <c r="R17" s="226"/>
      <c r="S17" s="226"/>
      <c r="T17" s="228"/>
    </row>
    <row r="18" spans="2:22">
      <c r="B18" s="215" t="s">
        <v>582</v>
      </c>
      <c r="C18" s="215"/>
      <c r="D18" s="215"/>
      <c r="E18" s="215"/>
      <c r="F18" s="215" t="s">
        <v>310</v>
      </c>
      <c r="G18" s="215"/>
      <c r="H18" s="215"/>
      <c r="I18" s="215"/>
      <c r="J18" s="219"/>
      <c r="K18" s="215"/>
      <c r="L18" s="222"/>
      <c r="M18" s="222"/>
      <c r="N18" s="222"/>
      <c r="O18" s="222"/>
      <c r="P18" s="222"/>
      <c r="Q18" s="231">
        <v>-2208.2499999999854</v>
      </c>
      <c r="R18" s="231"/>
      <c r="S18" s="226"/>
      <c r="T18" s="226"/>
      <c r="V18" s="173" t="s">
        <v>440</v>
      </c>
    </row>
    <row r="19" spans="2:22">
      <c r="B19" s="215"/>
      <c r="C19" s="215"/>
      <c r="D19" s="215"/>
      <c r="E19" s="215"/>
      <c r="F19" s="215"/>
      <c r="G19" s="215"/>
      <c r="H19" s="215"/>
      <c r="I19" s="215"/>
      <c r="J19" s="218"/>
      <c r="K19" s="215"/>
      <c r="L19" s="215"/>
      <c r="M19" s="215"/>
      <c r="N19" s="215"/>
      <c r="O19" s="215"/>
      <c r="P19" s="215"/>
      <c r="Q19" s="215"/>
      <c r="R19" s="215"/>
      <c r="S19" s="215"/>
      <c r="T19" s="215"/>
    </row>
    <row r="20" spans="2:22" s="96" customFormat="1">
      <c r="B20" s="214" t="s">
        <v>93</v>
      </c>
      <c r="C20" s="215"/>
      <c r="D20" s="215"/>
      <c r="E20" s="215"/>
      <c r="F20" s="215"/>
      <c r="G20" s="215"/>
      <c r="H20" s="215"/>
      <c r="I20" s="215"/>
      <c r="J20" s="218"/>
      <c r="K20" s="215"/>
      <c r="L20" s="215"/>
      <c r="M20" s="215"/>
      <c r="N20" s="215"/>
      <c r="O20" s="215"/>
      <c r="P20" s="215"/>
      <c r="Q20" s="215"/>
      <c r="R20" s="215"/>
      <c r="S20" s="215"/>
      <c r="T20" s="215"/>
    </row>
    <row r="21" spans="2:22">
      <c r="B21" s="216" t="s">
        <v>583</v>
      </c>
      <c r="C21" s="215"/>
      <c r="D21" s="215"/>
      <c r="E21" s="215"/>
      <c r="F21" s="215" t="s">
        <v>310</v>
      </c>
      <c r="G21" s="215"/>
      <c r="H21" s="215"/>
      <c r="I21" s="215"/>
      <c r="J21" s="219"/>
      <c r="K21" s="215"/>
      <c r="L21" s="218"/>
      <c r="M21" s="218"/>
      <c r="N21" s="218"/>
      <c r="O21" s="218"/>
      <c r="P21" s="218"/>
      <c r="Q21" s="226"/>
      <c r="R21" s="231">
        <v>-1892375.437607988</v>
      </c>
      <c r="S21" s="226"/>
      <c r="T21" s="226"/>
      <c r="V21" s="174" t="s">
        <v>445</v>
      </c>
    </row>
    <row r="22" spans="2:22">
      <c r="B22" s="215" t="s">
        <v>222</v>
      </c>
      <c r="C22" s="215"/>
      <c r="D22" s="215"/>
      <c r="E22" s="215"/>
      <c r="F22" s="215" t="s">
        <v>310</v>
      </c>
      <c r="G22" s="215"/>
      <c r="H22" s="215"/>
      <c r="I22" s="215"/>
      <c r="J22" s="219"/>
      <c r="K22" s="215"/>
      <c r="L22" s="218"/>
      <c r="M22" s="218"/>
      <c r="N22" s="218"/>
      <c r="O22" s="218"/>
      <c r="P22" s="218"/>
      <c r="Q22" s="226"/>
      <c r="R22" s="226"/>
      <c r="S22" s="226"/>
      <c r="T22" s="231">
        <v>32373108.420000002</v>
      </c>
    </row>
    <row r="23" spans="2:22" s="8" customFormat="1">
      <c r="B23" s="218"/>
      <c r="C23" s="218"/>
      <c r="D23" s="218"/>
      <c r="E23" s="218"/>
      <c r="F23" s="218"/>
      <c r="G23" s="218"/>
      <c r="H23" s="218"/>
      <c r="I23" s="218"/>
      <c r="J23" s="219"/>
      <c r="K23" s="218"/>
      <c r="L23" s="218"/>
      <c r="M23" s="218"/>
      <c r="N23" s="218"/>
      <c r="O23" s="218"/>
      <c r="P23" s="218"/>
      <c r="Q23" s="226"/>
      <c r="R23" s="226"/>
      <c r="S23" s="226"/>
      <c r="T23" s="228"/>
    </row>
    <row r="24" spans="2:22">
      <c r="B24" s="215" t="s">
        <v>584</v>
      </c>
      <c r="C24" s="215"/>
      <c r="D24" s="215"/>
      <c r="E24" s="215"/>
      <c r="F24" s="215" t="s">
        <v>310</v>
      </c>
      <c r="G24" s="215"/>
      <c r="H24" s="215"/>
      <c r="I24" s="215"/>
      <c r="J24" s="219"/>
      <c r="K24" s="215"/>
      <c r="L24" s="222"/>
      <c r="M24" s="222"/>
      <c r="N24" s="222"/>
      <c r="O24" s="222"/>
      <c r="P24" s="222"/>
      <c r="Q24" s="231">
        <v>281841.23</v>
      </c>
      <c r="R24" s="231"/>
      <c r="S24" s="226"/>
      <c r="T24" s="226"/>
      <c r="V24" s="175" t="s">
        <v>441</v>
      </c>
    </row>
    <row r="25" spans="2:22" s="215" customFormat="1">
      <c r="B25" s="215" t="s">
        <v>555</v>
      </c>
      <c r="F25" s="215" t="s">
        <v>310</v>
      </c>
      <c r="J25" s="219"/>
      <c r="L25" s="222"/>
      <c r="M25" s="222"/>
      <c r="N25" s="222"/>
      <c r="O25" s="222"/>
      <c r="P25" s="222"/>
      <c r="Q25" s="231">
        <v>-166725.84</v>
      </c>
      <c r="R25" s="231"/>
      <c r="S25" s="226"/>
      <c r="T25" s="226"/>
      <c r="V25" s="223"/>
    </row>
    <row r="26" spans="2:22">
      <c r="B26" s="215"/>
      <c r="C26" s="215"/>
      <c r="D26" s="215"/>
      <c r="E26" s="215"/>
      <c r="F26" s="215"/>
      <c r="G26" s="215"/>
      <c r="H26" s="215"/>
      <c r="I26" s="215"/>
      <c r="J26" s="215"/>
      <c r="K26" s="215"/>
      <c r="L26" s="215"/>
      <c r="M26" s="215"/>
      <c r="N26" s="215"/>
      <c r="O26" s="215"/>
      <c r="P26" s="215"/>
      <c r="Q26" s="215"/>
      <c r="R26" s="215"/>
      <c r="S26" s="215"/>
      <c r="T26" s="215"/>
    </row>
    <row r="27" spans="2:22" s="100" customFormat="1">
      <c r="B27" s="217" t="s">
        <v>319</v>
      </c>
      <c r="C27" s="217"/>
      <c r="D27" s="217"/>
      <c r="E27" s="217"/>
      <c r="F27" s="217"/>
      <c r="G27" s="217"/>
      <c r="H27" s="217"/>
      <c r="I27" s="217"/>
      <c r="J27" s="217"/>
      <c r="K27" s="217"/>
      <c r="L27" s="217"/>
      <c r="M27" s="217"/>
      <c r="N27" s="217"/>
      <c r="O27" s="217"/>
      <c r="P27" s="217"/>
      <c r="Q27" s="217"/>
      <c r="R27" s="217"/>
      <c r="S27" s="217"/>
      <c r="T27" s="217"/>
    </row>
    <row r="28" spans="2:22">
      <c r="B28" s="215"/>
      <c r="C28" s="215"/>
      <c r="D28" s="215"/>
      <c r="E28" s="215"/>
      <c r="F28" s="215"/>
      <c r="G28" s="215"/>
      <c r="H28" s="215"/>
      <c r="I28" s="215"/>
      <c r="J28" s="215"/>
      <c r="K28" s="215"/>
      <c r="L28" s="215"/>
      <c r="M28" s="215"/>
      <c r="N28" s="215"/>
      <c r="O28" s="215"/>
      <c r="P28" s="215"/>
      <c r="Q28" s="215"/>
      <c r="R28" s="215"/>
      <c r="S28" s="215"/>
      <c r="T28" s="215"/>
    </row>
    <row r="29" spans="2:22">
      <c r="B29" s="215" t="s">
        <v>165</v>
      </c>
      <c r="C29" s="215"/>
      <c r="D29" s="215"/>
      <c r="E29" s="215"/>
      <c r="F29" s="215" t="s">
        <v>310</v>
      </c>
      <c r="G29" s="215"/>
      <c r="H29" s="215"/>
      <c r="I29" s="215"/>
      <c r="J29" s="215"/>
      <c r="K29" s="215"/>
      <c r="L29" s="226"/>
      <c r="M29" s="226"/>
      <c r="N29" s="226"/>
      <c r="O29" s="226"/>
      <c r="P29" s="226"/>
      <c r="Q29" s="226"/>
      <c r="R29" s="226"/>
      <c r="S29" s="231">
        <v>30673020.929000001</v>
      </c>
      <c r="T29" s="218"/>
    </row>
    <row r="30" spans="2:22" s="96" customFormat="1">
      <c r="B30" s="215"/>
      <c r="C30" s="215"/>
      <c r="D30" s="215"/>
      <c r="E30" s="215"/>
      <c r="F30" s="215"/>
      <c r="G30" s="215"/>
      <c r="H30" s="215"/>
      <c r="I30" s="215"/>
      <c r="J30" s="215"/>
      <c r="K30" s="215"/>
      <c r="L30" s="224"/>
      <c r="M30" s="224"/>
      <c r="N30" s="224"/>
      <c r="O30" s="224"/>
      <c r="P30" s="224"/>
      <c r="Q30" s="224"/>
      <c r="R30" s="224"/>
      <c r="S30" s="224"/>
      <c r="T30" s="215"/>
    </row>
    <row r="31" spans="2:22">
      <c r="B31" s="215" t="s">
        <v>322</v>
      </c>
      <c r="C31" s="215"/>
      <c r="D31" s="215"/>
      <c r="E31" s="215"/>
      <c r="F31" s="215" t="s">
        <v>310</v>
      </c>
      <c r="G31" s="215"/>
      <c r="H31" s="215"/>
      <c r="I31" s="215"/>
      <c r="J31" s="219"/>
      <c r="K31" s="215"/>
      <c r="L31" s="231">
        <v>189311.89</v>
      </c>
      <c r="M31" s="231">
        <v>-1140643.77</v>
      </c>
      <c r="N31" s="231">
        <v>-485024.31096774212</v>
      </c>
      <c r="O31" s="231">
        <v>-509210.69000000018</v>
      </c>
      <c r="P31" s="227"/>
      <c r="Q31" s="227"/>
      <c r="R31" s="227"/>
      <c r="S31" s="226"/>
      <c r="T31" s="218"/>
      <c r="V31" s="176" t="s">
        <v>442</v>
      </c>
    </row>
    <row r="32" spans="2:22" s="96" customFormat="1">
      <c r="B32" s="215" t="s">
        <v>320</v>
      </c>
      <c r="C32" s="215"/>
      <c r="D32" s="215"/>
      <c r="E32" s="215"/>
      <c r="F32" s="215" t="s">
        <v>310</v>
      </c>
      <c r="G32" s="215"/>
      <c r="H32" s="215"/>
      <c r="I32" s="215"/>
      <c r="J32" s="215"/>
      <c r="K32" s="215"/>
      <c r="L32" s="227"/>
      <c r="M32" s="227"/>
      <c r="N32" s="227"/>
      <c r="O32" s="227"/>
      <c r="P32" s="227"/>
      <c r="Q32" s="227"/>
      <c r="R32" s="231">
        <f>13555121.02</f>
        <v>13555121.02</v>
      </c>
      <c r="S32" s="231">
        <v>2728825.51</v>
      </c>
      <c r="T32" s="215"/>
      <c r="V32" s="177" t="s">
        <v>443</v>
      </c>
    </row>
    <row r="33" spans="2:22" s="96" customFormat="1">
      <c r="B33" s="215" t="s">
        <v>321</v>
      </c>
      <c r="C33" s="215"/>
      <c r="D33" s="215"/>
      <c r="E33" s="215"/>
      <c r="F33" s="215" t="s">
        <v>310</v>
      </c>
      <c r="G33" s="215"/>
      <c r="H33" s="215"/>
      <c r="I33" s="215"/>
      <c r="J33" s="215"/>
      <c r="K33" s="215"/>
      <c r="L33" s="227"/>
      <c r="M33" s="227"/>
      <c r="N33" s="227"/>
      <c r="O33" s="227"/>
      <c r="P33" s="227"/>
      <c r="Q33" s="227"/>
      <c r="R33" s="231"/>
      <c r="S33" s="231">
        <v>488057.94</v>
      </c>
      <c r="T33" s="215"/>
      <c r="V33" s="177" t="s">
        <v>443</v>
      </c>
    </row>
  </sheetData>
  <mergeCells count="1">
    <mergeCell ref="B4: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autoPageBreaks="0"/>
  </sheetPr>
  <dimension ref="B2:Q18"/>
  <sheetViews>
    <sheetView showGridLines="0" zoomScale="85" zoomScaleNormal="85" workbookViewId="0">
      <pane xSplit="6" ySplit="11" topLeftCell="G12" activePane="bottomRight" state="frozen"/>
      <selection pane="topRight"/>
      <selection pane="bottomLeft"/>
      <selection pane="bottomRight"/>
    </sheetView>
  </sheetViews>
  <sheetFormatPr defaultRowHeight="12.75"/>
  <cols>
    <col min="1" max="1" width="4" style="2" customWidth="1"/>
    <col min="2" max="2" width="55.42578125" style="2" customWidth="1"/>
    <col min="3"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2.5703125" style="2" customWidth="1"/>
    <col min="14" max="14" width="2.7109375" style="2" customWidth="1"/>
    <col min="15" max="15" width="31.28515625" style="2" bestFit="1" customWidth="1"/>
    <col min="16" max="16" width="2.7109375" style="2" customWidth="1"/>
    <col min="17" max="31" width="13.7109375" style="2" customWidth="1"/>
    <col min="32" max="16384" width="9.140625" style="2"/>
  </cols>
  <sheetData>
    <row r="2" spans="2:17" s="28" customFormat="1" ht="18">
      <c r="B2" s="28" t="s">
        <v>358</v>
      </c>
    </row>
    <row r="4" spans="2:17" s="96" customFormat="1">
      <c r="B4" s="245" t="s">
        <v>430</v>
      </c>
      <c r="C4" s="246"/>
      <c r="D4" s="246"/>
      <c r="E4" s="246"/>
    </row>
    <row r="5" spans="2:17" s="96" customFormat="1">
      <c r="B5" s="246"/>
      <c r="C5" s="246"/>
      <c r="D5" s="246"/>
      <c r="E5" s="246"/>
    </row>
    <row r="6" spans="2:17" s="96" customFormat="1">
      <c r="B6" s="246"/>
      <c r="C6" s="246"/>
      <c r="D6" s="246"/>
      <c r="E6" s="246"/>
    </row>
    <row r="7" spans="2:17" s="96" customFormat="1">
      <c r="B7" s="246"/>
      <c r="C7" s="246"/>
      <c r="D7" s="246"/>
      <c r="E7" s="246"/>
    </row>
    <row r="8" spans="2:17" s="96" customFormat="1">
      <c r="B8" s="246"/>
      <c r="C8" s="246"/>
      <c r="D8" s="246"/>
      <c r="E8" s="246"/>
    </row>
    <row r="9" spans="2:17" s="96" customFormat="1">
      <c r="B9" s="99"/>
      <c r="C9" s="97"/>
      <c r="D9" s="97"/>
    </row>
    <row r="10" spans="2:17" s="7" customFormat="1">
      <c r="B10" s="7" t="s">
        <v>47</v>
      </c>
      <c r="F10" s="7" t="s">
        <v>28</v>
      </c>
      <c r="H10" s="7" t="s">
        <v>29</v>
      </c>
      <c r="J10" s="7" t="s">
        <v>51</v>
      </c>
      <c r="L10" s="7" t="s">
        <v>90</v>
      </c>
      <c r="M10" s="7" t="s">
        <v>93</v>
      </c>
      <c r="O10" s="7" t="s">
        <v>48</v>
      </c>
      <c r="Q10" s="7" t="s">
        <v>49</v>
      </c>
    </row>
    <row r="11" spans="2:17" s="96" customFormat="1"/>
    <row r="12" spans="2:17" s="96" customFormat="1"/>
    <row r="13" spans="2:17" s="84" customFormat="1">
      <c r="B13" s="83" t="s">
        <v>219</v>
      </c>
      <c r="C13" s="83"/>
      <c r="D13" s="83"/>
    </row>
    <row r="15" spans="2:17" s="187" customFormat="1">
      <c r="B15" s="2" t="s">
        <v>465</v>
      </c>
      <c r="F15" s="187" t="s">
        <v>138</v>
      </c>
      <c r="L15" s="231">
        <v>61165.788340800056</v>
      </c>
      <c r="M15" s="231">
        <v>336704.02182560036</v>
      </c>
      <c r="O15" s="187" t="s">
        <v>289</v>
      </c>
      <c r="Q15" s="187" t="s">
        <v>466</v>
      </c>
    </row>
    <row r="16" spans="2:17">
      <c r="B16" s="2" t="s">
        <v>214</v>
      </c>
      <c r="F16" s="2" t="s">
        <v>138</v>
      </c>
      <c r="J16" s="96"/>
      <c r="K16" s="8"/>
      <c r="L16" s="231">
        <v>35011238.292750247</v>
      </c>
      <c r="M16" s="231">
        <v>1819155.4200485153</v>
      </c>
      <c r="O16" s="2" t="s">
        <v>289</v>
      </c>
    </row>
    <row r="17" spans="2:15">
      <c r="B17" s="2" t="s">
        <v>215</v>
      </c>
      <c r="F17" s="2" t="s">
        <v>138</v>
      </c>
      <c r="J17" s="96"/>
      <c r="K17" s="8"/>
      <c r="L17" s="231">
        <v>54169915.569261841</v>
      </c>
      <c r="M17" s="231">
        <v>3471477.0042099119</v>
      </c>
      <c r="O17" s="2" t="s">
        <v>289</v>
      </c>
    </row>
    <row r="18" spans="2:15">
      <c r="J18" s="39"/>
      <c r="K18" s="8"/>
      <c r="L18" s="8"/>
      <c r="M18" s="8"/>
    </row>
  </sheetData>
  <mergeCells count="1">
    <mergeCell ref="B4: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E878650FBD2D4392CD8EF4C647E9D5" ma:contentTypeVersion="0" ma:contentTypeDescription="Een nieuw document maken." ma:contentTypeScope="" ma:versionID="403b60cfd241343d50cd2dbad1bbbcf9">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941D22-A657-4695-A560-BC2A67E90602}">
  <ds:schemaRefs>
    <ds:schemaRef ds:uri="http://schemas.microsoft.com/sharepoint/v3/contenttype/forms"/>
  </ds:schemaRefs>
</ds:datastoreItem>
</file>

<file path=customXml/itemProps2.xml><?xml version="1.0" encoding="utf-8"?>
<ds:datastoreItem xmlns:ds="http://schemas.openxmlformats.org/officeDocument/2006/customXml" ds:itemID="{00B2746E-DB0F-499C-B59A-0A8E858D8D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2A23967-7DE6-499B-A489-7CBF2DE6D59F}">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2</vt:i4>
      </vt:variant>
    </vt:vector>
  </HeadingPairs>
  <TitlesOfParts>
    <vt:vector size="27" baseType="lpstr">
      <vt:lpstr>Tab 1_Titelblad</vt:lpstr>
      <vt:lpstr>Tab 2_Toelichting</vt:lpstr>
      <vt:lpstr>Tab 3_Bronnen en toepassingen</vt:lpstr>
      <vt:lpstr>Resultaat --&gt;</vt:lpstr>
      <vt:lpstr>Tab 4_Totale inkomsten 2019</vt:lpstr>
      <vt:lpstr>Tab 5_Tarieven en RV 2019</vt:lpstr>
      <vt:lpstr>Input (Dataverzoek TenneT) --&gt;</vt:lpstr>
      <vt:lpstr>Tab 6_Correcties en prognoses</vt:lpstr>
      <vt:lpstr>Tab 7_Toevoeging kosten RCR</vt:lpstr>
      <vt:lpstr>Tab 8_Voorstel tarieven en RV</vt:lpstr>
      <vt:lpstr>Input (Data door ACM) --&gt;</vt:lpstr>
      <vt:lpstr>Tab 9_Parameters</vt:lpstr>
      <vt:lpstr>Tab 10_Brondata</vt:lpstr>
      <vt:lpstr>Tab 11_Tarieven, RV en omzet</vt:lpstr>
      <vt:lpstr>Berekeningen --&gt;</vt:lpstr>
      <vt:lpstr>Tab 12_Berekening parameters</vt:lpstr>
      <vt:lpstr>Tab 13_Wettelijke formule</vt:lpstr>
      <vt:lpstr>Tab 14_Budget systeemtaken</vt:lpstr>
      <vt:lpstr>Tab 15_Prognoses IKTNN</vt:lpstr>
      <vt:lpstr>Tab 16_Correcties OA&amp;M en IKTNN</vt:lpstr>
      <vt:lpstr>Tab 17_Overige correcties</vt:lpstr>
      <vt:lpstr>Tab 18_Omzetcorrectie</vt:lpstr>
      <vt:lpstr>Tab 19_ Inzet veilinggelden</vt:lpstr>
      <vt:lpstr>Tab 20_Controle rekenvolumina</vt:lpstr>
      <vt:lpstr>Tab 21_Controle tarieven</vt:lpstr>
      <vt:lpstr>'Tab 12_Berekening parameters'!Afdrukbereik</vt:lpstr>
      <vt:lpstr>'Tab 20_Controle rekenvolumina'!Afdrukbereik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dc:creator>
  <cp:lastModifiedBy>Peek, Roy</cp:lastModifiedBy>
  <cp:lastPrinted>2018-08-30T08:18:37Z</cp:lastPrinted>
  <dcterms:created xsi:type="dcterms:W3CDTF">2017-12-20T09:39:51Z</dcterms:created>
  <dcterms:modified xsi:type="dcterms:W3CDTF">2018-11-23T10:18:06Z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0x01010049E878650FBD2D4392CD8EF4C647E9D5</vt:lpwstr>
  </property>
</Properties>
</file>