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tabRatio="836"/>
  </bookViews>
  <sheets>
    <sheet name="Title page" sheetId="9" r:id="rId1"/>
    <sheet name="Explanation" sheetId="10" r:id="rId2"/>
    <sheet name="Sources and applications" sheetId="11" r:id="rId3"/>
    <sheet name="Tariffs" sheetId="21" r:id="rId4"/>
    <sheet name="Input --&gt;" sheetId="13" r:id="rId5"/>
    <sheet name="CPI &amp; WACC" sheetId="30" r:id="rId6"/>
    <sheet name="Data on costs" sheetId="18" r:id="rId7"/>
    <sheet name="Data on volumes and tariffs" sheetId="25" r:id="rId8"/>
    <sheet name="Data on corrections" sheetId="26" r:id="rId9"/>
    <sheet name="Input data fuel purchase" sheetId="27" r:id="rId10"/>
    <sheet name="Calculations --&gt;" sheetId="15" r:id="rId11"/>
    <sheet name="Corr fuel price difference " sheetId="29" r:id="rId12"/>
    <sheet name="Calculation income level " sheetId="22" r:id="rId13"/>
    <sheet name="Monthly fuel prices" sheetId="28" r:id="rId14"/>
  </sheets>
  <calcPr calcId="145621"/>
</workbook>
</file>

<file path=xl/calcChain.xml><?xml version="1.0" encoding="utf-8"?>
<calcChain xmlns="http://schemas.openxmlformats.org/spreadsheetml/2006/main">
  <c r="B16" i="10" l="1"/>
  <c r="B23" i="10" l="1"/>
  <c r="B17" i="10"/>
  <c r="B18" i="10" s="1"/>
  <c r="B22" i="10" s="1"/>
  <c r="P24" i="29"/>
  <c r="O24" i="29"/>
  <c r="N24" i="29"/>
  <c r="M24" i="29"/>
  <c r="L24" i="29"/>
  <c r="P31" i="29" l="1"/>
  <c r="F33" i="28"/>
  <c r="J31" i="28"/>
  <c r="H29" i="28"/>
  <c r="H30" i="28"/>
  <c r="H31" i="28"/>
  <c r="F29" i="28"/>
  <c r="F30" i="28"/>
  <c r="F31" i="28"/>
  <c r="B29" i="28"/>
  <c r="B30" i="28"/>
  <c r="B31" i="28"/>
  <c r="M25" i="25" l="1"/>
  <c r="M32" i="25" s="1"/>
  <c r="M43" i="25" s="1"/>
  <c r="H15" i="27" l="1"/>
  <c r="K91" i="21" l="1"/>
  <c r="H15" i="29" l="1"/>
  <c r="H12" i="21"/>
  <c r="H14" i="22"/>
  <c r="H13" i="22"/>
  <c r="M50" i="22" s="1"/>
  <c r="H12" i="22"/>
  <c r="M20" i="30"/>
  <c r="N19" i="30"/>
  <c r="N18" i="30"/>
  <c r="M18" i="30"/>
  <c r="L18" i="30"/>
  <c r="M48" i="22" l="1"/>
  <c r="M49" i="22"/>
  <c r="K31" i="21" l="1"/>
  <c r="H21" i="29" l="1"/>
  <c r="H18" i="29"/>
  <c r="H17" i="29"/>
  <c r="H14" i="29"/>
  <c r="H13" i="29"/>
  <c r="H28" i="29" s="1"/>
  <c r="H67" i="25"/>
  <c r="H63" i="25"/>
  <c r="H59" i="25"/>
  <c r="H55" i="25"/>
  <c r="H51" i="25"/>
  <c r="H29" i="29" l="1"/>
  <c r="H14" i="28" l="1"/>
  <c r="H15" i="28"/>
  <c r="H16" i="28"/>
  <c r="H17" i="28"/>
  <c r="H18" i="28"/>
  <c r="H19" i="28"/>
  <c r="H20" i="28"/>
  <c r="H21" i="28"/>
  <c r="H22" i="28"/>
  <c r="H23" i="28"/>
  <c r="H24" i="28"/>
  <c r="H25" i="28"/>
  <c r="H26" i="28"/>
  <c r="H27" i="28"/>
  <c r="H28" i="28"/>
  <c r="H13" i="28"/>
  <c r="F14" i="28"/>
  <c r="F15" i="28"/>
  <c r="F16" i="28"/>
  <c r="J16" i="28" s="1"/>
  <c r="F17" i="28"/>
  <c r="F18" i="28"/>
  <c r="F19" i="28"/>
  <c r="F20" i="28"/>
  <c r="F21" i="28"/>
  <c r="F22" i="28"/>
  <c r="F23" i="28"/>
  <c r="F24" i="28"/>
  <c r="F25" i="28"/>
  <c r="F26" i="28"/>
  <c r="F27" i="28"/>
  <c r="F28" i="28"/>
  <c r="F13" i="28"/>
  <c r="B14" i="28"/>
  <c r="B15" i="28"/>
  <c r="B16" i="28"/>
  <c r="B17" i="28"/>
  <c r="B18" i="28"/>
  <c r="B19" i="28"/>
  <c r="B20" i="28"/>
  <c r="B21" i="28"/>
  <c r="B22" i="28"/>
  <c r="B23" i="28"/>
  <c r="B24" i="28"/>
  <c r="B25" i="28"/>
  <c r="B26" i="28"/>
  <c r="B27" i="28"/>
  <c r="B28" i="28"/>
  <c r="B13" i="28"/>
  <c r="J15" i="28" l="1"/>
  <c r="J31" i="29" s="1"/>
  <c r="L32" i="29" s="1"/>
  <c r="L34" i="29" s="1"/>
  <c r="L38" i="29" l="1"/>
  <c r="L39" i="29" s="1"/>
  <c r="J27" i="28"/>
  <c r="N31" i="29" s="1"/>
  <c r="P32" i="29" s="1"/>
  <c r="P34" i="29" s="1"/>
  <c r="P38" i="29" s="1"/>
  <c r="P39" i="29" s="1"/>
  <c r="K31" i="29" l="1"/>
  <c r="M32" i="29" s="1"/>
  <c r="M34" i="29" s="1"/>
  <c r="M38" i="29" s="1"/>
  <c r="M39" i="29" s="1"/>
  <c r="J21" i="28"/>
  <c r="L31" i="29" s="1"/>
  <c r="N32" i="29" s="1"/>
  <c r="N34" i="29" s="1"/>
  <c r="N38" i="29" s="1"/>
  <c r="N39" i="29" s="1"/>
  <c r="J24" i="28"/>
  <c r="M31" i="29" s="1"/>
  <c r="O32" i="29" s="1"/>
  <c r="O34" i="29" s="1"/>
  <c r="O38" i="29" s="1"/>
  <c r="O39" i="29" s="1"/>
  <c r="J28" i="28"/>
  <c r="O31" i="29" s="1"/>
  <c r="H41" i="29" l="1"/>
  <c r="L31" i="22"/>
  <c r="L30" i="22"/>
  <c r="L29" i="22"/>
  <c r="J29" i="22" l="1"/>
  <c r="K63" i="21"/>
  <c r="L49" i="22"/>
  <c r="J30" i="22"/>
  <c r="L50" i="22"/>
  <c r="J50" i="22" s="1"/>
  <c r="J31" i="22"/>
  <c r="K51" i="21"/>
  <c r="K52" i="21"/>
  <c r="K50" i="21"/>
  <c r="K28" i="21"/>
  <c r="J24" i="21"/>
  <c r="J23" i="21"/>
  <c r="J21" i="21"/>
  <c r="J20" i="21"/>
  <c r="K32" i="21"/>
  <c r="K33" i="21"/>
  <c r="K34" i="21"/>
  <c r="K35" i="21"/>
  <c r="K36" i="21"/>
  <c r="K37" i="21"/>
  <c r="K38" i="21"/>
  <c r="K39" i="21"/>
  <c r="K40" i="21"/>
  <c r="K41" i="21"/>
  <c r="K42" i="21"/>
  <c r="K43" i="21"/>
  <c r="K44" i="21"/>
  <c r="K45" i="21"/>
  <c r="K46" i="21"/>
  <c r="B32" i="21"/>
  <c r="B33" i="21"/>
  <c r="B34" i="21"/>
  <c r="B35" i="21"/>
  <c r="B36" i="21"/>
  <c r="B37" i="21"/>
  <c r="B38" i="21"/>
  <c r="B39" i="21"/>
  <c r="B40" i="21"/>
  <c r="B41" i="21"/>
  <c r="B42" i="21"/>
  <c r="B43" i="21"/>
  <c r="B44" i="21"/>
  <c r="B45" i="21"/>
  <c r="B46" i="21"/>
  <c r="B31" i="21"/>
  <c r="M26" i="22"/>
  <c r="J26" i="22" s="1"/>
  <c r="M22" i="22"/>
  <c r="L22" i="22"/>
  <c r="M18" i="22"/>
  <c r="M19" i="22"/>
  <c r="L19" i="22"/>
  <c r="L18" i="22"/>
  <c r="M17" i="22"/>
  <c r="L17" i="22"/>
  <c r="M23" i="22"/>
  <c r="J17" i="22" l="1"/>
  <c r="J23" i="22"/>
  <c r="J18" i="22"/>
  <c r="J19" i="22"/>
  <c r="J18" i="21"/>
  <c r="M42" i="22"/>
  <c r="L42" i="22"/>
  <c r="J22" i="22"/>
  <c r="J17" i="21"/>
  <c r="J49" i="22"/>
  <c r="K95" i="21"/>
  <c r="K94" i="21"/>
  <c r="K96" i="21"/>
  <c r="K69" i="21"/>
  <c r="J22" i="21"/>
  <c r="K64" i="21" l="1"/>
  <c r="K65" i="21" s="1"/>
  <c r="J42" i="22"/>
  <c r="J59" i="21"/>
  <c r="L14" i="25" l="1"/>
  <c r="J21" i="18"/>
  <c r="J20" i="18"/>
  <c r="J17" i="18"/>
  <c r="J14" i="18"/>
  <c r="J13" i="18"/>
  <c r="L48" i="22" l="1"/>
  <c r="J16" i="21" s="1"/>
  <c r="J48" i="22"/>
  <c r="L36" i="22"/>
  <c r="M36" i="22"/>
  <c r="M45" i="22"/>
  <c r="L39" i="22"/>
  <c r="M39" i="22"/>
  <c r="L45" i="22"/>
  <c r="M47" i="22" l="1"/>
  <c r="M52" i="22" s="1"/>
  <c r="J45" i="22"/>
  <c r="L47" i="22"/>
  <c r="L52" i="22" s="1"/>
  <c r="J36" i="22"/>
  <c r="J39" i="22"/>
  <c r="K27" i="21"/>
  <c r="K70" i="21" s="1"/>
  <c r="J52" i="22" l="1"/>
  <c r="J15" i="21"/>
  <c r="J19" i="21" s="1"/>
  <c r="J58" i="21" s="1"/>
  <c r="J47" i="22"/>
  <c r="K82" i="21"/>
  <c r="K77" i="21"/>
  <c r="K73" i="21"/>
  <c r="K87" i="21"/>
  <c r="K78" i="21"/>
  <c r="K84" i="21"/>
  <c r="K72" i="21"/>
  <c r="K83" i="21"/>
  <c r="K80" i="21"/>
  <c r="K86" i="21"/>
  <c r="K79" i="21"/>
  <c r="K85" i="21"/>
  <c r="K75" i="21"/>
  <c r="K74" i="21"/>
  <c r="K81" i="21"/>
  <c r="K76" i="21"/>
  <c r="J60" i="21" l="1"/>
  <c r="K66" i="21" s="1"/>
</calcChain>
</file>

<file path=xl/comments1.xml><?xml version="1.0" encoding="utf-8"?>
<comments xmlns="http://schemas.openxmlformats.org/spreadsheetml/2006/main">
  <authors>
    <author>Auteur</author>
  </authors>
  <commentList>
    <comment ref="B22"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<sst xmlns="http://schemas.openxmlformats.org/spreadsheetml/2006/main" count="720" uniqueCount="372">
  <si>
    <t>Over de status van dit bestand</t>
  </si>
  <si>
    <t>Data</t>
  </si>
  <si>
    <t>Input --&gt;</t>
  </si>
  <si>
    <t>ACM/18/033334</t>
  </si>
  <si>
    <t xml:space="preserve">Description data </t>
  </si>
  <si>
    <t xml:space="preserve">Description </t>
  </si>
  <si>
    <t xml:space="preserve">Unit </t>
  </si>
  <si>
    <t>Constant</t>
  </si>
  <si>
    <t>Row total</t>
  </si>
  <si>
    <t>%</t>
  </si>
  <si>
    <t>Estimated inflation 2018</t>
  </si>
  <si>
    <t>Estimated inflation 2019</t>
  </si>
  <si>
    <t xml:space="preserve">Constant </t>
  </si>
  <si>
    <t xml:space="preserve">Row total </t>
  </si>
  <si>
    <t>Operational costs</t>
  </si>
  <si>
    <t xml:space="preserve">Total OPEX for the regulatory cost base </t>
  </si>
  <si>
    <t>Cost of bad debts</t>
  </si>
  <si>
    <t>Other income</t>
  </si>
  <si>
    <t>Total depreciation</t>
  </si>
  <si>
    <t>USD, pl 2017</t>
  </si>
  <si>
    <t>Cost data 2017</t>
  </si>
  <si>
    <t xml:space="preserve">  Estimated production by solar </t>
  </si>
  <si>
    <t xml:space="preserve">  Estimated production by fuel</t>
  </si>
  <si>
    <t xml:space="preserve">Production yield based on fuel </t>
  </si>
  <si>
    <t xml:space="preserve">Price of fuel </t>
  </si>
  <si>
    <t xml:space="preserve">Estimated total production </t>
  </si>
  <si>
    <t xml:space="preserve">Parameters on production and distribution </t>
  </si>
  <si>
    <t xml:space="preserve">Network loss </t>
  </si>
  <si>
    <t xml:space="preserve">kWh </t>
  </si>
  <si>
    <t>liters/kWh</t>
  </si>
  <si>
    <t>USD/liter</t>
  </si>
  <si>
    <t>Network loss on elektricity</t>
  </si>
  <si>
    <t xml:space="preserve">Tariffs </t>
  </si>
  <si>
    <t xml:space="preserve">  Standard tariff 7.7 kVA</t>
  </si>
  <si>
    <t xml:space="preserve">  Standard tariff 3.2 kVA</t>
  </si>
  <si>
    <t xml:space="preserve">  Tariff per meter for trenchwork, if applicable </t>
  </si>
  <si>
    <t>USD, pl 2018</t>
  </si>
  <si>
    <t>Number of (re)connections</t>
  </si>
  <si>
    <t>Number of reconnections in 2017</t>
  </si>
  <si>
    <t>#</t>
  </si>
  <si>
    <t>Cost associated with new connections and reconnections</t>
  </si>
  <si>
    <t xml:space="preserve">Tariff categories and Volumes </t>
  </si>
  <si>
    <t>The tariff category is determined by the kVa</t>
  </si>
  <si>
    <t>kVA</t>
  </si>
  <si>
    <t>Number of connections per kVA</t>
  </si>
  <si>
    <t>Calculation income level</t>
  </si>
  <si>
    <t xml:space="preserve">Description calculation </t>
  </si>
  <si>
    <t>Source</t>
  </si>
  <si>
    <t xml:space="preserve">Neccesary input parameters </t>
  </si>
  <si>
    <t>Costs data 2017</t>
  </si>
  <si>
    <t>Total RAB</t>
  </si>
  <si>
    <t>Total Depreciation</t>
  </si>
  <si>
    <t>Total other income, to be netted with costs (excl. connections)</t>
  </si>
  <si>
    <t xml:space="preserve">Data on other income </t>
  </si>
  <si>
    <t xml:space="preserve">Income allowance for bad debt </t>
  </si>
  <si>
    <t>Data on cost bad debt 2017</t>
  </si>
  <si>
    <t>Other income to be netted with the costs</t>
  </si>
  <si>
    <t>Allowance for bad debt</t>
  </si>
  <si>
    <t>Other income to be netted with the costs (incl. connections if applicable)</t>
  </si>
  <si>
    <t>Income for 2019</t>
  </si>
  <si>
    <t xml:space="preserve">Production </t>
  </si>
  <si>
    <t xml:space="preserve">Total estimated production </t>
  </si>
  <si>
    <t xml:space="preserve">Distribution </t>
  </si>
  <si>
    <t>Income level for distribution</t>
  </si>
  <si>
    <t xml:space="preserve">  Production by fuel</t>
  </si>
  <si>
    <t xml:space="preserve">  Production by solar </t>
  </si>
  <si>
    <t>Price fuel</t>
  </si>
  <si>
    <t>kWh</t>
  </si>
  <si>
    <t>USD/kWh</t>
  </si>
  <si>
    <t>Liter/kWh</t>
  </si>
  <si>
    <t>Production price excl fuel</t>
  </si>
  <si>
    <t xml:space="preserve">Variable distribution tariff </t>
  </si>
  <si>
    <t xml:space="preserve">Add-on production price for fuel </t>
  </si>
  <si>
    <t xml:space="preserve">Production price incl fuel </t>
  </si>
  <si>
    <t>Variable distribution tariff</t>
  </si>
  <si>
    <t>Fixed distribution tariff per kVA category</t>
  </si>
  <si>
    <t>Total expected kVA connected to the network in 2019</t>
  </si>
  <si>
    <t>Income per kVA per month</t>
  </si>
  <si>
    <t>USD/month</t>
  </si>
  <si>
    <t>Tariff for reconnection</t>
  </si>
  <si>
    <t>New connection tariff</t>
  </si>
  <si>
    <t>Standard tariff 3.2 kVA</t>
  </si>
  <si>
    <t>Standardtariff 7.7 kVA</t>
  </si>
  <si>
    <t>Tariff per meter for trenchwork</t>
  </si>
  <si>
    <t>USD, pl 2019</t>
  </si>
  <si>
    <t xml:space="preserve">CPI </t>
  </si>
  <si>
    <t>Tariff for connection</t>
  </si>
  <si>
    <t>KPI report 2017</t>
  </si>
  <si>
    <t>Number of connections per kVA in August 2018</t>
  </si>
  <si>
    <t>Data on corrections</t>
  </si>
  <si>
    <t>Data corrections</t>
  </si>
  <si>
    <t xml:space="preserve">Volume-effect correction </t>
  </si>
  <si>
    <t xml:space="preserve">Add-on for the volume-effect correction </t>
  </si>
  <si>
    <t>Profit sharing</t>
  </si>
  <si>
    <t>Add-on for profit sharing</t>
  </si>
  <si>
    <t xml:space="preserve">Fuel price correction </t>
  </si>
  <si>
    <t>Add-on for the fuel price correction</t>
  </si>
  <si>
    <t xml:space="preserve">Data on corrections </t>
  </si>
  <si>
    <t xml:space="preserve">Volume- effect correction </t>
  </si>
  <si>
    <t>Profit-sharing effect correction</t>
  </si>
  <si>
    <t>Fuel price correction</t>
  </si>
  <si>
    <t>Total income for tariifs</t>
  </si>
  <si>
    <t>Parameters WACC and CPI</t>
  </si>
  <si>
    <t>Total OPEX for regulatory cost base</t>
  </si>
  <si>
    <t>Input daily fuel prices and volumes</t>
  </si>
  <si>
    <t>Description</t>
  </si>
  <si>
    <t>Unit</t>
  </si>
  <si>
    <t>Period (dates) with uniform price level</t>
  </si>
  <si>
    <t>Fuel price</t>
  </si>
  <si>
    <t>Volume purchased</t>
  </si>
  <si>
    <t>Invoice (date)</t>
  </si>
  <si>
    <t>May_1</t>
  </si>
  <si>
    <t>liter</t>
  </si>
  <si>
    <t>June_1</t>
  </si>
  <si>
    <t>June_2</t>
  </si>
  <si>
    <t>June_3</t>
  </si>
  <si>
    <t>June_4</t>
  </si>
  <si>
    <t>July_1</t>
  </si>
  <si>
    <t>July_2</t>
  </si>
  <si>
    <t>August_1</t>
  </si>
  <si>
    <t>August_2</t>
  </si>
  <si>
    <t>August_3</t>
  </si>
  <si>
    <t>September_1</t>
  </si>
  <si>
    <t>April_1</t>
  </si>
  <si>
    <t>Invoice 23 April 2018</t>
  </si>
  <si>
    <t>April_2</t>
  </si>
  <si>
    <t>April_3</t>
  </si>
  <si>
    <t>Invoice 24 April 2018</t>
  </si>
  <si>
    <t>Invoice 15 May 2018</t>
  </si>
  <si>
    <t>Invoice June 1 2018</t>
  </si>
  <si>
    <t>Invoice June 2 2018</t>
  </si>
  <si>
    <t>Invoice June 28 2018</t>
  </si>
  <si>
    <t>Invoice June 29 2018</t>
  </si>
  <si>
    <t>Invoice July 23 2018</t>
  </si>
  <si>
    <t>July_3</t>
  </si>
  <si>
    <t>Invoice July 24 2018</t>
  </si>
  <si>
    <t>Invoice August 2 2018</t>
  </si>
  <si>
    <t>Invoice August 29 2018</t>
  </si>
  <si>
    <t>Invoice September 14 2018</t>
  </si>
  <si>
    <t>Calculation of monthly fuel prices</t>
  </si>
  <si>
    <t>Description calculation</t>
  </si>
  <si>
    <t>Fuel Price
(in USD/liter)</t>
  </si>
  <si>
    <t>Volume 
(in liter)</t>
  </si>
  <si>
    <t>Data on fuel</t>
  </si>
  <si>
    <t>Correction of fuel price differences</t>
  </si>
  <si>
    <t>May 2018</t>
  </si>
  <si>
    <t>Remarks</t>
  </si>
  <si>
    <t>Data on production and fuel prices</t>
  </si>
  <si>
    <t>Production yield based on fuel</t>
  </si>
  <si>
    <t>Data on production of electricity in 2018</t>
  </si>
  <si>
    <t>Total expected production volume 2018</t>
  </si>
  <si>
    <t>Production price electricity 2018</t>
  </si>
  <si>
    <t>Calculation monthly production price</t>
  </si>
  <si>
    <t>Expected production volume by fuel</t>
  </si>
  <si>
    <t>Total expected production volume</t>
  </si>
  <si>
    <t>Actual fuel prices per month (weighted average)</t>
  </si>
  <si>
    <t>Fuel component in production price on T-2 basis</t>
  </si>
  <si>
    <t>Production price based on monthly fuel component</t>
  </si>
  <si>
    <t>Calculation correction for fuel price difference</t>
  </si>
  <si>
    <t>Difference in production price, based on fuel component</t>
  </si>
  <si>
    <t>Monthly correction for fuel price difference</t>
  </si>
  <si>
    <t>Fuel correction on variable distribution tariff</t>
  </si>
  <si>
    <t>Fuel correction per kWh</t>
  </si>
  <si>
    <t>Volume 1st half of 2019</t>
  </si>
  <si>
    <t>June 2018</t>
  </si>
  <si>
    <t>July 2018</t>
  </si>
  <si>
    <t>August 2018</t>
  </si>
  <si>
    <t>September 2018</t>
  </si>
  <si>
    <t>October 2018</t>
  </si>
  <si>
    <t>Estimated inflation 2017</t>
  </si>
  <si>
    <t>Result</t>
  </si>
  <si>
    <t>Production price</t>
  </si>
  <si>
    <t>Total income for 2019 before corrections</t>
  </si>
  <si>
    <t xml:space="preserve">Budget total </t>
  </si>
  <si>
    <t>Capital costs for 2019</t>
  </si>
  <si>
    <t>Production of electricity</t>
  </si>
  <si>
    <t xml:space="preserve">Electricity production </t>
  </si>
  <si>
    <t>Electricity distribution</t>
  </si>
  <si>
    <t>Input from tariff decision 2018</t>
  </si>
  <si>
    <t>Weighted average monthly fuel price (in USD/liter)</t>
  </si>
  <si>
    <t>Description results</t>
  </si>
  <si>
    <t>On this sheet the tariffs are calculated by the ACM.</t>
  </si>
  <si>
    <t xml:space="preserve">CPI &amp; WACC </t>
  </si>
  <si>
    <t>Description data</t>
  </si>
  <si>
    <t>This sheet shows the CPI and WACC used.</t>
  </si>
  <si>
    <t>Explanatory notes</t>
  </si>
  <si>
    <t xml:space="preserve">The development of the CPI of Q3 year T and Q3 year T-1 will be used as the estimated inflation for the year T+1. The estimated inflation is rounded to one decimal. </t>
  </si>
  <si>
    <t>As of the development of the CPI between Q3 2017 and Q3 2018, the 2017 = 100 serie is used. Before this, the 2010 = 100 serie has been used.</t>
  </si>
  <si>
    <t>Comments</t>
  </si>
  <si>
    <t xml:space="preserve">Bonaire </t>
  </si>
  <si>
    <t>Saba</t>
  </si>
  <si>
    <t>Sint Eustatius</t>
  </si>
  <si>
    <t>Estimated inflation 2016</t>
  </si>
  <si>
    <t>http://statline.cbs.nl/Statweb/publication/?DM=SLNL&amp;PA=81122NED&amp;D1=0-2&amp;D2=0&amp;D3=a&amp;D4=a&amp;VW=T</t>
  </si>
  <si>
    <t>https://opendata.cbs.nl/statline/#/CBS/nl/dataset/84046NED/table?ts=1541174354543</t>
  </si>
  <si>
    <t xml:space="preserve">WACC </t>
  </si>
  <si>
    <t>Electricity production &amp; distribution</t>
  </si>
  <si>
    <t>Electricity production only</t>
  </si>
  <si>
    <t>Electricity &amp; water combined</t>
  </si>
  <si>
    <t xml:space="preserve">WACC 2017 </t>
  </si>
  <si>
    <t>ACM Decision 2016: Calculating the WACC for energy and water companies in the Caribbean Netherlands</t>
  </si>
  <si>
    <t>WACC 2018</t>
  </si>
  <si>
    <t xml:space="preserve">WACC 2019 </t>
  </si>
  <si>
    <t>WACC 2019</t>
  </si>
  <si>
    <t>Total Other income to be netted with costs</t>
  </si>
  <si>
    <t>The ACM has requested SEC to provide information on the estimated production, the estimated production yield, the price of fuel and the network loss. The cost associated with connection activities in 2017 are determined by the amount of connections and reconnections, multiplied with the tariffs as set for the year in 2018.</t>
  </si>
  <si>
    <t>Reconnection tariff</t>
  </si>
  <si>
    <t>PS-model SEC</t>
  </si>
  <si>
    <t>OPEX-model SEC</t>
  </si>
  <si>
    <t>RAV-model SEC</t>
  </si>
  <si>
    <t>RAV depreciation</t>
  </si>
  <si>
    <t>The ACM has determined the RAV, by calculating the value of the Initial RAV (up until 2015) and the RAV of new investments in 2016 and 2017.</t>
  </si>
  <si>
    <t>The ACM has determind the OPEX and Other income, by using the annual account and division keys .</t>
  </si>
  <si>
    <t>Data on costs</t>
  </si>
  <si>
    <t>Data on volumes and tariffs</t>
  </si>
  <si>
    <t>Operational cost for 2019</t>
  </si>
  <si>
    <t>Operational costs for 2019</t>
  </si>
  <si>
    <t>Most recent fuel price</t>
  </si>
  <si>
    <t>Income level for production before corrections</t>
  </si>
  <si>
    <t>Production yield for fuel</t>
  </si>
  <si>
    <t>Realized production</t>
  </si>
  <si>
    <t>The reconnection fee is set fixed at 40 USD.</t>
  </si>
  <si>
    <r>
      <t>The monthly fuel prices are the basis for the correction for the fuel component</t>
    </r>
    <r>
      <rPr>
        <sz val="10"/>
        <color rgb="FFFF0000"/>
        <rFont val="Arial"/>
        <family val="2"/>
      </rPr>
      <t xml:space="preserve"> </t>
    </r>
    <r>
      <rPr>
        <sz val="10"/>
        <rFont val="Arial"/>
        <family val="2"/>
      </rPr>
      <t>in</t>
    </r>
    <r>
      <rPr>
        <sz val="10"/>
        <color rgb="FFFF0000"/>
        <rFont val="Arial"/>
        <family val="2"/>
      </rPr>
      <t xml:space="preserve"> </t>
    </r>
    <r>
      <rPr>
        <sz val="10"/>
        <rFont val="Arial"/>
        <family val="2"/>
      </rPr>
      <t xml:space="preserve">the tariffs and for the correction of the fuel price differences. </t>
    </r>
  </si>
  <si>
    <t>CPI gegevens CBS (2010=100)</t>
  </si>
  <si>
    <t>CPI gegevens CBS (2017=100)</t>
  </si>
  <si>
    <t>ACM WACC decision 2016</t>
  </si>
  <si>
    <t>https://www.acm.nl/sites/default/files/old_publication/publicaties/16601_wacc-determination-caribbean-netherlands.pdf</t>
  </si>
  <si>
    <t xml:space="preserve">Production estimation 2019 (solar and fuel) </t>
  </si>
  <si>
    <t>Production estimation 2019 by fuel and solar</t>
  </si>
  <si>
    <t xml:space="preserve">Reconnections per kva </t>
  </si>
  <si>
    <t>Reconnections per kva</t>
  </si>
  <si>
    <t>New connections per kva</t>
  </si>
  <si>
    <t>total customers per kva 2017</t>
  </si>
  <si>
    <t>Rekenmodel SEC 2018</t>
  </si>
  <si>
    <t>Email 27-9-2018</t>
  </si>
  <si>
    <t>FUEL INVOICES_20180927_16264952</t>
  </si>
  <si>
    <t>FUEL INVOICES_20180927_16264953</t>
  </si>
  <si>
    <t>FUEL INVOICES_20180927_16264954</t>
  </si>
  <si>
    <t>FUEL INVOICES_20180927_16264955</t>
  </si>
  <si>
    <t>FUEL INVOICES_20180927_16264956</t>
  </si>
  <si>
    <t>FUEL INVOICES_20180927_16264957</t>
  </si>
  <si>
    <t>FUEL INVOICES_20180927_16264958</t>
  </si>
  <si>
    <t>FUEL INVOICES_20180927_16264959</t>
  </si>
  <si>
    <t>Cost associated with connection activities 2018</t>
  </si>
  <si>
    <t>Number of new connections in 2017 (7.7 KVA)</t>
  </si>
  <si>
    <t>Number of new connections in 2017 (13.3 KVA)</t>
  </si>
  <si>
    <t>UMS KVA fees</t>
  </si>
  <si>
    <t xml:space="preserve">  Tariff for 13.3 KVA</t>
  </si>
  <si>
    <t>http://powerupsaba.com/business.html</t>
  </si>
  <si>
    <t xml:space="preserve"> Website SEC </t>
  </si>
  <si>
    <t>New production 2016-2017-2018</t>
  </si>
  <si>
    <t>Total correction for fuel price difference for June 2018 till October 2018</t>
  </si>
  <si>
    <t>October_1</t>
  </si>
  <si>
    <t>October_2</t>
  </si>
  <si>
    <t>October_3</t>
  </si>
  <si>
    <t>Invoice November 11 2018</t>
  </si>
  <si>
    <t>Invoice November 1, 2018</t>
  </si>
  <si>
    <t>Invoice November 11, 2018</t>
  </si>
  <si>
    <t>Invoice November 1 2018</t>
  </si>
  <si>
    <t>SOL ANTILLES NV $ 69020.10_20181031_17124605</t>
  </si>
  <si>
    <t>SOL ANTILLES NV $ 73601.19_20181031_17135314</t>
  </si>
  <si>
    <t>E-mail 7-11-2018</t>
  </si>
  <si>
    <t>new production 2016-2017-2018</t>
  </si>
  <si>
    <t>E-mail 21-9-2018</t>
  </si>
  <si>
    <t>Website SEC</t>
  </si>
  <si>
    <t>Rekenmodel bij beschikking productieprijs en distributietarieven elektriciteit 2018 SEC</t>
  </si>
  <si>
    <t>Rekenmodel tarieven elektriciteit 2018 SEC</t>
  </si>
  <si>
    <t>https://www.acm.nl/nl/publicaties/rekenmodel-bij-beschikking-productieprijs-en-distributietarieven-elektriciteit-2018-sec-caribisch-nederland</t>
  </si>
  <si>
    <t>Total income for 2019 after corrections</t>
  </si>
  <si>
    <t>Costs associated with new connections and reconnections in 2017</t>
  </si>
  <si>
    <t>Realized production volume (total)</t>
  </si>
  <si>
    <t>Title page</t>
  </si>
  <si>
    <t>About this file</t>
  </si>
  <si>
    <t>Source overview and specifications</t>
  </si>
  <si>
    <t>List of sources</t>
  </si>
  <si>
    <t>On this sheet, an overview can be found in which the ACM describes the sources used for data and calculations in this file.</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</si>
  <si>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</si>
  <si>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</si>
  <si>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</si>
  <si>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</si>
  <si>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</si>
  <si>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</si>
  <si>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Additional information on this source</t>
  </si>
  <si>
    <t>Date received, email, file location</t>
  </si>
  <si>
    <t>Explanation to this file</t>
  </si>
  <si>
    <t>This document contains the calculation of the electricity and water prices of St. Eustatius Utility Company (hereafter: STUCO). These prices are based on an estimation of the cost of STUCO in 2019 and the profit sharing results of 2017.</t>
  </si>
  <si>
    <t>ACM estimates the costs of 2019 with the costs of 2017 as can be found in the annual account of STUCO.</t>
  </si>
  <si>
    <t>In addition to the corrections as made in the profit sharing model, a correction is made in this tariff model for the WACC 2018.</t>
  </si>
  <si>
    <t>Legend to cell coloring</t>
  </si>
  <si>
    <t>Cellcolor numbers</t>
  </si>
  <si>
    <t>Data and input (source required)</t>
  </si>
  <si>
    <t>Value that is drawn from another sheet or cell without calculation</t>
  </si>
  <si>
    <t>Calculated value</t>
  </si>
  <si>
    <t>Result/calculated value that is referred to on another sheet</t>
  </si>
  <si>
    <t>Empty cell (not zero) used in a formula range</t>
  </si>
  <si>
    <t>Exceptional cells</t>
  </si>
  <si>
    <t>Value or calculation that needs special attention or explanation</t>
  </si>
  <si>
    <t>Input or calculation that is not yet up to date, pro memori or work in progress</t>
  </si>
  <si>
    <t>Sheet colors</t>
  </si>
  <si>
    <t>Model sheets</t>
  </si>
  <si>
    <t>Sheet with result/output</t>
  </si>
  <si>
    <t>Sheet with input</t>
  </si>
  <si>
    <t>Calculation</t>
  </si>
  <si>
    <t>Sheet with calculations</t>
  </si>
  <si>
    <t>Sheet that is not yet up to date/work in progress</t>
  </si>
  <si>
    <t>Explanatory sheets</t>
  </si>
  <si>
    <t>Empty sheet used for indexing</t>
  </si>
  <si>
    <t>Explanation</t>
  </si>
  <si>
    <t>Standardized sheets with information on the file</t>
  </si>
  <si>
    <t>Case number</t>
  </si>
  <si>
    <t>Title</t>
  </si>
  <si>
    <t>Decision title</t>
  </si>
  <si>
    <t>Coherence with other calculation files</t>
  </si>
  <si>
    <t>Other remarks</t>
  </si>
  <si>
    <t>Final version?</t>
  </si>
  <si>
    <t>Published?</t>
  </si>
  <si>
    <t>Is this file legally part of the decision(s) listed above?</t>
  </si>
  <si>
    <t>Contains business confidential information?</t>
  </si>
  <si>
    <t>Yes</t>
  </si>
  <si>
    <t>Possibilities of objection and appeal are open against the decision which this file is a part of.</t>
  </si>
  <si>
    <t>Input Saba Electric November 7th (Excel file 'new production 2016 - 2017 - 2018)</t>
  </si>
  <si>
    <t>Last update input CBS: November 28, 2018</t>
  </si>
  <si>
    <t>Rekenmodel SEC 2019</t>
  </si>
  <si>
    <t>Most recent fuel price dates November 22, 2018</t>
  </si>
  <si>
    <t>SEC stockprice calculation</t>
  </si>
  <si>
    <t>SEC STOCKPRICE CALCULATION FROM JULY 1-2014</t>
  </si>
  <si>
    <t>Email 28-11-2018</t>
  </si>
  <si>
    <t xml:space="preserve">Email 8-10-2018 </t>
  </si>
  <si>
    <t>Email 7-11-2018</t>
  </si>
  <si>
    <r>
      <t>April - October</t>
    </r>
    <r>
      <rPr>
        <b/>
        <sz val="10"/>
        <rFont val="Arial"/>
        <family val="2"/>
      </rPr>
      <t xml:space="preserve"> 2018</t>
    </r>
  </si>
  <si>
    <t>Based on the invoice data, the ACM calculates the monthly fuel prices. These are used the calculation of the fuel price differences.</t>
  </si>
  <si>
    <t>On this sheet the ACM calculates the income for each task by bringing all relevant data to the same price level.</t>
  </si>
  <si>
    <t>April 2018</t>
  </si>
  <si>
    <t xml:space="preserve">On this sheet the ACM calculates the difference between the estimated and the realized production for SEC for the fuel part in the period June till October 2018. </t>
  </si>
  <si>
    <t>Production price electricity excl fuel</t>
  </si>
  <si>
    <t>Production price 2018</t>
  </si>
  <si>
    <t xml:space="preserve">The ACM corrects the tariffs of 2019 for this difference in costs. </t>
  </si>
  <si>
    <t>In the variable distribution tariff per July 1st 2018, the fuel price differences until May 2018 are taken into account (based on fuel prices until March).</t>
  </si>
  <si>
    <t>Fuel prices SEC 2018 (April - October)</t>
  </si>
  <si>
    <t>Expected production volume by fuel in 2018</t>
  </si>
  <si>
    <t>Expected production volume by solar in 2018</t>
  </si>
  <si>
    <t>Total expected production volume in 2018</t>
  </si>
  <si>
    <t>In the profit sharing model, the ACM has calculated the corrections for volume, profit sharing and fuel costs.</t>
  </si>
  <si>
    <t>Tariff for new connection in 2018</t>
  </si>
  <si>
    <t>Realized production by SEC in 2018</t>
  </si>
  <si>
    <t>Production by fuel - June</t>
  </si>
  <si>
    <t>Production by solar - June</t>
  </si>
  <si>
    <t>Total production June</t>
  </si>
  <si>
    <t>Total production July</t>
  </si>
  <si>
    <t>Total production August</t>
  </si>
  <si>
    <t>Total production September</t>
  </si>
  <si>
    <t>Total production October</t>
  </si>
  <si>
    <t>Production by fuel - July</t>
  </si>
  <si>
    <t>Production by solar - July</t>
  </si>
  <si>
    <t>Production by fuel - August</t>
  </si>
  <si>
    <t>Production by solar - August</t>
  </si>
  <si>
    <t>Production by fuel - September</t>
  </si>
  <si>
    <t>Production by solar - September</t>
  </si>
  <si>
    <t>Production by solar - October</t>
  </si>
  <si>
    <t>Production by fuel - October</t>
  </si>
  <si>
    <t>181 reconnections January-June, 178 reconnections July-Dececember</t>
  </si>
  <si>
    <t>Total RAV</t>
  </si>
  <si>
    <t>Estimated inflation</t>
  </si>
  <si>
    <t>Tariffs SEC 2019</t>
  </si>
  <si>
    <t>Calculation of tariffs</t>
  </si>
  <si>
    <t>OPEX-model SEC t.b.v. tarieven 2019 (definitief)</t>
  </si>
  <si>
    <t xml:space="preserve">RAV-model SEC t.b.v. tarieven 2019 (definitief) </t>
  </si>
  <si>
    <t>Profit Sharing model SEC 2019</t>
  </si>
  <si>
    <t>Decision reference(s)</t>
  </si>
  <si>
    <t>Decisions on production price and fixed and variable distribution tariffs for electricity SEC 2019</t>
  </si>
  <si>
    <t>The ACM has also published the file Profit sharing model SEC 2019, which serves as input for the tariff calculation.</t>
  </si>
  <si>
    <t>ACM/UIT/503807
ACM/UIT/503808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</si>
</sst>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_ * #,##0.000_ ;_ * \-#,##0.000_ ;_ * &quot;-&quot;??_ ;_ @_ "/>
    <numFmt numFmtId="166" formatCode="_ * #,##0_ ;_ * \-#,##0_ ;_ * &quot;-&quot;??_ ;_ @_ "/>
    <numFmt numFmtId="167" formatCode="_ * #,##0.0_ ;_ * \-#,##0.0_ ;_ * &quot;-&quot;??_ ;_ @_ "/>
    <numFmt numFmtId="168" formatCode="_-* #,##0.00_-;_-* #,##0.00\-;_-* &quot;-&quot;??_-;_-@_-"/>
    <numFmt numFmtId="169" formatCode="_(* #,##0.00_);_(* \(#,##0.00\);_(* &quot;-&quot;??_);_(@_)"/>
    <numFmt numFmtId="170" formatCode="_([$€]* #,##0.00_);_([$€]* \(#,##0.00\);_([$€]* &quot;-&quot;??_);_(@_)"/>
    <numFmt numFmtId="171" formatCode="_ * #,##0_ ;_ * \-#,##0_ ;_ * &quot;-&quot;?_ ;_ @_ "/>
    <numFmt numFmtId="172" formatCode="0.0%"/>
    <numFmt numFmtId="173" formatCode="0.0000"/>
    <numFmt numFmtId="174" formatCode="_ * #,##0_ ;_ * \-#,##0_ ;_ * &quot;-&quot;????_ ;_ @_ "/>
  </numFmts>
  <fonts count="72">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MS Sans Serif"/>
      <family val="2"/>
    </font>
    <font>
      <sz val="10"/>
      <name val="Times New Roman"/>
      <family val="1"/>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2"/>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10"/>
      <color rgb="FF000000"/>
      <name val="Arial"/>
      <family val="2"/>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8"/>
      <name val="Arial"/>
      <family val="2"/>
    </font>
    <font>
      <b/>
      <i/>
      <sz val="10"/>
      <name val="Arial"/>
      <family val="2"/>
    </font>
    <font>
      <u/>
      <sz val="10"/>
      <color theme="1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219">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1" borderId="1">
      <alignment vertical="top"/>
    </xf>
    <xf numFmtId="49" fontId="6" fillId="0" borderId="0">
      <alignment vertical="top"/>
    </xf>
    <xf numFmtId="43" fontId="5" fillId="14" borderId="0">
      <alignment vertical="top"/>
    </xf>
    <xf numFmtId="43" fontId="5" fillId="13" borderId="0">
      <alignment vertical="top"/>
    </xf>
    <xf numFmtId="43" fontId="5" fillId="11" borderId="0">
      <alignment vertical="top"/>
    </xf>
    <xf numFmtId="43" fontId="5" fillId="6" borderId="0">
      <alignment vertical="top"/>
    </xf>
    <xf numFmtId="43" fontId="5" fillId="8" borderId="0">
      <alignment vertical="top"/>
    </xf>
    <xf numFmtId="43" fontId="5" fillId="15" borderId="0">
      <alignment vertical="top"/>
    </xf>
    <xf numFmtId="49" fontId="11" fillId="0" borderId="0">
      <alignment vertical="top"/>
    </xf>
    <xf numFmtId="49" fontId="10" fillId="0" borderId="0">
      <alignment vertical="top"/>
    </xf>
    <xf numFmtId="0" fontId="16" fillId="17" borderId="3" applyNumberFormat="0" applyAlignment="0" applyProtection="0"/>
    <xf numFmtId="0" fontId="17" fillId="18" borderId="4" applyNumberFormat="0" applyAlignment="0" applyProtection="0"/>
    <xf numFmtId="0" fontId="18" fillId="18" borderId="3" applyNumberFormat="0" applyAlignment="0" applyProtection="0"/>
    <xf numFmtId="0" fontId="19" fillId="0" borderId="5" applyNumberFormat="0" applyFill="0" applyAlignment="0" applyProtection="0"/>
    <xf numFmtId="0" fontId="13" fillId="19" borderId="6" applyNumberFormat="0" applyAlignment="0" applyProtection="0"/>
    <xf numFmtId="0" fontId="15" fillId="20"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7" fillId="45" borderId="0" applyNumberFormat="0" applyBorder="0" applyAlignment="0" applyProtection="0"/>
    <xf numFmtId="0" fontId="28" fillId="0" borderId="0" applyNumberFormat="0" applyFill="0" applyBorder="0" applyAlignment="0" applyProtection="0"/>
    <xf numFmtId="43" fontId="15" fillId="0" borderId="0" applyFont="0" applyFill="0" applyBorder="0" applyAlignment="0" applyProtection="0"/>
    <xf numFmtId="0" fontId="5" fillId="0" borderId="0"/>
    <xf numFmtId="168" fontId="30" fillId="0" borderId="0" applyFont="0" applyFill="0" applyBorder="0" applyAlignment="0" applyProtection="0"/>
    <xf numFmtId="0" fontId="30" fillId="0" borderId="0"/>
    <xf numFmtId="0" fontId="5" fillId="0" borderId="0"/>
    <xf numFmtId="0" fontId="5" fillId="0" borderId="0"/>
    <xf numFmtId="0" fontId="5" fillId="0" borderId="0"/>
    <xf numFmtId="0" fontId="5" fillId="0" borderId="0"/>
    <xf numFmtId="0" fontId="29" fillId="0" borderId="0"/>
    <xf numFmtId="0" fontId="5" fillId="0" borderId="0"/>
    <xf numFmtId="0" fontId="31" fillId="46"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1" borderId="0" applyNumberFormat="0" applyBorder="0" applyAlignment="0" applyProtection="0"/>
    <xf numFmtId="0" fontId="32" fillId="51" borderId="0" applyNumberFormat="0" applyBorder="0" applyAlignment="0" applyProtection="0"/>
    <xf numFmtId="0" fontId="31" fillId="52" borderId="0" applyNumberFormat="0" applyBorder="0" applyAlignment="0" applyProtection="0"/>
    <xf numFmtId="0" fontId="32" fillId="52" borderId="0" applyNumberFormat="0" applyBorder="0" applyAlignment="0" applyProtection="0"/>
    <xf numFmtId="0" fontId="31" fillId="53" borderId="0" applyNumberFormat="0" applyBorder="0" applyAlignment="0" applyProtection="0"/>
    <xf numFmtId="0" fontId="32" fillId="53" borderId="0" applyNumberFormat="0" applyBorder="0" applyAlignment="0" applyProtection="0"/>
    <xf numFmtId="0" fontId="31" fillId="54" borderId="0" applyNumberFormat="0" applyBorder="0" applyAlignment="0" applyProtection="0"/>
    <xf numFmtId="0" fontId="32" fillId="54"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1" fillId="52" borderId="0" applyNumberFormat="0" applyBorder="0" applyAlignment="0" applyProtection="0"/>
    <xf numFmtId="0" fontId="32" fillId="52" borderId="0" applyNumberFormat="0" applyBorder="0" applyAlignment="0" applyProtection="0"/>
    <xf numFmtId="0" fontId="31" fillId="55" borderId="0" applyNumberFormat="0" applyBorder="0" applyAlignment="0" applyProtection="0"/>
    <xf numFmtId="0" fontId="32" fillId="55" borderId="0" applyNumberFormat="0" applyBorder="0" applyAlignment="0" applyProtection="0"/>
    <xf numFmtId="0" fontId="33" fillId="56" borderId="0" applyNumberFormat="0" applyBorder="0" applyAlignment="0" applyProtection="0"/>
    <xf numFmtId="0" fontId="34" fillId="56" borderId="0" applyNumberFormat="0" applyBorder="0" applyAlignment="0" applyProtection="0"/>
    <xf numFmtId="0" fontId="33" fillId="53" borderId="0" applyNumberFormat="0" applyBorder="0" applyAlignment="0" applyProtection="0"/>
    <xf numFmtId="0" fontId="34" fillId="53" borderId="0" applyNumberFormat="0" applyBorder="0" applyAlignment="0" applyProtection="0"/>
    <xf numFmtId="0" fontId="33" fillId="54" borderId="0" applyNumberFormat="0" applyBorder="0" applyAlignment="0" applyProtection="0"/>
    <xf numFmtId="0" fontId="34" fillId="54" borderId="0" applyNumberFormat="0" applyBorder="0" applyAlignment="0" applyProtection="0"/>
    <xf numFmtId="0" fontId="33" fillId="57" borderId="0" applyNumberFormat="0" applyBorder="0" applyAlignment="0" applyProtection="0"/>
    <xf numFmtId="0" fontId="34" fillId="57" borderId="0" applyNumberFormat="0" applyBorder="0" applyAlignment="0" applyProtection="0"/>
    <xf numFmtId="0" fontId="33" fillId="58" borderId="0" applyNumberFormat="0" applyBorder="0" applyAlignment="0" applyProtection="0"/>
    <xf numFmtId="0" fontId="34" fillId="58" borderId="0" applyNumberFormat="0" applyBorder="0" applyAlignment="0" applyProtection="0"/>
    <xf numFmtId="0" fontId="33" fillId="59" borderId="0" applyNumberFormat="0" applyBorder="0" applyAlignment="0" applyProtection="0"/>
    <xf numFmtId="0" fontId="34" fillId="59" borderId="0" applyNumberFormat="0" applyBorder="0" applyAlignment="0" applyProtection="0"/>
    <xf numFmtId="0" fontId="33" fillId="60" borderId="0" applyNumberFormat="0" applyBorder="0" applyAlignment="0" applyProtection="0"/>
    <xf numFmtId="0" fontId="34" fillId="60"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2" borderId="0" applyNumberFormat="0" applyBorder="0" applyAlignment="0" applyProtection="0"/>
    <xf numFmtId="0" fontId="34" fillId="62" borderId="0" applyNumberFormat="0" applyBorder="0" applyAlignment="0" applyProtection="0"/>
    <xf numFmtId="0" fontId="33" fillId="57" borderId="0" applyNumberFormat="0" applyBorder="0" applyAlignment="0" applyProtection="0"/>
    <xf numFmtId="0" fontId="34" fillId="57" borderId="0" applyNumberFormat="0" applyBorder="0" applyAlignment="0" applyProtection="0"/>
    <xf numFmtId="0" fontId="33" fillId="58" borderId="0" applyNumberFormat="0" applyBorder="0" applyAlignment="0" applyProtection="0"/>
    <xf numFmtId="0" fontId="34" fillId="58" borderId="0" applyNumberFormat="0" applyBorder="0" applyAlignment="0" applyProtection="0"/>
    <xf numFmtId="0" fontId="33" fillId="63" borderId="0" applyNumberFormat="0" applyBorder="0" applyAlignment="0" applyProtection="0"/>
    <xf numFmtId="0" fontId="34" fillId="63" borderId="0" applyNumberFormat="0" applyBorder="0" applyAlignment="0" applyProtection="0"/>
    <xf numFmtId="0" fontId="35" fillId="47" borderId="0" applyNumberFormat="0" applyBorder="0" applyAlignment="0" applyProtection="0"/>
    <xf numFmtId="0" fontId="36" fillId="47" borderId="0" applyNumberFormat="0" applyBorder="0" applyAlignment="0" applyProtection="0"/>
    <xf numFmtId="0" fontId="37" fillId="64" borderId="12" applyNumberFormat="0" applyAlignment="0" applyProtection="0"/>
    <xf numFmtId="0" fontId="37" fillId="64" borderId="12" applyNumberFormat="0" applyAlignment="0" applyProtection="0"/>
    <xf numFmtId="0" fontId="38" fillId="64" borderId="12" applyNumberFormat="0" applyAlignment="0" applyProtection="0"/>
    <xf numFmtId="0" fontId="39" fillId="65" borderId="13" applyNumberFormat="0" applyAlignment="0" applyProtection="0"/>
    <xf numFmtId="0" fontId="40" fillId="65" borderId="13" applyNumberFormat="0" applyAlignment="0" applyProtection="0"/>
    <xf numFmtId="169" fontId="41" fillId="0" borderId="0" applyFont="0" applyFill="0" applyBorder="0" applyAlignment="0" applyProtection="0"/>
    <xf numFmtId="0" fontId="39" fillId="65" borderId="13" applyNumberFormat="0" applyAlignment="0" applyProtection="0"/>
    <xf numFmtId="170" fontId="5" fillId="0" borderId="0" applyFont="0" applyFill="0" applyBorder="0" applyAlignment="0" applyProtection="0"/>
    <xf numFmtId="170" fontId="5"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4" applyNumberFormat="0" applyFill="0" applyAlignment="0" applyProtection="0"/>
    <xf numFmtId="0" fontId="45" fillId="48" borderId="0" applyNumberFormat="0" applyBorder="0" applyAlignment="0" applyProtection="0"/>
    <xf numFmtId="0" fontId="45" fillId="48" borderId="0" applyNumberFormat="0" applyBorder="0" applyAlignment="0" applyProtection="0"/>
    <xf numFmtId="0" fontId="46" fillId="48" borderId="0" applyNumberFormat="0" applyBorder="0" applyAlignment="0" applyProtection="0"/>
    <xf numFmtId="0" fontId="47" fillId="0" borderId="0"/>
    <xf numFmtId="0" fontId="48" fillId="0" borderId="15"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0" fontId="53" fillId="0" borderId="17"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51" borderId="12" applyNumberFormat="0" applyAlignment="0" applyProtection="0"/>
    <xf numFmtId="0" fontId="55" fillId="51" borderId="12" applyNumberFormat="0" applyAlignment="0" applyProtection="0"/>
    <xf numFmtId="0" fontId="54" fillId="51" borderId="12" applyNumberFormat="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15" fillId="0" borderId="0" applyFont="0" applyFill="0" applyBorder="0" applyAlignment="0" applyProtection="0"/>
    <xf numFmtId="168" fontId="5" fillId="0" borderId="0" applyFont="0" applyFill="0" applyBorder="0" applyAlignment="0" applyProtection="0"/>
    <xf numFmtId="0" fontId="48" fillId="0" borderId="15" applyNumberFormat="0" applyFill="0" applyAlignment="0" applyProtection="0"/>
    <xf numFmtId="0" fontId="50" fillId="0" borderId="16" applyNumberFormat="0" applyFill="0" applyAlignment="0" applyProtection="0"/>
    <xf numFmtId="0" fontId="52" fillId="0" borderId="17" applyNumberFormat="0" applyFill="0" applyAlignment="0" applyProtection="0"/>
    <xf numFmtId="0" fontId="52" fillId="0" borderId="0" applyNumberFormat="0" applyFill="0" applyBorder="0" applyAlignment="0" applyProtection="0"/>
    <xf numFmtId="0" fontId="44" fillId="0" borderId="14" applyNumberFormat="0" applyFill="0" applyAlignment="0" applyProtection="0"/>
    <xf numFmtId="0" fontId="56" fillId="0" borderId="14" applyNumberFormat="0" applyFill="0" applyAlignment="0" applyProtection="0"/>
    <xf numFmtId="0" fontId="57" fillId="66" borderId="0" applyNumberFormat="0" applyBorder="0" applyAlignment="0" applyProtection="0"/>
    <xf numFmtId="0" fontId="57" fillId="66" borderId="0" applyNumberFormat="0" applyBorder="0" applyAlignment="0" applyProtection="0"/>
    <xf numFmtId="0" fontId="58" fillId="66" borderId="0" applyNumberFormat="0" applyBorder="0" applyAlignment="0" applyProtection="0"/>
    <xf numFmtId="0" fontId="59" fillId="0" borderId="0"/>
    <xf numFmtId="0" fontId="60" fillId="0" borderId="0"/>
    <xf numFmtId="0" fontId="5" fillId="67" borderId="18" applyNumberFormat="0" applyFont="0" applyAlignment="0" applyProtection="0"/>
    <xf numFmtId="0" fontId="41" fillId="67" borderId="18" applyNumberFormat="0" applyFont="0" applyAlignment="0" applyProtection="0"/>
    <xf numFmtId="0" fontId="5" fillId="67" borderId="18" applyNumberFormat="0" applyFont="0" applyAlignment="0" applyProtection="0"/>
    <xf numFmtId="0" fontId="35" fillId="47" borderId="0" applyNumberFormat="0" applyBorder="0" applyAlignment="0" applyProtection="0"/>
    <xf numFmtId="0" fontId="61" fillId="64" borderId="19" applyNumberFormat="0" applyAlignment="0" applyProtection="0"/>
    <xf numFmtId="0" fontId="62" fillId="64" borderId="1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0" fontId="63" fillId="0" borderId="0"/>
    <xf numFmtId="0" fontId="63" fillId="0" borderId="0"/>
    <xf numFmtId="0" fontId="5" fillId="0" borderId="0"/>
    <xf numFmtId="0" fontId="5" fillId="0" borderId="0"/>
    <xf numFmtId="0" fontId="5" fillId="0" borderId="0"/>
    <xf numFmtId="0" fontId="5" fillId="0" borderId="0" applyFill="0"/>
    <xf numFmtId="0" fontId="15"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20" applyNumberFormat="0" applyFill="0" applyAlignment="0" applyProtection="0"/>
    <xf numFmtId="0" fontId="65" fillId="0" borderId="20" applyNumberFormat="0" applyFill="0" applyAlignment="0" applyProtection="0"/>
    <xf numFmtId="0" fontId="66" fillId="0" borderId="20" applyNumberFormat="0" applyFill="0" applyAlignment="0" applyProtection="0"/>
    <xf numFmtId="0" fontId="61" fillId="64" borderId="19" applyNumberFormat="0" applyAlignment="0" applyProtection="0"/>
    <xf numFmtId="0" fontId="4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ont="0" applyBorder="0" applyAlignment="0" applyProtection="0"/>
    <xf numFmtId="0" fontId="5" fillId="0" borderId="0"/>
    <xf numFmtId="0" fontId="5" fillId="0" borderId="0"/>
    <xf numFmtId="44" fontId="5" fillId="0" borderId="0" applyFont="0" applyFill="0" applyBorder="0" applyAlignment="0" applyProtection="0"/>
    <xf numFmtId="49" fontId="6" fillId="21" borderId="1">
      <alignment vertical="top"/>
    </xf>
    <xf numFmtId="169" fontId="5" fillId="0" borderId="0" applyFont="0" applyFill="0" applyBorder="0" applyAlignment="0" applyProtection="0"/>
    <xf numFmtId="0" fontId="5" fillId="0" borderId="0"/>
    <xf numFmtId="0" fontId="1" fillId="0" borderId="0">
      <alignment vertical="top"/>
    </xf>
    <xf numFmtId="49" fontId="71" fillId="0" borderId="0" applyFill="0" applyBorder="0" applyAlignment="0" applyProtection="0"/>
    <xf numFmtId="43" fontId="5" fillId="68" borderId="0" applyNumberFormat="0">
      <alignment vertical="top"/>
    </xf>
    <xf numFmtId="43" fontId="5" fillId="13" borderId="0" applyFont="0" applyFill="0" applyBorder="0" applyAlignment="0" applyProtection="0">
      <alignment vertical="top"/>
    </xf>
    <xf numFmtId="43" fontId="30" fillId="0" borderId="0" applyFont="0" applyFill="0" applyBorder="0" applyAlignment="0" applyProtection="0"/>
    <xf numFmtId="0" fontId="15" fillId="0" borderId="0"/>
    <xf numFmtId="0" fontId="15" fillId="0" borderId="0"/>
    <xf numFmtId="10" fontId="5" fillId="0" borderId="0" applyFont="0" applyFill="0" applyBorder="0" applyAlignment="0" applyProtection="0">
      <alignment vertical="top"/>
    </xf>
    <xf numFmtId="49" fontId="9" fillId="5" borderId="21">
      <alignment vertical="top"/>
    </xf>
    <xf numFmtId="49" fontId="6" fillId="21" borderId="21">
      <alignment vertical="top"/>
    </xf>
    <xf numFmtId="0" fontId="15" fillId="0" borderId="0"/>
    <xf numFmtId="43" fontId="15" fillId="0" borderId="0" applyFont="0" applyFill="0" applyBorder="0" applyAlignment="0" applyProtection="0"/>
    <xf numFmtId="9" fontId="15" fillId="0" borderId="0" applyFont="0" applyFill="0" applyBorder="0" applyAlignment="0" applyProtection="0"/>
    <xf numFmtId="0" fontId="20" fillId="0" borderId="0" applyNumberFormat="0" applyFill="0" applyBorder="0" applyAlignment="0" applyProtection="0"/>
    <xf numFmtId="168" fontId="5" fillId="0" borderId="0" applyFont="0" applyFill="0" applyBorder="0" applyAlignment="0" applyProtection="0"/>
    <xf numFmtId="0" fontId="63" fillId="0" borderId="0"/>
    <xf numFmtId="0" fontId="63" fillId="0" borderId="0"/>
    <xf numFmtId="0" fontId="5" fillId="0" borderId="0"/>
  </cellStyleXfs>
  <cellXfs count="138">
    <xf numFmtId="0" fontId="0" fillId="0" borderId="0" xfId="0"/>
    <xf numFmtId="0" fontId="6" fillId="0" borderId="0" xfId="4" applyFont="1">
      <alignment vertical="top"/>
    </xf>
    <xf numFmtId="0" fontId="5" fillId="0" borderId="0" xfId="4">
      <alignment vertical="top"/>
    </xf>
    <xf numFmtId="0" fontId="7" fillId="0" borderId="0" xfId="4" applyFont="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1" borderId="1" xfId="6">
      <alignment vertical="top"/>
    </xf>
    <xf numFmtId="0" fontId="5" fillId="0" borderId="0" xfId="4" applyFill="1">
      <alignment vertical="top"/>
    </xf>
    <xf numFmtId="0" fontId="5" fillId="0" borderId="2" xfId="4" applyBorder="1" applyAlignment="1">
      <alignment horizontal="left" vertical="top" wrapText="1"/>
    </xf>
    <xf numFmtId="0" fontId="9" fillId="5" borderId="1" xfId="4" applyFont="1" applyFill="1" applyBorder="1">
      <alignment vertical="top"/>
    </xf>
    <xf numFmtId="0" fontId="8" fillId="5" borderId="1" xfId="4" applyFont="1" applyFill="1" applyBorder="1">
      <alignment vertical="top"/>
    </xf>
    <xf numFmtId="0" fontId="11" fillId="0" borderId="0" xfId="4" applyFont="1" applyFill="1">
      <alignment vertical="top"/>
    </xf>
    <xf numFmtId="0" fontId="5" fillId="7" borderId="0" xfId="4" applyFill="1">
      <alignment vertical="top"/>
    </xf>
    <xf numFmtId="2" fontId="5" fillId="12" borderId="0" xfId="4" applyNumberFormat="1" applyFill="1">
      <alignment vertical="top"/>
    </xf>
    <xf numFmtId="1" fontId="5" fillId="0" borderId="0" xfId="4" applyNumberFormat="1" applyFill="1">
      <alignment vertical="top"/>
    </xf>
    <xf numFmtId="0" fontId="9" fillId="5" borderId="1" xfId="5" applyNumberFormat="1">
      <alignment vertical="top"/>
    </xf>
    <xf numFmtId="0" fontId="14" fillId="0" borderId="0" xfId="4" applyFont="1">
      <alignment vertical="top"/>
    </xf>
    <xf numFmtId="0" fontId="5" fillId="16" borderId="0" xfId="4" applyFill="1">
      <alignment vertical="top"/>
    </xf>
    <xf numFmtId="0" fontId="5" fillId="0" borderId="0" xfId="4" applyFont="1">
      <alignment vertical="top"/>
    </xf>
    <xf numFmtId="49" fontId="5" fillId="21"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1" fillId="0" borderId="0" xfId="14">
      <alignment vertical="top"/>
    </xf>
    <xf numFmtId="49" fontId="6" fillId="0" borderId="0" xfId="7">
      <alignment vertical="top"/>
    </xf>
    <xf numFmtId="0" fontId="5" fillId="0" borderId="2" xfId="4" applyFont="1" applyBorder="1" applyAlignment="1">
      <alignment horizontal="left" vertical="top" wrapText="1"/>
    </xf>
    <xf numFmtId="43" fontId="5" fillId="6" borderId="0" xfId="11">
      <alignment vertical="top"/>
    </xf>
    <xf numFmtId="164" fontId="5" fillId="13" borderId="0" xfId="9" applyNumberFormat="1">
      <alignment vertical="top"/>
    </xf>
    <xf numFmtId="165" fontId="5" fillId="13" borderId="0" xfId="9" applyNumberFormat="1">
      <alignment vertical="top"/>
    </xf>
    <xf numFmtId="165" fontId="5" fillId="6" borderId="0" xfId="11" applyNumberFormat="1">
      <alignment vertical="top"/>
    </xf>
    <xf numFmtId="166" fontId="5" fillId="13" borderId="0" xfId="9" applyNumberFormat="1">
      <alignment vertical="top"/>
    </xf>
    <xf numFmtId="164" fontId="5" fillId="15" borderId="0" xfId="13" applyNumberFormat="1">
      <alignment vertical="top"/>
    </xf>
    <xf numFmtId="43" fontId="5" fillId="15" borderId="0" xfId="13">
      <alignment vertical="top"/>
    </xf>
    <xf numFmtId="166" fontId="14" fillId="21" borderId="0" xfId="11" applyNumberFormat="1" applyFont="1" applyFill="1">
      <alignment vertical="top"/>
    </xf>
    <xf numFmtId="43" fontId="5" fillId="14" borderId="0" xfId="8">
      <alignment vertical="top"/>
    </xf>
    <xf numFmtId="164" fontId="5" fillId="14" borderId="0" xfId="8" applyNumberFormat="1">
      <alignment vertical="top"/>
    </xf>
    <xf numFmtId="166" fontId="5" fillId="14" borderId="0" xfId="8" applyNumberFormat="1">
      <alignment vertical="top"/>
    </xf>
    <xf numFmtId="166" fontId="5" fillId="15" borderId="0" xfId="13" applyNumberFormat="1">
      <alignment vertical="top"/>
    </xf>
    <xf numFmtId="167" fontId="5" fillId="15" borderId="0" xfId="13" applyNumberFormat="1">
      <alignment vertical="top"/>
    </xf>
    <xf numFmtId="165" fontId="5" fillId="15" borderId="0" xfId="13" applyNumberFormat="1">
      <alignment vertical="top"/>
    </xf>
    <xf numFmtId="166" fontId="5" fillId="6" borderId="0" xfId="11" applyNumberFormat="1">
      <alignment vertical="top"/>
    </xf>
    <xf numFmtId="171" fontId="5" fillId="13" borderId="0" xfId="61" applyNumberFormat="1" applyFont="1" applyFill="1" applyAlignment="1">
      <alignment vertical="top"/>
    </xf>
    <xf numFmtId="172" fontId="5" fillId="6" borderId="0" xfId="11" applyNumberFormat="1">
      <alignment vertical="top"/>
    </xf>
    <xf numFmtId="166" fontId="5" fillId="6" borderId="0" xfId="11" applyNumberFormat="1" applyFont="1">
      <alignment vertical="top"/>
    </xf>
    <xf numFmtId="166" fontId="5" fillId="0" borderId="0" xfId="4" applyNumberFormat="1">
      <alignment vertical="top"/>
    </xf>
    <xf numFmtId="167" fontId="5" fillId="6" borderId="0" xfId="11" applyNumberFormat="1">
      <alignment vertical="top"/>
    </xf>
    <xf numFmtId="49" fontId="9" fillId="5" borderId="1" xfId="5" applyFont="1">
      <alignment vertical="top"/>
    </xf>
    <xf numFmtId="49" fontId="6" fillId="21" borderId="1" xfId="198">
      <alignment vertical="top"/>
    </xf>
    <xf numFmtId="49" fontId="6" fillId="21" borderId="1" xfId="198" applyFont="1">
      <alignment vertical="top"/>
    </xf>
    <xf numFmtId="0" fontId="26" fillId="0" borderId="0" xfId="0" applyFont="1"/>
    <xf numFmtId="0" fontId="1" fillId="0" borderId="0" xfId="0" applyFont="1"/>
    <xf numFmtId="0" fontId="5" fillId="0" borderId="0" xfId="0" applyFont="1"/>
    <xf numFmtId="49" fontId="6" fillId="21" borderId="1" xfId="198" applyAlignment="1">
      <alignment vertical="top" wrapText="1"/>
    </xf>
    <xf numFmtId="173" fontId="5" fillId="14" borderId="0" xfId="4" applyNumberFormat="1" applyFill="1">
      <alignment vertical="top"/>
    </xf>
    <xf numFmtId="173" fontId="5" fillId="0" borderId="0" xfId="4" applyNumberFormat="1">
      <alignment vertical="top"/>
    </xf>
    <xf numFmtId="164" fontId="5" fillId="0" borderId="0" xfId="4" applyNumberFormat="1">
      <alignment vertical="top"/>
    </xf>
    <xf numFmtId="164" fontId="5" fillId="0" borderId="0" xfId="12" applyNumberFormat="1" applyFill="1">
      <alignment vertical="top"/>
    </xf>
    <xf numFmtId="0" fontId="70" fillId="0" borderId="0" xfId="4" applyFont="1">
      <alignment vertical="top"/>
    </xf>
    <xf numFmtId="166" fontId="5" fillId="15" borderId="0" xfId="61" applyNumberFormat="1" applyFont="1" applyFill="1" applyAlignment="1">
      <alignment vertical="top"/>
    </xf>
    <xf numFmtId="166" fontId="5" fillId="15" borderId="0" xfId="4" applyNumberFormat="1" applyFill="1">
      <alignment vertical="top"/>
    </xf>
    <xf numFmtId="164" fontId="5" fillId="13" borderId="0" xfId="4" applyNumberFormat="1" applyFill="1">
      <alignment vertical="top"/>
    </xf>
    <xf numFmtId="164" fontId="5" fillId="0" borderId="0" xfId="4" applyNumberFormat="1" applyFill="1">
      <alignment vertical="top"/>
    </xf>
    <xf numFmtId="174" fontId="5" fillId="13" borderId="0" xfId="4" applyNumberFormat="1" applyFill="1">
      <alignment vertical="top"/>
    </xf>
    <xf numFmtId="174" fontId="5" fillId="14" borderId="0" xfId="4" applyNumberFormat="1" applyFill="1">
      <alignment vertical="top"/>
    </xf>
    <xf numFmtId="164" fontId="5" fillId="0" borderId="0" xfId="13" applyNumberFormat="1" applyFill="1">
      <alignment vertical="top"/>
    </xf>
    <xf numFmtId="166" fontId="5" fillId="0" borderId="0" xfId="9" applyNumberFormat="1" applyFill="1">
      <alignment vertical="top"/>
    </xf>
    <xf numFmtId="0" fontId="1" fillId="0" borderId="0" xfId="0" applyFont="1" applyFill="1"/>
    <xf numFmtId="166" fontId="5" fillId="0" borderId="0" xfId="11" applyNumberFormat="1" applyFill="1">
      <alignment vertical="top"/>
    </xf>
    <xf numFmtId="166" fontId="5" fillId="0" borderId="0" xfId="4" applyNumberFormat="1" applyFill="1">
      <alignment vertical="top"/>
    </xf>
    <xf numFmtId="166" fontId="5" fillId="0" borderId="0" xfId="13" applyNumberFormat="1" applyFill="1">
      <alignment vertical="top"/>
    </xf>
    <xf numFmtId="174" fontId="5" fillId="0" borderId="0" xfId="4" applyNumberFormat="1" applyFill="1">
      <alignment vertical="top"/>
    </xf>
    <xf numFmtId="49" fontId="6" fillId="0" borderId="0" xfId="7">
      <alignment vertical="top"/>
    </xf>
    <xf numFmtId="49" fontId="6" fillId="21" borderId="1" xfId="6">
      <alignment vertical="top"/>
    </xf>
    <xf numFmtId="0" fontId="5" fillId="0" borderId="0" xfId="4" applyFill="1">
      <alignment vertical="top"/>
    </xf>
    <xf numFmtId="0" fontId="5" fillId="0" borderId="0" xfId="4">
      <alignment vertical="top"/>
    </xf>
    <xf numFmtId="166" fontId="5" fillId="6" borderId="0" xfId="11" applyNumberFormat="1">
      <alignment vertical="top"/>
    </xf>
    <xf numFmtId="166" fontId="5" fillId="13" borderId="0" xfId="9" applyNumberFormat="1">
      <alignment vertical="top"/>
    </xf>
    <xf numFmtId="166" fontId="5" fillId="14" borderId="0" xfId="8" applyNumberFormat="1">
      <alignment vertical="top"/>
    </xf>
    <xf numFmtId="43" fontId="5" fillId="68" borderId="0" xfId="203">
      <alignment vertical="top"/>
    </xf>
    <xf numFmtId="0" fontId="5" fillId="68" borderId="0" xfId="203" applyNumberFormat="1">
      <alignment vertical="top"/>
    </xf>
    <xf numFmtId="49" fontId="6" fillId="21" borderId="1" xfId="6" applyFont="1">
      <alignment vertical="top"/>
    </xf>
    <xf numFmtId="0" fontId="5" fillId="0" borderId="0" xfId="4" applyFont="1" applyFill="1">
      <alignment vertical="top"/>
    </xf>
    <xf numFmtId="49" fontId="6" fillId="21" borderId="1" xfId="198" applyFont="1" applyAlignment="1">
      <alignment vertical="top" wrapText="1"/>
    </xf>
    <xf numFmtId="49" fontId="9" fillId="5" borderId="21" xfId="5" applyBorder="1">
      <alignment vertical="top"/>
    </xf>
    <xf numFmtId="49" fontId="6" fillId="21" borderId="21" xfId="6" applyBorder="1">
      <alignment vertical="top"/>
    </xf>
    <xf numFmtId="0" fontId="5" fillId="69" borderId="0" xfId="4" applyFill="1">
      <alignment vertical="top"/>
    </xf>
    <xf numFmtId="49" fontId="6" fillId="21" borderId="21" xfId="198" applyBorder="1">
      <alignment vertical="top"/>
    </xf>
    <xf numFmtId="0" fontId="0" fillId="0" borderId="0" xfId="0" applyAlignment="1">
      <alignment vertical="top"/>
    </xf>
    <xf numFmtId="49" fontId="10" fillId="0" borderId="0" xfId="15">
      <alignment vertical="top"/>
    </xf>
    <xf numFmtId="172" fontId="5" fillId="6" borderId="0" xfId="208" applyNumberFormat="1" applyFill="1">
      <alignment vertical="top"/>
    </xf>
    <xf numFmtId="49" fontId="6" fillId="21" borderId="1" xfId="6" applyAlignment="1">
      <alignment vertical="top" wrapText="1"/>
    </xf>
    <xf numFmtId="10" fontId="5" fillId="6" borderId="0" xfId="208" applyFill="1">
      <alignment vertical="top"/>
    </xf>
    <xf numFmtId="172" fontId="5" fillId="15" borderId="0" xfId="208" applyNumberFormat="1" applyFill="1">
      <alignment vertical="top"/>
    </xf>
    <xf numFmtId="166" fontId="5" fillId="69" borderId="0" xfId="11" applyNumberFormat="1" applyFill="1">
      <alignment vertical="top"/>
    </xf>
    <xf numFmtId="172" fontId="5" fillId="15" borderId="0" xfId="13" applyNumberFormat="1">
      <alignment vertical="top"/>
    </xf>
    <xf numFmtId="164" fontId="5" fillId="69" borderId="0" xfId="4" applyNumberFormat="1" applyFill="1">
      <alignment vertical="top"/>
    </xf>
    <xf numFmtId="166" fontId="5" fillId="69" borderId="0" xfId="4" applyNumberFormat="1" applyFill="1">
      <alignment vertical="top"/>
    </xf>
    <xf numFmtId="173" fontId="5" fillId="69" borderId="0" xfId="4" applyNumberFormat="1" applyFill="1">
      <alignment vertical="top"/>
    </xf>
    <xf numFmtId="0" fontId="5" fillId="0" borderId="2" xfId="4" applyBorder="1" applyAlignment="1">
      <alignment vertical="top" wrapText="1"/>
    </xf>
    <xf numFmtId="0" fontId="5" fillId="0" borderId="0" xfId="4" applyBorder="1" applyAlignment="1">
      <alignment vertical="top"/>
    </xf>
    <xf numFmtId="0" fontId="5" fillId="0" borderId="0" xfId="4" applyBorder="1">
      <alignment vertical="top"/>
    </xf>
    <xf numFmtId="0" fontId="5" fillId="0" borderId="2" xfId="4" applyFill="1" applyBorder="1">
      <alignment vertical="top"/>
    </xf>
    <xf numFmtId="0" fontId="14" fillId="0" borderId="2" xfId="4" applyFont="1" applyBorder="1">
      <alignment vertical="top"/>
    </xf>
    <xf numFmtId="49" fontId="71" fillId="0" borderId="0" xfId="202" applyAlignment="1">
      <alignment vertical="top"/>
    </xf>
    <xf numFmtId="10" fontId="5" fillId="15" borderId="0" xfId="208" applyFill="1">
      <alignment vertical="top"/>
    </xf>
    <xf numFmtId="43" fontId="5" fillId="13" borderId="0" xfId="9">
      <alignment vertical="top"/>
    </xf>
    <xf numFmtId="0" fontId="1" fillId="0" borderId="0" xfId="4" applyFont="1">
      <alignment vertical="top"/>
    </xf>
    <xf numFmtId="164" fontId="5" fillId="6" borderId="0" xfId="11" applyNumberFormat="1">
      <alignment vertical="top"/>
    </xf>
    <xf numFmtId="0" fontId="6" fillId="0" borderId="0" xfId="4" applyFont="1">
      <alignment vertical="top"/>
    </xf>
    <xf numFmtId="49" fontId="6" fillId="21" borderId="1" xfId="6">
      <alignment vertical="top"/>
    </xf>
    <xf numFmtId="49" fontId="6" fillId="0" borderId="0" xfId="7">
      <alignment vertical="top"/>
    </xf>
    <xf numFmtId="0" fontId="5" fillId="0" borderId="0" xfId="4">
      <alignment vertical="top"/>
    </xf>
    <xf numFmtId="166" fontId="5" fillId="13" borderId="0" xfId="9" applyNumberFormat="1">
      <alignment vertical="top"/>
    </xf>
    <xf numFmtId="166" fontId="5" fillId="14" borderId="0" xfId="8" applyNumberFormat="1">
      <alignment vertical="top"/>
    </xf>
    <xf numFmtId="0" fontId="5" fillId="0" borderId="0" xfId="4" applyBorder="1">
      <alignment vertical="top"/>
    </xf>
    <xf numFmtId="49" fontId="9" fillId="5" borderId="21" xfId="209">
      <alignment vertical="top"/>
    </xf>
    <xf numFmtId="49" fontId="6" fillId="21" borderId="21" xfId="210">
      <alignment vertical="top"/>
    </xf>
    <xf numFmtId="49" fontId="13" fillId="5" borderId="21" xfId="209" applyFont="1">
      <alignment vertical="top"/>
    </xf>
    <xf numFmtId="49" fontId="5" fillId="21" borderId="2" xfId="210" applyFont="1" applyBorder="1">
      <alignment vertical="top"/>
    </xf>
    <xf numFmtId="49" fontId="13" fillId="5" borderId="1" xfId="5" applyFont="1">
      <alignment vertical="top"/>
    </xf>
    <xf numFmtId="9" fontId="5" fillId="0" borderId="0" xfId="4" applyNumberFormat="1">
      <alignment vertical="top"/>
    </xf>
    <xf numFmtId="43" fontId="5" fillId="6" borderId="0" xfId="204" applyFill="1">
      <alignment vertical="top"/>
    </xf>
    <xf numFmtId="43" fontId="5" fillId="15" borderId="0" xfId="204" applyFill="1">
      <alignment vertical="top"/>
    </xf>
    <xf numFmtId="43" fontId="5" fillId="13" borderId="0" xfId="204" applyFill="1">
      <alignment vertical="top"/>
    </xf>
    <xf numFmtId="43" fontId="5" fillId="11" borderId="0" xfId="10">
      <alignment vertical="top"/>
    </xf>
    <xf numFmtId="43" fontId="5" fillId="8" borderId="0" xfId="12">
      <alignment vertical="top"/>
    </xf>
    <xf numFmtId="0" fontId="5" fillId="10" borderId="0" xfId="4" applyFont="1" applyFill="1">
      <alignment vertical="top"/>
    </xf>
    <xf numFmtId="0" fontId="5" fillId="9" borderId="0" xfId="4" applyFont="1" applyFill="1">
      <alignment vertical="top"/>
    </xf>
    <xf numFmtId="0" fontId="5" fillId="13" borderId="0" xfId="4" applyFont="1" applyFill="1">
      <alignment vertical="top"/>
    </xf>
    <xf numFmtId="49" fontId="5" fillId="21" borderId="0" xfId="6" applyFont="1" applyBorder="1">
      <alignment vertical="top"/>
    </xf>
    <xf numFmtId="0" fontId="5" fillId="0" borderId="0" xfId="4" applyFont="1" applyFill="1" applyBorder="1" applyAlignment="1">
      <alignment horizontal="left" vertical="top"/>
    </xf>
    <xf numFmtId="0" fontId="5" fillId="0" borderId="0" xfId="4" applyFont="1" applyFill="1" applyBorder="1" applyAlignment="1">
      <alignment horizontal="left" vertical="top" wrapText="1"/>
    </xf>
    <xf numFmtId="0" fontId="5" fillId="0" borderId="2" xfId="4" applyFont="1" applyBorder="1" applyAlignment="1">
      <alignment vertical="top" wrapText="1"/>
    </xf>
    <xf numFmtId="14" fontId="5" fillId="0" borderId="2" xfId="4" applyNumberFormat="1" applyBorder="1" applyAlignment="1">
      <alignment vertical="top" wrapText="1"/>
    </xf>
    <xf numFmtId="0" fontId="5" fillId="0" borderId="0" xfId="4" applyAlignment="1">
      <alignment horizontal="right" vertical="top"/>
    </xf>
    <xf numFmtId="49" fontId="6" fillId="21" borderId="1" xfId="198" applyAlignment="1">
      <alignment horizontal="right" vertical="top"/>
    </xf>
    <xf numFmtId="0" fontId="5" fillId="0" borderId="22" xfId="4" applyBorder="1" applyAlignment="1">
      <alignment horizontal="left" vertical="top" wrapText="1"/>
    </xf>
  </cellXfs>
  <cellStyles count="219">
    <cellStyle name="_x000d__x000a_JournalTemplate=C:\COMFO\CTALK\JOURSTD.TPL_x000d__x000a_LbStateAddress=3 3 0 251 1 89 2 311_x000d__x000a_LbStateJou" xfId="65"/>
    <cellStyle name="_x000d__x000a_JournalTemplate=C:\COMFO\CTALK\JOURSTD.TPL_x000d__x000a_LbStateAddress=3 3 0 251 1 89 2 311_x000d__x000a_LbStateJou 2" xfId="66"/>
    <cellStyle name="_x000d__x000a_JournalTemplate=C:\COMFO\CTALK\JOURSTD.TPL_x000d__x000a_LbStateAddress=3 3 0 251 1 89 2 311_x000d__x000a_LbStateJou 2 2" xfId="67"/>
    <cellStyle name="_x000d__x000a_JournalTemplate=C:\COMFO\CTALK\JOURSTD.TPL_x000d__x000a_LbStateAddress=3 3 0 251 1 89 2 311_x000d__x000a_LbStateJou 3" xfId="68"/>
    <cellStyle name="_x000d__x000a_JournalTemplate=C:\COMFO\CTALK\JOURSTD.TPL_x000d__x000a_LbStateAddress=3 3 0 251 1 89 2 311_x000d__x000a_LbStateJou 4" xfId="69"/>
    <cellStyle name="_x000d__x000a_JournalTemplate=C:\COMFO\CTALK\JOURSTD.TPL_x000d__x000a_LbStateAddress=3 3 0 251 1 89 2 311_x000d__x000a_LbStateJou_100720 berekening x-factoren NG4R v4.2" xfId="70"/>
    <cellStyle name="_kop1 Bladtitel" xfId="5"/>
    <cellStyle name="_kop1 Bladtitel 2" xfId="209"/>
    <cellStyle name="_kop2 Bloktitel" xfId="6"/>
    <cellStyle name="_kop2 Bloktitel 2" xfId="198"/>
    <cellStyle name="_kop2 Bloktitel 3" xfId="210"/>
    <cellStyle name="_kop3 Subkop" xfId="7"/>
    <cellStyle name="20% - Accent1" xfId="37" builtinId="30" hidden="1"/>
    <cellStyle name="20% - Accent1 2" xfId="71"/>
    <cellStyle name="20% - Accent1 3" xfId="72"/>
    <cellStyle name="20% - Accent2" xfId="41" builtinId="34" hidden="1"/>
    <cellStyle name="20% - Accent2 2" xfId="73"/>
    <cellStyle name="20% - Accent2 3" xfId="74"/>
    <cellStyle name="20% - Accent3" xfId="45" builtinId="38" hidden="1"/>
    <cellStyle name="20% - Accent3 2" xfId="75"/>
    <cellStyle name="20% - Accent3 3" xfId="76"/>
    <cellStyle name="20% - Accent4" xfId="49" builtinId="42" hidden="1"/>
    <cellStyle name="20% - Accent4 2" xfId="77"/>
    <cellStyle name="20% - Accent4 3" xfId="78"/>
    <cellStyle name="20% - Accent5" xfId="53" builtinId="46" hidden="1"/>
    <cellStyle name="20% - Accent5 2" xfId="79"/>
    <cellStyle name="20% - Accent5 3" xfId="80"/>
    <cellStyle name="20% - Accent6" xfId="57" builtinId="50" hidden="1"/>
    <cellStyle name="20% - Accent6 2" xfId="81"/>
    <cellStyle name="20% - Accent6 3" xfId="82"/>
    <cellStyle name="40% - Accent1" xfId="38" builtinId="31" hidden="1"/>
    <cellStyle name="40% - Accent1 2" xfId="83"/>
    <cellStyle name="40% - Accent1 3" xfId="84"/>
    <cellStyle name="40% - Accent2" xfId="42" builtinId="35" hidden="1"/>
    <cellStyle name="40% - Accent2 2" xfId="85"/>
    <cellStyle name="40% - Accent2 3" xfId="86"/>
    <cellStyle name="40% - Accent3" xfId="46" builtinId="39" hidden="1"/>
    <cellStyle name="40% - Accent3 2" xfId="87"/>
    <cellStyle name="40% - Accent3 3" xfId="88"/>
    <cellStyle name="40% - Accent4" xfId="50" builtinId="43" hidden="1"/>
    <cellStyle name="40% - Accent4 2" xfId="89"/>
    <cellStyle name="40% - Accent4 3" xfId="90"/>
    <cellStyle name="40% - Accent5" xfId="54" builtinId="47" hidden="1"/>
    <cellStyle name="40% - Accent5 2" xfId="91"/>
    <cellStyle name="40% - Accent5 3" xfId="92"/>
    <cellStyle name="40% - Accent6" xfId="58" builtinId="51" hidden="1"/>
    <cellStyle name="40% - Accent6 2" xfId="93"/>
    <cellStyle name="40% - Accent6 3" xfId="94"/>
    <cellStyle name="60% - Accent1" xfId="39" builtinId="32" hidden="1"/>
    <cellStyle name="60% - Accent1 2" xfId="95"/>
    <cellStyle name="60% - Accent1 3" xfId="96"/>
    <cellStyle name="60% - Accent2" xfId="43" builtinId="36" hidden="1"/>
    <cellStyle name="60% - Accent2 2" xfId="97"/>
    <cellStyle name="60% - Accent2 3" xfId="98"/>
    <cellStyle name="60% - Accent3" xfId="47" builtinId="40" hidden="1"/>
    <cellStyle name="60% - Accent3 2" xfId="99"/>
    <cellStyle name="60% - Accent3 3" xfId="100"/>
    <cellStyle name="60% - Accent4" xfId="51" builtinId="44" hidden="1"/>
    <cellStyle name="60% - Accent4 2" xfId="101"/>
    <cellStyle name="60% - Accent4 3" xfId="102"/>
    <cellStyle name="60% - Accent5" xfId="55" builtinId="48" hidden="1"/>
    <cellStyle name="60% - Accent5 2" xfId="103"/>
    <cellStyle name="60% - Accent5 3" xfId="104"/>
    <cellStyle name="60% - Accent6" xfId="59" builtinId="52" hidden="1"/>
    <cellStyle name="60% - Accent6 2" xfId="105"/>
    <cellStyle name="60% - Accent6 3" xfId="106"/>
    <cellStyle name="Accent1" xfId="36" builtinId="29" hidden="1"/>
    <cellStyle name="Accent1 2" xfId="107"/>
    <cellStyle name="Accent1 3" xfId="108"/>
    <cellStyle name="Accent2" xfId="40" builtinId="33" hidden="1"/>
    <cellStyle name="Accent2 2" xfId="109"/>
    <cellStyle name="Accent2 3" xfId="110"/>
    <cellStyle name="Accent3" xfId="44" builtinId="37" hidden="1"/>
    <cellStyle name="Accent3 2" xfId="111"/>
    <cellStyle name="Accent3 3" xfId="112"/>
    <cellStyle name="Accent4" xfId="48" builtinId="41" hidden="1"/>
    <cellStyle name="Accent4 2" xfId="113"/>
    <cellStyle name="Accent4 3" xfId="114"/>
    <cellStyle name="Accent5" xfId="52" builtinId="45" hidden="1"/>
    <cellStyle name="Accent5 2" xfId="115"/>
    <cellStyle name="Accent5 3" xfId="116"/>
    <cellStyle name="Accent6" xfId="56" builtinId="49" hidden="1"/>
    <cellStyle name="Accent6 2" xfId="117"/>
    <cellStyle name="Accent6 3" xfId="118"/>
    <cellStyle name="Bad" xfId="119"/>
    <cellStyle name="Bad 2" xfId="120"/>
    <cellStyle name="Berekening" xfId="18" builtinId="22" hidden="1"/>
    <cellStyle name="Berekening 2" xfId="121"/>
    <cellStyle name="Calculation" xfId="122"/>
    <cellStyle name="Calculation 2" xfId="123"/>
    <cellStyle name="Cel (tussen)resultaat" xfId="8"/>
    <cellStyle name="Cel Berekening" xfId="9"/>
    <cellStyle name="Cel Bijzonderheid" xfId="10"/>
    <cellStyle name="Cel Input" xfId="11"/>
    <cellStyle name="Cel n.v.t. (leeg)" xfId="203"/>
    <cellStyle name="Cel PM extern" xfId="12"/>
    <cellStyle name="Cel Verwijzing" xfId="13"/>
    <cellStyle name="Check Cell" xfId="124"/>
    <cellStyle name="Check Cell 2" xfId="125"/>
    <cellStyle name="Comma 2" xfId="126"/>
    <cellStyle name="Comma 3" xfId="63"/>
    <cellStyle name="Controlecel" xfId="20" builtinId="23" hidden="1"/>
    <cellStyle name="Controlecel 2" xfId="127"/>
    <cellStyle name="Euro" xfId="128"/>
    <cellStyle name="Euro 2" xfId="129"/>
    <cellStyle name="Explanatory Text" xfId="130"/>
    <cellStyle name="Explanatory Text 2" xfId="131"/>
    <cellStyle name="Gekoppelde cel" xfId="19" builtinId="24" hidden="1"/>
    <cellStyle name="Gekoppelde cel 2" xfId="132"/>
    <cellStyle name="Gevolgde hyperlink" xfId="60" builtinId="9" hidden="1"/>
    <cellStyle name="Goed" xfId="1" builtinId="26" hidden="1"/>
    <cellStyle name="Goed 2" xfId="133"/>
    <cellStyle name="Good" xfId="134"/>
    <cellStyle name="Good 2" xfId="135"/>
    <cellStyle name="Header" xfId="136"/>
    <cellStyle name="Heading 1" xfId="137"/>
    <cellStyle name="Heading 1 2" xfId="138"/>
    <cellStyle name="Heading 2" xfId="139"/>
    <cellStyle name="Heading 2 2" xfId="140"/>
    <cellStyle name="Heading 3" xfId="141"/>
    <cellStyle name="Heading 3 2" xfId="142"/>
    <cellStyle name="Heading 4" xfId="143"/>
    <cellStyle name="Heading 4 2" xfId="144"/>
    <cellStyle name="Hyperlink" xfId="22" builtinId="8" hidden="1"/>
    <cellStyle name="Hyperlink" xfId="202" builtinId="8" customBuiltin="1"/>
    <cellStyle name="Hyperlink 2" xfId="214"/>
    <cellStyle name="Input" xfId="145"/>
    <cellStyle name="Input 2" xfId="146"/>
    <cellStyle name="Invoer" xfId="16" builtinId="20" hidden="1"/>
    <cellStyle name="Invoer 2" xfId="147"/>
    <cellStyle name="Komma" xfId="23" builtinId="3" hidden="1"/>
    <cellStyle name="Komma" xfId="61" builtinId="3"/>
    <cellStyle name="Komma [0]" xfId="24" builtinId="6" hidden="1"/>
    <cellStyle name="Komma 14 2" xfId="148"/>
    <cellStyle name="Komma 2" xfId="149"/>
    <cellStyle name="Komma 2 2" xfId="150"/>
    <cellStyle name="Komma 2 3" xfId="151"/>
    <cellStyle name="Komma 2 4" xfId="205"/>
    <cellStyle name="Komma 2 4 2" xfId="215"/>
    <cellStyle name="Komma 3" xfId="152"/>
    <cellStyle name="Komma 3 2" xfId="153"/>
    <cellStyle name="Komma 4" xfId="154"/>
    <cellStyle name="Komma 5" xfId="155"/>
    <cellStyle name="Komma 6" xfId="199"/>
    <cellStyle name="Komma 6 2" xfId="212"/>
    <cellStyle name="Komma 7" xfId="204"/>
    <cellStyle name="Kop 1" xfId="29" builtinId="16" hidden="1"/>
    <cellStyle name="Kop 1 2" xfId="156"/>
    <cellStyle name="Kop 2" xfId="30" builtinId="17" hidden="1"/>
    <cellStyle name="Kop 2 2" xfId="157"/>
    <cellStyle name="Kop 3" xfId="31" builtinId="18" hidden="1"/>
    <cellStyle name="Kop 3 2" xfId="158"/>
    <cellStyle name="Kop 4" xfId="32" builtinId="19" hidden="1"/>
    <cellStyle name="Kop 4 2" xfId="159"/>
    <cellStyle name="Linked Cell" xfId="160"/>
    <cellStyle name="Linked Cell 2" xfId="161"/>
    <cellStyle name="Neutraal" xfId="3" builtinId="28" hidden="1"/>
    <cellStyle name="Neutraal 2" xfId="162"/>
    <cellStyle name="Neutral" xfId="163"/>
    <cellStyle name="Neutral 2" xfId="164"/>
    <cellStyle name="Normal 14" xfId="195"/>
    <cellStyle name="Normal 2" xfId="165"/>
    <cellStyle name="Normal 3" xfId="64"/>
    <cellStyle name="Normal_# klanten" xfId="166"/>
    <cellStyle name="Note" xfId="167"/>
    <cellStyle name="Note 2" xfId="168"/>
    <cellStyle name="Notitie" xfId="21" builtinId="10" hidden="1"/>
    <cellStyle name="Notitie 2" xfId="169"/>
    <cellStyle name="Ongeldig" xfId="2" builtinId="27" hidden="1"/>
    <cellStyle name="Ongeldig 2" xfId="170"/>
    <cellStyle name="Opm. INTERN" xfId="14"/>
    <cellStyle name="Output" xfId="171"/>
    <cellStyle name="Output 2" xfId="172"/>
    <cellStyle name="Procent" xfId="27" builtinId="5" hidden="1"/>
    <cellStyle name="Procent" xfId="208" builtinId="5"/>
    <cellStyle name="Procent 2" xfId="173"/>
    <cellStyle name="Procent 3" xfId="174"/>
    <cellStyle name="Procent 4" xfId="175"/>
    <cellStyle name="Procent 5" xfId="213"/>
    <cellStyle name="Standaard" xfId="0" builtinId="0"/>
    <cellStyle name="Standaard 2" xfId="176"/>
    <cellStyle name="Standaard 2 2" xfId="177"/>
    <cellStyle name="Standaard 2 2 2" xfId="206"/>
    <cellStyle name="Standaard 2 2 2 2" xfId="217"/>
    <cellStyle name="Standaard 2 3" xfId="178"/>
    <cellStyle name="Standaard 2 4" xfId="179"/>
    <cellStyle name="Standaard 2 5" xfId="216"/>
    <cellStyle name="Standaard 3" xfId="180"/>
    <cellStyle name="Standaard 3 2" xfId="196"/>
    <cellStyle name="Standaard 3 3" xfId="207"/>
    <cellStyle name="Standaard 3 3 2" xfId="218"/>
    <cellStyle name="Standaard 4" xfId="181"/>
    <cellStyle name="Standaard 5" xfId="182"/>
    <cellStyle name="Standaard 6" xfId="62"/>
    <cellStyle name="Standaard 7" xfId="200"/>
    <cellStyle name="Standaard 7 2" xfId="211"/>
    <cellStyle name="Standaard 8" xfId="201"/>
    <cellStyle name="Standaard ACM-DE" xfId="4"/>
    <cellStyle name="Titel" xfId="28" builtinId="15" hidden="1"/>
    <cellStyle name="Titel 2" xfId="183"/>
    <cellStyle name="Title" xfId="184"/>
    <cellStyle name="Title 2" xfId="185"/>
    <cellStyle name="Toelichting" xfId="15"/>
    <cellStyle name="Totaal" xfId="35" builtinId="25" hidden="1"/>
    <cellStyle name="Totaal 2" xfId="186"/>
    <cellStyle name="Total" xfId="187"/>
    <cellStyle name="Total 2" xfId="188"/>
    <cellStyle name="Uitvoer" xfId="17" builtinId="21" hidden="1"/>
    <cellStyle name="Uitvoer 2" xfId="189"/>
    <cellStyle name="Valuta" xfId="25" builtinId="4" hidden="1"/>
    <cellStyle name="Valuta [0]" xfId="26" builtinId="7" hidden="1"/>
    <cellStyle name="Valuta 2" xfId="197"/>
    <cellStyle name="Verklarende tekst" xfId="34" builtinId="53" hidden="1"/>
    <cellStyle name="Verklarende tekst 2" xfId="190"/>
    <cellStyle name="Waarschuwingstekst" xfId="33" builtinId="11" hidden="1"/>
    <cellStyle name="Waarschuwingstekst 2" xfId="191"/>
    <cellStyle name="Warning Text" xfId="192"/>
    <cellStyle name="Warning Text 2" xfId="193"/>
    <cellStyle name="WIt" xfId="194"/>
  </cellStyles>
  <dxfs count="0"/>
  <tableStyles count="0" defaultTableStyle="TableStyleMedium2" defaultPivotStyle="PivotStyleLight16"/>
  <colors>
    <mruColors>
      <color rgb="FFCCFFFF"/>
      <color rgb="FFCCFFCC"/>
      <color rgb="FFFFFFCC"/>
      <color rgb="FFCCC8D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powerupsaba.com/business.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37"/>
  <sheetViews>
    <sheetView showGridLines="0" tabSelected="1" zoomScale="85" zoomScaleNormal="85" workbookViewId="0">
      <pane ySplit="3" topLeftCell="A4" activePane="bottomLeft" state="frozen"/>
      <selection activeCell="A4" sqref="A4"/>
      <selection pane="bottomLeft" activeCell="B3" sqref="B3"/>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12" customFormat="1" ht="18">
      <c r="B2" s="11" t="s">
        <v>271</v>
      </c>
    </row>
    <row r="6" spans="2:3">
      <c r="B6" s="3"/>
    </row>
    <row r="13" spans="2:3" s="8" customFormat="1">
      <c r="B13" s="8" t="s">
        <v>272</v>
      </c>
    </row>
    <row r="14" spans="2:3" s="9" customFormat="1"/>
    <row r="15" spans="2:3">
      <c r="B15" s="26" t="s">
        <v>309</v>
      </c>
      <c r="C15" s="10" t="s">
        <v>3</v>
      </c>
    </row>
    <row r="16" spans="2:3">
      <c r="B16" s="26" t="s">
        <v>310</v>
      </c>
      <c r="C16" s="10" t="s">
        <v>322</v>
      </c>
    </row>
    <row r="17" spans="2:4">
      <c r="B17" s="26" t="s">
        <v>311</v>
      </c>
      <c r="C17" s="137" t="s">
        <v>369</v>
      </c>
    </row>
    <row r="18" spans="2:4" ht="25.5">
      <c r="B18" s="26" t="s">
        <v>368</v>
      </c>
      <c r="C18" s="10" t="s">
        <v>371</v>
      </c>
    </row>
    <row r="19" spans="2:4" ht="25.5">
      <c r="B19" s="26" t="s">
        <v>312</v>
      </c>
      <c r="C19" s="10" t="s">
        <v>370</v>
      </c>
    </row>
    <row r="20" spans="2:4">
      <c r="B20" s="26" t="s">
        <v>313</v>
      </c>
      <c r="C20" s="10"/>
    </row>
    <row r="23" spans="2:4" s="8" customFormat="1">
      <c r="B23" s="8" t="s">
        <v>0</v>
      </c>
    </row>
    <row r="25" spans="2:4">
      <c r="B25" s="26" t="s">
        <v>314</v>
      </c>
      <c r="C25" s="10" t="s">
        <v>318</v>
      </c>
    </row>
    <row r="26" spans="2:4">
      <c r="B26" s="26" t="s">
        <v>315</v>
      </c>
      <c r="C26" s="10" t="s">
        <v>318</v>
      </c>
    </row>
    <row r="27" spans="2:4" ht="25.5">
      <c r="B27" s="26" t="s">
        <v>316</v>
      </c>
      <c r="C27" s="10" t="s">
        <v>318</v>
      </c>
    </row>
    <row r="28" spans="2:4">
      <c r="B28" s="26" t="s">
        <v>317</v>
      </c>
      <c r="C28" s="10" t="s">
        <v>277</v>
      </c>
    </row>
    <row r="29" spans="2:4">
      <c r="B29" s="26" t="s">
        <v>313</v>
      </c>
      <c r="C29" s="10"/>
    </row>
    <row r="31" spans="2:4" s="112" customFormat="1">
      <c r="B31" s="89"/>
    </row>
    <row r="32" spans="2:4" s="112" customFormat="1">
      <c r="B32" s="131" t="s">
        <v>319</v>
      </c>
      <c r="C32" s="132"/>
      <c r="D32" s="5"/>
    </row>
    <row r="33" spans="2:4">
      <c r="B33" s="23"/>
      <c r="C33" s="23"/>
      <c r="D33" s="5"/>
    </row>
    <row r="35" spans="2:4" s="112" customFormat="1"/>
    <row r="36" spans="2:4" s="112" customFormat="1"/>
    <row r="37" spans="2:4" s="112" customFormat="1"/>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Q46"/>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activeCell="G10" sqref="G10"/>
    </sheetView>
  </sheetViews>
  <sheetFormatPr defaultRowHeight="12.75"/>
  <cols>
    <col min="1" max="1" width="4" style="2" customWidth="1"/>
    <col min="2" max="2" width="41.42578125" style="2" customWidth="1"/>
    <col min="3" max="5" width="3.5703125" style="2" customWidth="1"/>
    <col min="6" max="6" width="16.85546875" style="2" customWidth="1"/>
    <col min="7" max="7" width="3.5703125" style="2" customWidth="1"/>
    <col min="8" max="8" width="16.85546875" style="2" customWidth="1"/>
    <col min="9" max="9" width="3.5703125" style="2" customWidth="1"/>
    <col min="10" max="10" width="16.85546875" style="2" customWidth="1"/>
    <col min="11" max="11" width="3.5703125" style="2" customWidth="1"/>
    <col min="12" max="12" width="19.28515625" style="2" customWidth="1"/>
    <col min="13" max="13" width="3.5703125" style="2" customWidth="1"/>
    <col min="14" max="14" width="43.28515625" style="2" customWidth="1"/>
    <col min="15" max="15" width="2.7109375" style="2" customWidth="1"/>
    <col min="16" max="16" width="13.7109375" style="2" customWidth="1"/>
    <col min="17" max="17" width="2.7109375" style="2" customWidth="1"/>
    <col min="18" max="32" width="13.7109375" style="2" customWidth="1"/>
    <col min="33" max="16384" width="9.140625" style="2"/>
  </cols>
  <sheetData>
    <row r="1" spans="1:14">
      <c r="A1" s="86"/>
    </row>
    <row r="2" spans="1:14" s="17" customFormat="1" ht="18">
      <c r="A2" s="84"/>
      <c r="B2" s="47" t="s">
        <v>104</v>
      </c>
    </row>
    <row r="3" spans="1:14">
      <c r="A3" s="86"/>
    </row>
    <row r="4" spans="1:14">
      <c r="A4" s="86"/>
      <c r="B4" s="1" t="s">
        <v>4</v>
      </c>
      <c r="C4" s="1"/>
      <c r="D4" s="1"/>
    </row>
    <row r="5" spans="1:14">
      <c r="A5" s="86"/>
      <c r="B5" s="82" t="s">
        <v>222</v>
      </c>
      <c r="C5" s="20"/>
      <c r="D5" s="20"/>
      <c r="H5" s="18"/>
    </row>
    <row r="6" spans="1:14">
      <c r="A6" s="86"/>
      <c r="B6" s="2" t="s">
        <v>337</v>
      </c>
      <c r="C6" s="20"/>
      <c r="D6" s="20"/>
      <c r="H6" s="18"/>
    </row>
    <row r="7" spans="1:14">
      <c r="A7" s="86"/>
    </row>
    <row r="8" spans="1:14" s="48" customFormat="1">
      <c r="A8" s="87"/>
      <c r="B8" s="48" t="s">
        <v>105</v>
      </c>
      <c r="F8" s="48" t="s">
        <v>106</v>
      </c>
      <c r="H8" s="48" t="s">
        <v>7</v>
      </c>
      <c r="J8" s="136" t="s">
        <v>106</v>
      </c>
      <c r="L8" s="48" t="s">
        <v>7</v>
      </c>
      <c r="N8" s="48" t="s">
        <v>47</v>
      </c>
    </row>
    <row r="9" spans="1:14">
      <c r="A9" s="86"/>
    </row>
    <row r="10" spans="1:14" s="48" customFormat="1">
      <c r="A10" s="87"/>
      <c r="B10" s="49" t="s">
        <v>178</v>
      </c>
      <c r="H10" s="49"/>
    </row>
    <row r="11" spans="1:14">
      <c r="A11" s="86"/>
      <c r="B11" s="1"/>
    </row>
    <row r="12" spans="1:14">
      <c r="A12" s="86"/>
      <c r="B12" s="1" t="s">
        <v>149</v>
      </c>
    </row>
    <row r="13" spans="1:14">
      <c r="A13" s="86"/>
      <c r="B13" s="2" t="s">
        <v>339</v>
      </c>
      <c r="F13" s="2" t="s">
        <v>67</v>
      </c>
      <c r="H13" s="76">
        <v>9464730</v>
      </c>
      <c r="N13" s="2" t="s">
        <v>233</v>
      </c>
    </row>
    <row r="14" spans="1:14">
      <c r="A14" s="86"/>
      <c r="B14" s="2" t="s">
        <v>340</v>
      </c>
      <c r="F14" s="2" t="s">
        <v>67</v>
      </c>
      <c r="H14" s="76">
        <v>0</v>
      </c>
    </row>
    <row r="15" spans="1:14">
      <c r="A15" s="86"/>
      <c r="B15" s="2" t="s">
        <v>341</v>
      </c>
      <c r="F15" s="2" t="s">
        <v>67</v>
      </c>
      <c r="H15" s="77">
        <f>H13+H14</f>
        <v>9464730</v>
      </c>
    </row>
    <row r="16" spans="1:14">
      <c r="A16" s="86"/>
    </row>
    <row r="17" spans="1:14">
      <c r="A17" s="86"/>
      <c r="B17" s="2" t="s">
        <v>334</v>
      </c>
      <c r="F17" s="2" t="s">
        <v>68</v>
      </c>
      <c r="H17" s="108">
        <v>0.1352092174075851</v>
      </c>
      <c r="N17" s="75" t="s">
        <v>233</v>
      </c>
    </row>
    <row r="18" spans="1:14">
      <c r="A18" s="86"/>
      <c r="B18" s="2" t="s">
        <v>148</v>
      </c>
      <c r="F18" s="2" t="s">
        <v>29</v>
      </c>
      <c r="H18" s="108">
        <v>0.2755372320055457</v>
      </c>
    </row>
    <row r="19" spans="1:14">
      <c r="A19" s="86"/>
    </row>
    <row r="20" spans="1:14">
      <c r="A20" s="86"/>
      <c r="B20" s="109" t="s">
        <v>335</v>
      </c>
    </row>
    <row r="21" spans="1:14">
      <c r="A21" s="86"/>
      <c r="B21" s="2" t="s">
        <v>151</v>
      </c>
      <c r="F21" s="2" t="s">
        <v>68</v>
      </c>
      <c r="H21" s="108">
        <v>0.33996093451090609</v>
      </c>
      <c r="I21" s="51"/>
      <c r="J21" s="51"/>
      <c r="K21" s="51"/>
      <c r="L21" s="51"/>
      <c r="M21" s="51"/>
      <c r="N21" s="75" t="s">
        <v>233</v>
      </c>
    </row>
    <row r="22" spans="1:14">
      <c r="A22" s="86"/>
      <c r="I22" s="51"/>
      <c r="J22" s="51"/>
      <c r="K22" s="51"/>
      <c r="L22" s="51"/>
      <c r="M22" s="51"/>
      <c r="N22" s="52"/>
    </row>
    <row r="23" spans="1:14">
      <c r="A23" s="86"/>
      <c r="I23" s="51"/>
      <c r="J23" s="51"/>
      <c r="K23" s="51"/>
      <c r="L23" s="51"/>
      <c r="M23" s="51"/>
      <c r="N23" s="52"/>
    </row>
    <row r="24" spans="1:14" s="48" customFormat="1">
      <c r="A24" s="87"/>
      <c r="B24" s="48" t="s">
        <v>338</v>
      </c>
      <c r="H24" s="49"/>
    </row>
    <row r="25" spans="1:14">
      <c r="A25" s="86"/>
      <c r="H25" s="20"/>
    </row>
    <row r="26" spans="1:14">
      <c r="A26" s="86"/>
      <c r="B26" s="50" t="s">
        <v>107</v>
      </c>
      <c r="D26" s="4"/>
      <c r="H26" s="1" t="s">
        <v>108</v>
      </c>
      <c r="L26" s="1" t="s">
        <v>109</v>
      </c>
      <c r="N26" s="1" t="s">
        <v>110</v>
      </c>
    </row>
    <row r="27" spans="1:14">
      <c r="A27" s="86"/>
      <c r="B27" s="50"/>
      <c r="D27" s="4"/>
      <c r="H27" s="1"/>
      <c r="L27" s="1"/>
      <c r="N27" s="1"/>
    </row>
    <row r="28" spans="1:14">
      <c r="A28" s="86"/>
      <c r="B28" s="2" t="s">
        <v>123</v>
      </c>
      <c r="F28" s="51" t="s">
        <v>30</v>
      </c>
      <c r="H28" s="108">
        <v>0.75329999999999997</v>
      </c>
      <c r="J28" s="135" t="s">
        <v>112</v>
      </c>
      <c r="L28" s="76">
        <v>80235</v>
      </c>
      <c r="N28" s="20" t="s">
        <v>124</v>
      </c>
    </row>
    <row r="29" spans="1:14">
      <c r="A29" s="86"/>
      <c r="B29" s="2" t="s">
        <v>125</v>
      </c>
      <c r="F29" s="51" t="s">
        <v>30</v>
      </c>
      <c r="H29" s="108">
        <v>0.80420000000000003</v>
      </c>
      <c r="J29" s="135" t="s">
        <v>112</v>
      </c>
      <c r="L29" s="76">
        <v>6165</v>
      </c>
      <c r="N29" s="20" t="s">
        <v>124</v>
      </c>
    </row>
    <row r="30" spans="1:14">
      <c r="A30" s="86"/>
      <c r="B30" s="2" t="s">
        <v>126</v>
      </c>
      <c r="D30" s="4"/>
      <c r="F30" s="51" t="s">
        <v>30</v>
      </c>
      <c r="H30" s="108">
        <v>0.80420000000000003</v>
      </c>
      <c r="J30" s="135" t="s">
        <v>112</v>
      </c>
      <c r="L30" s="76">
        <v>87000</v>
      </c>
      <c r="N30" s="20" t="s">
        <v>127</v>
      </c>
    </row>
    <row r="31" spans="1:14">
      <c r="A31" s="86"/>
      <c r="B31" s="2" t="s">
        <v>111</v>
      </c>
      <c r="F31" s="51" t="s">
        <v>30</v>
      </c>
      <c r="H31" s="108">
        <v>0.80420000000000003</v>
      </c>
      <c r="J31" s="135" t="s">
        <v>112</v>
      </c>
      <c r="L31" s="76">
        <v>88100</v>
      </c>
      <c r="N31" s="20" t="s">
        <v>128</v>
      </c>
    </row>
    <row r="32" spans="1:14">
      <c r="A32" s="86"/>
      <c r="B32" s="2" t="s">
        <v>113</v>
      </c>
      <c r="F32" s="51" t="s">
        <v>30</v>
      </c>
      <c r="H32" s="108">
        <v>0.80420000000000003</v>
      </c>
      <c r="J32" s="135" t="s">
        <v>112</v>
      </c>
      <c r="L32" s="76">
        <v>43300</v>
      </c>
      <c r="N32" s="20" t="s">
        <v>129</v>
      </c>
    </row>
    <row r="33" spans="1:17">
      <c r="A33" s="86"/>
      <c r="B33" s="2" t="s">
        <v>114</v>
      </c>
      <c r="F33" s="51" t="s">
        <v>30</v>
      </c>
      <c r="H33" s="108">
        <v>0.80420000000000003</v>
      </c>
      <c r="J33" s="135" t="s">
        <v>112</v>
      </c>
      <c r="L33" s="76">
        <v>12459</v>
      </c>
      <c r="N33" s="20" t="s">
        <v>130</v>
      </c>
    </row>
    <row r="34" spans="1:17">
      <c r="A34" s="86"/>
      <c r="B34" s="2" t="s">
        <v>114</v>
      </c>
      <c r="D34" s="4"/>
      <c r="E34" s="4"/>
      <c r="F34" s="51" t="s">
        <v>30</v>
      </c>
      <c r="G34" s="4"/>
      <c r="H34" s="108">
        <v>0.83520000000000005</v>
      </c>
      <c r="I34" s="4"/>
      <c r="J34" s="135" t="s">
        <v>112</v>
      </c>
      <c r="K34" s="4"/>
      <c r="L34" s="76">
        <v>32741</v>
      </c>
      <c r="M34" s="4"/>
      <c r="N34" s="20" t="s">
        <v>130</v>
      </c>
    </row>
    <row r="35" spans="1:17">
      <c r="A35" s="86"/>
      <c r="B35" s="2" t="s">
        <v>115</v>
      </c>
      <c r="F35" s="51" t="s">
        <v>30</v>
      </c>
      <c r="H35" s="108">
        <v>0.83520000000000005</v>
      </c>
      <c r="J35" s="135" t="s">
        <v>112</v>
      </c>
      <c r="L35" s="76">
        <v>86000</v>
      </c>
      <c r="N35" s="74" t="s">
        <v>131</v>
      </c>
    </row>
    <row r="36" spans="1:17">
      <c r="A36" s="86"/>
      <c r="B36" s="2" t="s">
        <v>116</v>
      </c>
      <c r="F36" s="51" t="s">
        <v>30</v>
      </c>
      <c r="H36" s="108">
        <v>0.83520000000000005</v>
      </c>
      <c r="J36" s="135" t="s">
        <v>112</v>
      </c>
      <c r="L36" s="76">
        <v>40700</v>
      </c>
      <c r="N36" s="74" t="s">
        <v>132</v>
      </c>
    </row>
    <row r="37" spans="1:17">
      <c r="A37" s="86"/>
      <c r="B37" s="2" t="s">
        <v>117</v>
      </c>
      <c r="F37" s="2" t="s">
        <v>30</v>
      </c>
      <c r="H37" s="108">
        <v>0.83520000000000005</v>
      </c>
      <c r="J37" s="135" t="s">
        <v>112</v>
      </c>
      <c r="L37" s="76">
        <v>90129</v>
      </c>
      <c r="N37" s="74" t="s">
        <v>133</v>
      </c>
    </row>
    <row r="38" spans="1:17">
      <c r="A38" s="86"/>
      <c r="B38" s="2" t="s">
        <v>118</v>
      </c>
      <c r="F38" s="2" t="s">
        <v>30</v>
      </c>
      <c r="H38" s="108">
        <v>0.80979999999999996</v>
      </c>
      <c r="J38" s="135" t="s">
        <v>112</v>
      </c>
      <c r="L38" s="76">
        <v>24871</v>
      </c>
      <c r="N38" s="74" t="s">
        <v>133</v>
      </c>
    </row>
    <row r="39" spans="1:17">
      <c r="A39" s="86"/>
      <c r="B39" s="2" t="s">
        <v>134</v>
      </c>
      <c r="F39" s="2" t="s">
        <v>30</v>
      </c>
      <c r="H39" s="108">
        <v>0.80979999999999996</v>
      </c>
      <c r="J39" s="135" t="s">
        <v>112</v>
      </c>
      <c r="L39" s="76">
        <v>62000</v>
      </c>
      <c r="N39" s="74" t="s">
        <v>135</v>
      </c>
    </row>
    <row r="40" spans="1:17">
      <c r="A40" s="86"/>
      <c r="B40" s="2" t="s">
        <v>119</v>
      </c>
      <c r="F40" s="2" t="s">
        <v>30</v>
      </c>
      <c r="H40" s="108">
        <v>0.80979999999999996</v>
      </c>
      <c r="J40" s="135" t="s">
        <v>112</v>
      </c>
      <c r="L40" s="76">
        <v>75100</v>
      </c>
      <c r="N40" s="74" t="s">
        <v>136</v>
      </c>
    </row>
    <row r="41" spans="1:17">
      <c r="A41" s="86"/>
      <c r="B41" s="2" t="s">
        <v>120</v>
      </c>
      <c r="F41" s="2" t="s">
        <v>30</v>
      </c>
      <c r="H41" s="108">
        <v>0.80979999999999996</v>
      </c>
      <c r="J41" s="135" t="s">
        <v>112</v>
      </c>
      <c r="L41" s="76">
        <v>63434</v>
      </c>
      <c r="N41" s="74" t="s">
        <v>137</v>
      </c>
    </row>
    <row r="42" spans="1:17">
      <c r="A42" s="86"/>
      <c r="B42" s="2" t="s">
        <v>121</v>
      </c>
      <c r="F42" s="2" t="s">
        <v>30</v>
      </c>
      <c r="H42" s="108">
        <v>0.8296</v>
      </c>
      <c r="J42" s="135" t="s">
        <v>112</v>
      </c>
      <c r="L42" s="76">
        <v>69966</v>
      </c>
      <c r="N42" s="74" t="s">
        <v>137</v>
      </c>
    </row>
    <row r="43" spans="1:17">
      <c r="A43" s="86"/>
      <c r="B43" s="2" t="s">
        <v>122</v>
      </c>
      <c r="F43" s="2" t="s">
        <v>30</v>
      </c>
      <c r="H43" s="108">
        <v>0.8296</v>
      </c>
      <c r="J43" s="135" t="s">
        <v>112</v>
      </c>
      <c r="L43" s="76">
        <v>86800</v>
      </c>
      <c r="N43" s="74" t="s">
        <v>138</v>
      </c>
    </row>
    <row r="44" spans="1:17">
      <c r="B44" s="75" t="s">
        <v>252</v>
      </c>
      <c r="C44" s="75"/>
      <c r="D44" s="75"/>
      <c r="E44" s="75"/>
      <c r="F44" s="75" t="s">
        <v>30</v>
      </c>
      <c r="G44" s="75"/>
      <c r="H44" s="108">
        <v>0.8296</v>
      </c>
      <c r="I44" s="75"/>
      <c r="J44" s="135" t="s">
        <v>112</v>
      </c>
      <c r="K44" s="75"/>
      <c r="L44" s="76">
        <v>69068</v>
      </c>
      <c r="M44" s="75"/>
      <c r="N44" s="75" t="s">
        <v>256</v>
      </c>
    </row>
    <row r="45" spans="1:17">
      <c r="B45" s="75" t="s">
        <v>253</v>
      </c>
      <c r="C45" s="75"/>
      <c r="D45" s="75"/>
      <c r="E45" s="75"/>
      <c r="F45" s="75" t="s">
        <v>30</v>
      </c>
      <c r="G45" s="75"/>
      <c r="H45" s="108">
        <v>0.85209999999999997</v>
      </c>
      <c r="I45" s="75"/>
      <c r="J45" s="135" t="s">
        <v>112</v>
      </c>
      <c r="K45" s="75"/>
      <c r="L45" s="76">
        <v>19132</v>
      </c>
      <c r="M45" s="75"/>
      <c r="N45" s="75" t="s">
        <v>256</v>
      </c>
      <c r="O45" s="75"/>
      <c r="P45" s="75"/>
      <c r="Q45" s="75"/>
    </row>
    <row r="46" spans="1:17">
      <c r="B46" s="75" t="s">
        <v>254</v>
      </c>
      <c r="C46" s="75"/>
      <c r="D46" s="75"/>
      <c r="E46" s="75"/>
      <c r="F46" s="75" t="s">
        <v>30</v>
      </c>
      <c r="G46" s="75"/>
      <c r="H46" s="108">
        <v>0.85209999999999997</v>
      </c>
      <c r="I46" s="75"/>
      <c r="J46" s="135" t="s">
        <v>112</v>
      </c>
      <c r="K46" s="75"/>
      <c r="L46" s="76">
        <v>81000</v>
      </c>
      <c r="M46" s="75"/>
      <c r="N46" s="75" t="s">
        <v>257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19"/>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S45"/>
  <sheetViews>
    <sheetView showGridLines="0" zoomScale="85" zoomScaleNormal="85" workbookViewId="0">
      <pane xSplit="6" ySplit="8" topLeftCell="G9" activePane="bottomRight" state="frozen"/>
      <selection activeCell="J76" sqref="J76"/>
      <selection pane="topRight" activeCell="J76" sqref="J76"/>
      <selection pane="bottomLeft" activeCell="J76" sqref="J76"/>
      <selection pane="bottomRight" activeCell="G9" sqref="G9"/>
    </sheetView>
  </sheetViews>
  <sheetFormatPr defaultRowHeight="12.75" customHeight="1"/>
  <cols>
    <col min="1" max="1" width="4" style="2" customWidth="1"/>
    <col min="2" max="2" width="70.7109375" style="2" customWidth="1"/>
    <col min="3" max="5" width="4.5703125" style="2" customWidth="1"/>
    <col min="6" max="6" width="23.42578125" style="2" customWidth="1"/>
    <col min="7" max="7" width="2.7109375" style="2" customWidth="1"/>
    <col min="8" max="8" width="20.42578125" style="2" customWidth="1"/>
    <col min="9" max="9" width="2.7109375" style="2" customWidth="1"/>
    <col min="10" max="14" width="15" style="2" customWidth="1"/>
    <col min="15" max="15" width="16.28515625" style="2" bestFit="1" customWidth="1"/>
    <col min="16" max="16" width="15" style="2" customWidth="1"/>
    <col min="17" max="17" width="3.5703125" style="2" customWidth="1"/>
    <col min="18" max="18" width="15" style="2" customWidth="1"/>
    <col min="19" max="16384" width="9.140625" style="2"/>
  </cols>
  <sheetData>
    <row r="1" spans="1:16" ht="12.75" customHeight="1">
      <c r="A1" s="86"/>
    </row>
    <row r="2" spans="1:16" s="17" customFormat="1" ht="18.75" customHeight="1">
      <c r="A2" s="7"/>
      <c r="B2" s="17" t="s">
        <v>144</v>
      </c>
    </row>
    <row r="3" spans="1:16" ht="12.75" customHeight="1">
      <c r="A3" s="86"/>
    </row>
    <row r="4" spans="1:16" ht="12.75" customHeight="1">
      <c r="A4" s="86"/>
      <c r="B4" s="1" t="s">
        <v>140</v>
      </c>
      <c r="C4" s="1"/>
      <c r="D4" s="1"/>
    </row>
    <row r="5" spans="1:16" ht="12.75" customHeight="1">
      <c r="A5" s="86"/>
      <c r="B5" s="107" t="s">
        <v>333</v>
      </c>
      <c r="C5" s="20"/>
      <c r="D5" s="20"/>
      <c r="F5" s="107"/>
      <c r="H5" s="18"/>
    </row>
    <row r="6" spans="1:16" ht="12.75" customHeight="1">
      <c r="A6" s="86"/>
      <c r="B6" s="20" t="s">
        <v>336</v>
      </c>
      <c r="C6" s="20"/>
      <c r="D6" s="20"/>
      <c r="H6" s="18"/>
    </row>
    <row r="7" spans="1:16" ht="12.75" customHeight="1">
      <c r="A7" s="86"/>
      <c r="B7" s="20"/>
      <c r="J7" s="9"/>
      <c r="K7" s="9"/>
      <c r="L7" s="9"/>
      <c r="M7" s="9"/>
      <c r="N7" s="9"/>
      <c r="O7" s="9"/>
      <c r="P7" s="9"/>
    </row>
    <row r="8" spans="1:16" s="48" customFormat="1" ht="12.75" customHeight="1">
      <c r="B8" s="48" t="s">
        <v>105</v>
      </c>
      <c r="F8" s="48" t="s">
        <v>106</v>
      </c>
      <c r="H8" s="48" t="s">
        <v>7</v>
      </c>
      <c r="J8" s="48" t="s">
        <v>332</v>
      </c>
      <c r="K8" s="48" t="s">
        <v>145</v>
      </c>
      <c r="L8" s="48" t="s">
        <v>164</v>
      </c>
      <c r="M8" s="48" t="s">
        <v>165</v>
      </c>
      <c r="N8" s="48" t="s">
        <v>166</v>
      </c>
      <c r="O8" s="48" t="s">
        <v>167</v>
      </c>
      <c r="P8" s="48" t="s">
        <v>168</v>
      </c>
    </row>
    <row r="9" spans="1:16" ht="12.75" customHeight="1">
      <c r="A9" s="86"/>
    </row>
    <row r="10" spans="1:16" s="48" customFormat="1" ht="12.75" customHeight="1">
      <c r="B10" s="48" t="s">
        <v>147</v>
      </c>
    </row>
    <row r="11" spans="1:16" ht="12.75" customHeight="1">
      <c r="A11" s="86"/>
    </row>
    <row r="12" spans="1:16" ht="12.75" customHeight="1">
      <c r="A12" s="86"/>
      <c r="B12" s="1" t="s">
        <v>149</v>
      </c>
    </row>
    <row r="13" spans="1:16" ht="12.75" customHeight="1">
      <c r="A13" s="86"/>
      <c r="B13" s="112" t="s">
        <v>339</v>
      </c>
      <c r="F13" s="2" t="s">
        <v>67</v>
      </c>
      <c r="H13" s="59">
        <f>'Input data fuel purchase'!H13</f>
        <v>9464730</v>
      </c>
    </row>
    <row r="14" spans="1:16" ht="12.75" customHeight="1">
      <c r="A14" s="86"/>
      <c r="B14" s="112" t="s">
        <v>340</v>
      </c>
      <c r="F14" s="2" t="s">
        <v>67</v>
      </c>
      <c r="H14" s="59">
        <f>'Input data fuel purchase'!H14</f>
        <v>0</v>
      </c>
    </row>
    <row r="15" spans="1:16" ht="12.75" customHeight="1">
      <c r="A15" s="86"/>
      <c r="B15" s="2" t="s">
        <v>150</v>
      </c>
      <c r="F15" s="51" t="s">
        <v>67</v>
      </c>
      <c r="H15" s="59">
        <f>'Input data fuel purchase'!H15</f>
        <v>9464730</v>
      </c>
    </row>
    <row r="16" spans="1:16" ht="12.75" customHeight="1">
      <c r="A16" s="86"/>
    </row>
    <row r="17" spans="1:19" ht="12.75" customHeight="1">
      <c r="A17" s="86"/>
      <c r="B17" s="2" t="s">
        <v>334</v>
      </c>
      <c r="F17" s="2" t="s">
        <v>68</v>
      </c>
      <c r="H17" s="32">
        <f>'Input data fuel purchase'!H17</f>
        <v>0.1352092174075851</v>
      </c>
    </row>
    <row r="18" spans="1:19" ht="12.75" customHeight="1">
      <c r="A18" s="86"/>
      <c r="B18" s="2" t="s">
        <v>148</v>
      </c>
      <c r="F18" s="2" t="s">
        <v>29</v>
      </c>
      <c r="H18" s="32">
        <f>'Input data fuel purchase'!H18</f>
        <v>0.2755372320055457</v>
      </c>
    </row>
    <row r="19" spans="1:19" ht="12.75" customHeight="1">
      <c r="A19" s="86"/>
    </row>
    <row r="20" spans="1:19" ht="12.75" customHeight="1">
      <c r="A20" s="86"/>
      <c r="B20" s="1" t="s">
        <v>335</v>
      </c>
    </row>
    <row r="21" spans="1:19" ht="12.75" customHeight="1">
      <c r="A21" s="86"/>
      <c r="B21" s="2" t="s">
        <v>151</v>
      </c>
      <c r="F21" s="2" t="s">
        <v>68</v>
      </c>
      <c r="H21" s="32">
        <f>'Input data fuel purchase'!H21</f>
        <v>0.33996093451090609</v>
      </c>
    </row>
    <row r="22" spans="1:19" ht="12.75" customHeight="1">
      <c r="A22" s="86"/>
      <c r="B22" s="51"/>
    </row>
    <row r="23" spans="1:19" ht="12.75" customHeight="1">
      <c r="A23" s="86"/>
      <c r="B23" s="50" t="s">
        <v>220</v>
      </c>
    </row>
    <row r="24" spans="1:19" ht="12.75" customHeight="1">
      <c r="A24" s="86"/>
      <c r="B24" s="74" t="s">
        <v>270</v>
      </c>
      <c r="F24" s="2" t="s">
        <v>67</v>
      </c>
      <c r="J24" s="70"/>
      <c r="K24" s="70"/>
      <c r="L24" s="38">
        <f>'Data on volumes and tariffs'!H49</f>
        <v>645881</v>
      </c>
      <c r="M24" s="38">
        <f>'Data on volumes and tariffs'!H53</f>
        <v>634569</v>
      </c>
      <c r="N24" s="38">
        <f>'Data on volumes and tariffs'!H57</f>
        <v>646624</v>
      </c>
      <c r="O24" s="38">
        <f>'Data on volumes and tariffs'!H61</f>
        <v>637467</v>
      </c>
      <c r="P24" s="38">
        <f>'Data on volumes and tariffs'!H65</f>
        <v>676998</v>
      </c>
      <c r="R24" s="112"/>
    </row>
    <row r="25" spans="1:19" ht="12.75" customHeight="1">
      <c r="A25" s="86"/>
      <c r="B25" s="51"/>
      <c r="R25" s="112"/>
    </row>
    <row r="26" spans="1:19" s="48" customFormat="1" ht="12.75" customHeight="1">
      <c r="B26" s="48" t="s">
        <v>152</v>
      </c>
    </row>
    <row r="27" spans="1:19" ht="12.75" customHeight="1">
      <c r="A27" s="86"/>
    </row>
    <row r="28" spans="1:19" ht="12.75" customHeight="1">
      <c r="A28" s="86"/>
      <c r="B28" s="2" t="s">
        <v>153</v>
      </c>
      <c r="F28" s="2" t="s">
        <v>67</v>
      </c>
      <c r="H28" s="60">
        <f>$H$13</f>
        <v>9464730</v>
      </c>
      <c r="J28" s="69"/>
      <c r="K28" s="69"/>
      <c r="M28" s="69"/>
      <c r="N28" s="69"/>
      <c r="O28" s="69"/>
      <c r="P28" s="69"/>
      <c r="R28" s="112"/>
      <c r="S28" s="1"/>
    </row>
    <row r="29" spans="1:19" ht="12.75" customHeight="1">
      <c r="A29" s="86"/>
      <c r="B29" s="2" t="s">
        <v>154</v>
      </c>
      <c r="F29" s="2" t="s">
        <v>67</v>
      </c>
      <c r="H29" s="60">
        <f>$H$15</f>
        <v>9464730</v>
      </c>
      <c r="J29" s="69"/>
      <c r="K29" s="69"/>
      <c r="M29" s="69"/>
      <c r="N29" s="69"/>
      <c r="O29" s="69"/>
      <c r="P29" s="69"/>
    </row>
    <row r="30" spans="1:19" ht="12.75" customHeight="1">
      <c r="A30" s="86"/>
    </row>
    <row r="31" spans="1:19" ht="12.75" customHeight="1">
      <c r="A31" s="86"/>
      <c r="B31" s="2" t="s">
        <v>155</v>
      </c>
      <c r="F31" s="2" t="s">
        <v>30</v>
      </c>
      <c r="J31" s="32">
        <f>'Monthly fuel prices'!J15</f>
        <v>0.78064774221453281</v>
      </c>
      <c r="K31" s="32">
        <f>'Monthly fuel prices'!J16</f>
        <v>0.80420000000000003</v>
      </c>
      <c r="L31" s="32">
        <f>'Monthly fuel prices'!J21</f>
        <v>0.82716780204460971</v>
      </c>
      <c r="M31" s="32">
        <f>'Monthly fuel prices'!J24</f>
        <v>0.8227337661016948</v>
      </c>
      <c r="N31" s="32">
        <f>'Monthly fuel prices'!J27</f>
        <v>0.8164442532374101</v>
      </c>
      <c r="O31" s="32">
        <f>'Monthly fuel prices'!J28</f>
        <v>0.8296</v>
      </c>
      <c r="P31" s="32">
        <f>'Monthly fuel prices'!J31</f>
        <v>0.84291542553191479</v>
      </c>
    </row>
    <row r="32" spans="1:19" ht="12.75" customHeight="1">
      <c r="A32" s="86"/>
      <c r="B32" s="2" t="s">
        <v>156</v>
      </c>
      <c r="F32" s="2" t="s">
        <v>30</v>
      </c>
      <c r="I32" s="9"/>
      <c r="J32" s="65"/>
      <c r="K32" s="65"/>
      <c r="L32" s="32">
        <f>J31</f>
        <v>0.78064774221453281</v>
      </c>
      <c r="M32" s="32">
        <f t="shared" ref="M32:P32" si="0">K31</f>
        <v>0.80420000000000003</v>
      </c>
      <c r="N32" s="32">
        <f t="shared" si="0"/>
        <v>0.82716780204460971</v>
      </c>
      <c r="O32" s="32">
        <f t="shared" si="0"/>
        <v>0.8227337661016948</v>
      </c>
      <c r="P32" s="32">
        <f t="shared" si="0"/>
        <v>0.8164442532374101</v>
      </c>
    </row>
    <row r="33" spans="1:16" ht="12.75" customHeight="1">
      <c r="A33" s="86"/>
    </row>
    <row r="34" spans="1:16" ht="12.75" customHeight="1">
      <c r="A34" s="86"/>
      <c r="B34" s="2" t="s">
        <v>157</v>
      </c>
      <c r="F34" s="2" t="s">
        <v>68</v>
      </c>
      <c r="J34" s="62"/>
      <c r="K34" s="62"/>
      <c r="L34" s="61">
        <f>$H$17+L32*$H$18*($H$28/$H$29)</f>
        <v>0.35030673546875624</v>
      </c>
      <c r="M34" s="61">
        <f>$H$17+M32*$H$18*($H$28/$H$29)</f>
        <v>0.35679625938644499</v>
      </c>
      <c r="N34" s="61">
        <f>$H$17+N32*$H$18*($H$28/$H$29)</f>
        <v>0.36312474398706801</v>
      </c>
      <c r="O34" s="61">
        <f>$H$17+O32*$H$18*($H$28/$H$29)</f>
        <v>0.36190300199674413</v>
      </c>
      <c r="P34" s="61">
        <f>$H$17+P32*$H$18*($H$28/$H$29)</f>
        <v>0.36017000703145585</v>
      </c>
    </row>
    <row r="35" spans="1:16" ht="12.75" customHeight="1">
      <c r="A35" s="86"/>
    </row>
    <row r="36" spans="1:16" s="48" customFormat="1" ht="12.75" customHeight="1">
      <c r="B36" s="48" t="s">
        <v>158</v>
      </c>
    </row>
    <row r="37" spans="1:16" ht="12.75" customHeight="1">
      <c r="A37" s="86"/>
    </row>
    <row r="38" spans="1:16" ht="12.75" customHeight="1">
      <c r="A38" s="86"/>
      <c r="B38" s="2" t="s">
        <v>159</v>
      </c>
      <c r="F38" s="2" t="s">
        <v>68</v>
      </c>
      <c r="J38" s="62"/>
      <c r="K38" s="62"/>
      <c r="L38" s="61">
        <f>L34-$H$21</f>
        <v>1.0345800957850149E-2</v>
      </c>
      <c r="M38" s="61">
        <f t="shared" ref="M38:P38" si="1">M34-$H$21</f>
        <v>1.6835324875538904E-2</v>
      </c>
      <c r="N38" s="61">
        <f t="shared" si="1"/>
        <v>2.3163809476161923E-2</v>
      </c>
      <c r="O38" s="61">
        <f t="shared" si="1"/>
        <v>2.1942067485838046E-2</v>
      </c>
      <c r="P38" s="61">
        <f t="shared" si="1"/>
        <v>2.0209072520549765E-2</v>
      </c>
    </row>
    <row r="39" spans="1:16" ht="12.75" customHeight="1">
      <c r="A39" s="86"/>
      <c r="B39" s="2" t="s">
        <v>160</v>
      </c>
      <c r="F39" s="2" t="s">
        <v>36</v>
      </c>
      <c r="J39" s="71"/>
      <c r="K39" s="71"/>
      <c r="L39" s="63">
        <f>L38*L24</f>
        <v>6682.1562684572118</v>
      </c>
      <c r="M39" s="63">
        <f t="shared" ref="M39:P39" si="2">M38*M24</f>
        <v>10683.175270945847</v>
      </c>
      <c r="N39" s="63">
        <f t="shared" si="2"/>
        <v>14978.275138713727</v>
      </c>
      <c r="O39" s="63">
        <f t="shared" si="2"/>
        <v>13987.343933994722</v>
      </c>
      <c r="P39" s="63">
        <f t="shared" si="2"/>
        <v>13681.50167826715</v>
      </c>
    </row>
    <row r="40" spans="1:16" ht="12.75" customHeight="1">
      <c r="A40" s="86"/>
      <c r="J40" s="9"/>
      <c r="K40" s="9"/>
    </row>
    <row r="41" spans="1:16" ht="12.75" customHeight="1">
      <c r="A41" s="86"/>
      <c r="B41" s="107" t="s">
        <v>251</v>
      </c>
      <c r="F41" s="2" t="s">
        <v>36</v>
      </c>
      <c r="H41" s="64">
        <f>SUM(L39:P39)</f>
        <v>60012.452290378656</v>
      </c>
    </row>
    <row r="42" spans="1:16" ht="12.75" customHeight="1">
      <c r="A42" s="86"/>
    </row>
    <row r="43" spans="1:16" ht="12.75" customHeight="1">
      <c r="A43" s="86"/>
    </row>
    <row r="44" spans="1:16" ht="12.75" customHeight="1">
      <c r="A44" s="86"/>
    </row>
    <row r="45" spans="1:16" ht="12.75" customHeight="1">
      <c r="A45" s="8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Y52"/>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cols>
    <col min="1" max="1" width="4" style="2" customWidth="1"/>
    <col min="2" max="2" width="43.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 style="2" bestFit="1" customWidth="1"/>
    <col min="14" max="21" width="12.5703125" style="2" customWidth="1"/>
    <col min="22" max="24" width="2.7109375" style="2" customWidth="1"/>
    <col min="25" max="39" width="13.7109375" style="2" customWidth="1"/>
    <col min="40" max="16384" width="9.140625" style="2"/>
  </cols>
  <sheetData>
    <row r="1" spans="1:13">
      <c r="A1" s="86"/>
    </row>
    <row r="2" spans="1:13" s="17" customFormat="1" ht="18">
      <c r="A2" s="84"/>
      <c r="B2" s="17" t="s">
        <v>45</v>
      </c>
    </row>
    <row r="3" spans="1:13">
      <c r="A3" s="86"/>
    </row>
    <row r="4" spans="1:13">
      <c r="A4" s="86"/>
      <c r="B4" s="1" t="s">
        <v>46</v>
      </c>
      <c r="C4" s="1"/>
      <c r="D4" s="1"/>
    </row>
    <row r="5" spans="1:13">
      <c r="A5" s="86"/>
      <c r="B5" s="20" t="s">
        <v>331</v>
      </c>
      <c r="C5" s="3"/>
      <c r="D5" s="3"/>
      <c r="H5" s="18"/>
    </row>
    <row r="6" spans="1:13">
      <c r="A6" s="86"/>
    </row>
    <row r="7" spans="1:13" s="73" customFormat="1">
      <c r="A7" s="85"/>
      <c r="B7" s="73" t="s">
        <v>5</v>
      </c>
      <c r="F7" s="73" t="s">
        <v>6</v>
      </c>
      <c r="H7" s="73" t="s">
        <v>12</v>
      </c>
      <c r="J7" s="73" t="s">
        <v>13</v>
      </c>
      <c r="L7" s="81" t="s">
        <v>176</v>
      </c>
      <c r="M7" s="81" t="s">
        <v>177</v>
      </c>
    </row>
    <row r="8" spans="1:13">
      <c r="A8" s="86"/>
    </row>
    <row r="9" spans="1:13" s="8" customFormat="1">
      <c r="A9" s="85"/>
      <c r="B9" s="8" t="s">
        <v>48</v>
      </c>
    </row>
    <row r="10" spans="1:13">
      <c r="A10" s="86"/>
    </row>
    <row r="11" spans="1:13">
      <c r="A11" s="86"/>
      <c r="B11" s="1" t="s">
        <v>102</v>
      </c>
    </row>
    <row r="12" spans="1:13" s="112" customFormat="1">
      <c r="A12" s="86"/>
      <c r="B12" s="112" t="s">
        <v>203</v>
      </c>
      <c r="F12" s="112" t="s">
        <v>9</v>
      </c>
      <c r="H12" s="95">
        <f>'CPI &amp; WACC'!L28</f>
        <v>6.4100000000000004E-2</v>
      </c>
    </row>
    <row r="13" spans="1:13">
      <c r="A13" s="86"/>
      <c r="B13" s="2" t="s">
        <v>10</v>
      </c>
      <c r="F13" s="2" t="s">
        <v>9</v>
      </c>
      <c r="H13" s="95">
        <f>'CPI &amp; WACC'!M20</f>
        <v>-1.3000000000000001E-2</v>
      </c>
    </row>
    <row r="14" spans="1:13">
      <c r="A14" s="86"/>
      <c r="B14" s="112" t="s">
        <v>11</v>
      </c>
      <c r="F14" s="2" t="s">
        <v>9</v>
      </c>
      <c r="H14" s="95">
        <f>'CPI &amp; WACC'!M21</f>
        <v>4.3999999999999997E-2</v>
      </c>
    </row>
    <row r="15" spans="1:13">
      <c r="A15" s="86"/>
    </row>
    <row r="16" spans="1:13">
      <c r="A16" s="86"/>
      <c r="B16" s="25" t="s">
        <v>49</v>
      </c>
    </row>
    <row r="17" spans="1:13">
      <c r="A17" s="86"/>
      <c r="B17" s="2" t="s">
        <v>103</v>
      </c>
      <c r="F17" s="2" t="s">
        <v>19</v>
      </c>
      <c r="J17" s="77">
        <f>L17+M17</f>
        <v>1889451.8800000001</v>
      </c>
      <c r="L17" s="38">
        <f>'Data on costs'!L13</f>
        <v>1043230.0815068763</v>
      </c>
      <c r="M17" s="38">
        <f>'Data on costs'!M13</f>
        <v>846221.79849312385</v>
      </c>
    </row>
    <row r="18" spans="1:13">
      <c r="A18" s="86"/>
      <c r="B18" s="2" t="s">
        <v>50</v>
      </c>
      <c r="F18" s="2" t="s">
        <v>19</v>
      </c>
      <c r="J18" s="77">
        <f>L18+M18</f>
        <v>6727033.3348986795</v>
      </c>
      <c r="L18" s="38">
        <f>'Data on costs'!L20</f>
        <v>2418246.4801129857</v>
      </c>
      <c r="M18" s="38">
        <f>'Data on costs'!M20</f>
        <v>4308786.8547856938</v>
      </c>
    </row>
    <row r="19" spans="1:13">
      <c r="A19" s="86"/>
      <c r="B19" s="2" t="s">
        <v>51</v>
      </c>
      <c r="F19" s="2" t="s">
        <v>19</v>
      </c>
      <c r="J19" s="77">
        <f>L19+M19</f>
        <v>370775.43894025276</v>
      </c>
      <c r="L19" s="38">
        <f>'Data on costs'!L21</f>
        <v>109385.65205411208</v>
      </c>
      <c r="M19" s="38">
        <f>'Data on costs'!M21</f>
        <v>261389.78688614065</v>
      </c>
    </row>
    <row r="20" spans="1:13">
      <c r="A20" s="86"/>
    </row>
    <row r="21" spans="1:13">
      <c r="A21" s="86"/>
      <c r="B21" s="25" t="s">
        <v>53</v>
      </c>
    </row>
    <row r="22" spans="1:13">
      <c r="A22" s="86"/>
      <c r="B22" s="2" t="s">
        <v>52</v>
      </c>
      <c r="F22" s="2" t="s">
        <v>19</v>
      </c>
      <c r="J22" s="77">
        <f>L22+M22</f>
        <v>76388.510000000009</v>
      </c>
      <c r="L22" s="38">
        <f>'Data on costs'!L17</f>
        <v>368.09996360998542</v>
      </c>
      <c r="M22" s="38">
        <f>'Data on costs'!M17</f>
        <v>76020.410036390022</v>
      </c>
    </row>
    <row r="23" spans="1:13">
      <c r="A23" s="86"/>
      <c r="B23" s="2" t="s">
        <v>269</v>
      </c>
      <c r="F23" s="2" t="s">
        <v>36</v>
      </c>
      <c r="J23" s="77">
        <f>L23+M23</f>
        <v>26011.855</v>
      </c>
      <c r="L23" s="79"/>
      <c r="M23" s="38">
        <f>'Data on volumes and tariffs'!M43</f>
        <v>26011.855</v>
      </c>
    </row>
    <row r="24" spans="1:13">
      <c r="A24" s="86"/>
    </row>
    <row r="25" spans="1:13">
      <c r="A25" s="86"/>
      <c r="B25" s="25" t="s">
        <v>54</v>
      </c>
    </row>
    <row r="26" spans="1:13">
      <c r="A26" s="86"/>
      <c r="B26" s="2" t="s">
        <v>55</v>
      </c>
      <c r="F26" s="2" t="s">
        <v>19</v>
      </c>
      <c r="J26" s="77">
        <f>L26+M26</f>
        <v>46.26</v>
      </c>
      <c r="L26" s="80"/>
      <c r="M26" s="38">
        <f>'Data on costs'!M14</f>
        <v>46.26</v>
      </c>
    </row>
    <row r="27" spans="1:13">
      <c r="A27" s="86"/>
    </row>
    <row r="28" spans="1:13">
      <c r="A28" s="86"/>
      <c r="B28" s="25" t="s">
        <v>97</v>
      </c>
    </row>
    <row r="29" spans="1:13">
      <c r="A29" s="86"/>
      <c r="B29" s="2" t="s">
        <v>98</v>
      </c>
      <c r="F29" s="2" t="s">
        <v>19</v>
      </c>
      <c r="J29" s="77">
        <f>L29+M29</f>
        <v>19160.348683697637</v>
      </c>
      <c r="L29" s="38">
        <f>'Data on corrections'!L12</f>
        <v>19160.348683697637</v>
      </c>
      <c r="M29" s="79"/>
    </row>
    <row r="30" spans="1:13">
      <c r="A30" s="86"/>
      <c r="B30" s="2" t="s">
        <v>99</v>
      </c>
      <c r="F30" s="2" t="s">
        <v>19</v>
      </c>
      <c r="J30" s="77">
        <f>L30+M30</f>
        <v>58199.237521417206</v>
      </c>
      <c r="L30" s="38">
        <f>'Data on corrections'!L15</f>
        <v>58199.237521417206</v>
      </c>
      <c r="M30" s="79"/>
    </row>
    <row r="31" spans="1:13">
      <c r="A31" s="86"/>
      <c r="B31" s="2" t="s">
        <v>100</v>
      </c>
      <c r="F31" s="2" t="s">
        <v>19</v>
      </c>
      <c r="J31" s="77">
        <f>L31+M31</f>
        <v>39150.031088400865</v>
      </c>
      <c r="L31" s="38">
        <f>'Data on corrections'!L18</f>
        <v>39150.031088400865</v>
      </c>
      <c r="M31" s="79"/>
    </row>
    <row r="32" spans="1:13">
      <c r="A32" s="86"/>
    </row>
    <row r="33" spans="1:25" s="8" customFormat="1">
      <c r="A33" s="73"/>
      <c r="B33" s="8" t="s">
        <v>59</v>
      </c>
    </row>
    <row r="34" spans="1:25">
      <c r="A34" s="86"/>
    </row>
    <row r="35" spans="1:25">
      <c r="A35" s="86"/>
      <c r="B35" s="1" t="s">
        <v>174</v>
      </c>
    </row>
    <row r="36" spans="1:25">
      <c r="A36" s="86"/>
      <c r="B36" s="2" t="s">
        <v>174</v>
      </c>
      <c r="F36" s="2" t="s">
        <v>84</v>
      </c>
      <c r="J36" s="77">
        <f>L36+M36</f>
        <v>826380.87068047863</v>
      </c>
      <c r="L36" s="31">
        <f>(L18*H12+L19)*(1+$H$13)*(1+$H$14)</f>
        <v>272440.27013984689</v>
      </c>
      <c r="M36" s="31">
        <f>(M18*$H$12+M19)*(1+$H$13)*(1+$H$14)</f>
        <v>553940.60054063168</v>
      </c>
    </row>
    <row r="37" spans="1:25">
      <c r="A37" s="86"/>
    </row>
    <row r="38" spans="1:25">
      <c r="A38" s="86"/>
      <c r="B38" s="25" t="s">
        <v>215</v>
      </c>
    </row>
    <row r="39" spans="1:25">
      <c r="A39" s="86"/>
      <c r="B39" s="2" t="s">
        <v>216</v>
      </c>
      <c r="F39" s="2" t="s">
        <v>84</v>
      </c>
      <c r="J39" s="77">
        <f>L39+M39</f>
        <v>1946944.1218046402</v>
      </c>
      <c r="L39" s="31">
        <f>L17*(1+$H$13)*(1+$H$14)</f>
        <v>1074973.4864269674</v>
      </c>
      <c r="M39" s="31">
        <f>M17*(1+$H$13)*(1+$H$14)</f>
        <v>871970.63537767262</v>
      </c>
    </row>
    <row r="40" spans="1:25">
      <c r="A40" s="86"/>
    </row>
    <row r="41" spans="1:25">
      <c r="A41" s="86"/>
      <c r="B41" s="25" t="s">
        <v>56</v>
      </c>
    </row>
    <row r="42" spans="1:25">
      <c r="A42" s="86"/>
      <c r="B42" s="2" t="s">
        <v>58</v>
      </c>
      <c r="F42" s="2" t="s">
        <v>84</v>
      </c>
      <c r="J42" s="77">
        <f>L42+M42</f>
        <v>102553.92399</v>
      </c>
      <c r="L42" s="77">
        <f>((L22)*(1+$H$13)+(1+$H$14))+(L23*(1+$H$14))</f>
        <v>364.3586640830556</v>
      </c>
      <c r="M42" s="31">
        <f>((M22)*(1+$H$13)+(1+$H$14))+(M23*(1+$H$14))</f>
        <v>102189.56532591693</v>
      </c>
      <c r="Y42" s="24"/>
    </row>
    <row r="43" spans="1:25">
      <c r="A43" s="86"/>
    </row>
    <row r="44" spans="1:25">
      <c r="A44" s="86"/>
      <c r="B44" s="25" t="s">
        <v>57</v>
      </c>
    </row>
    <row r="45" spans="1:25">
      <c r="A45" s="86"/>
      <c r="B45" s="2" t="s">
        <v>57</v>
      </c>
      <c r="F45" s="2" t="s">
        <v>84</v>
      </c>
      <c r="J45" s="77">
        <f>L45+M45</f>
        <v>47.667599279999997</v>
      </c>
      <c r="L45" s="31">
        <f>(L26)*(1+$H$13)*(1+$H$14)</f>
        <v>0</v>
      </c>
      <c r="M45" s="31">
        <f>(M26)*(1+$H$13)*(1+$H$14)</f>
        <v>47.667599279999997</v>
      </c>
    </row>
    <row r="46" spans="1:25" s="75" customFormat="1">
      <c r="A46" s="86"/>
    </row>
    <row r="47" spans="1:25">
      <c r="A47" s="86"/>
      <c r="B47" s="25" t="s">
        <v>172</v>
      </c>
      <c r="F47" s="2" t="s">
        <v>84</v>
      </c>
      <c r="J47" s="77">
        <f>L47+M47</f>
        <v>2670818.7360943984</v>
      </c>
      <c r="L47" s="37">
        <f>L36+L39-L42+L45</f>
        <v>1347049.3979027313</v>
      </c>
      <c r="M47" s="37">
        <f>M36+M39-M42+M45</f>
        <v>1323769.3381916673</v>
      </c>
    </row>
    <row r="48" spans="1:25">
      <c r="A48" s="86"/>
      <c r="B48" s="25" t="s">
        <v>98</v>
      </c>
      <c r="F48" s="2" t="s">
        <v>84</v>
      </c>
      <c r="J48" s="77">
        <f>L48+M48</f>
        <v>19743.359773445191</v>
      </c>
      <c r="L48" s="37">
        <f t="shared" ref="L48:M50" si="0">L29*(1+$H$13)*(1+$H$14)</f>
        <v>19743.359773445191</v>
      </c>
      <c r="M48" s="78">
        <f t="shared" si="0"/>
        <v>0</v>
      </c>
    </row>
    <row r="49" spans="1:13">
      <c r="A49" s="86"/>
      <c r="B49" s="25" t="s">
        <v>99</v>
      </c>
      <c r="F49" s="2" t="s">
        <v>84</v>
      </c>
      <c r="J49" s="77">
        <f>L49+M49</f>
        <v>59970.123920718892</v>
      </c>
      <c r="L49" s="37">
        <f t="shared" si="0"/>
        <v>59970.123920718892</v>
      </c>
      <c r="M49" s="78">
        <f t="shared" si="0"/>
        <v>0</v>
      </c>
    </row>
    <row r="50" spans="1:13">
      <c r="A50" s="86"/>
      <c r="B50" s="25" t="s">
        <v>100</v>
      </c>
      <c r="F50" s="2" t="s">
        <v>84</v>
      </c>
      <c r="J50" s="77">
        <f>L50+M50</f>
        <v>40341.288234358726</v>
      </c>
      <c r="L50" s="37">
        <f t="shared" si="0"/>
        <v>40341.288234358726</v>
      </c>
      <c r="M50" s="78">
        <f t="shared" si="0"/>
        <v>0</v>
      </c>
    </row>
    <row r="52" spans="1:13">
      <c r="B52" s="2" t="s">
        <v>268</v>
      </c>
      <c r="F52" s="2" t="s">
        <v>84</v>
      </c>
      <c r="J52" s="113">
        <f>SUM(L52:M52)</f>
        <v>2790873.5080229212</v>
      </c>
      <c r="L52" s="114">
        <f>SUM(L47:L50)</f>
        <v>1467104.1698312541</v>
      </c>
      <c r="M52" s="114">
        <f>SUM(M47:M50)</f>
        <v>1323769.3381916673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33"/>
  <sheetViews>
    <sheetView showGridLines="0" zoomScale="85" zoomScaleNormal="85" workbookViewId="0">
      <pane xSplit="6" ySplit="7" topLeftCell="G8" activePane="bottomRight" state="frozen"/>
      <selection activeCell="J76" sqref="J76"/>
      <selection pane="topRight" activeCell="J76" sqref="J76"/>
      <selection pane="bottomLeft" activeCell="J76" sqref="J76"/>
      <selection pane="bottomRight" activeCell="G8" sqref="G8"/>
    </sheetView>
  </sheetViews>
  <sheetFormatPr defaultRowHeight="12.75"/>
  <cols>
    <col min="1" max="1" width="4" style="2" customWidth="1"/>
    <col min="2" max="2" width="59.5703125" style="2" customWidth="1"/>
    <col min="3" max="5" width="3.5703125" style="2" customWidth="1"/>
    <col min="6" max="6" width="25.7109375" style="2" customWidth="1"/>
    <col min="7" max="7" width="3.5703125" style="2" customWidth="1"/>
    <col min="8" max="8" width="25.7109375" style="2" customWidth="1"/>
    <col min="9" max="9" width="3.5703125" style="2" customWidth="1"/>
    <col min="10" max="10" width="25.7109375" style="2" customWidth="1"/>
    <col min="11" max="11" width="3.5703125" style="2" customWidth="1"/>
    <col min="12" max="12" width="25.7109375" style="2" customWidth="1"/>
    <col min="13" max="13" width="3.5703125" style="2" customWidth="1"/>
    <col min="14" max="16384" width="9.140625" style="2"/>
  </cols>
  <sheetData>
    <row r="1" spans="1:10">
      <c r="A1" s="86"/>
    </row>
    <row r="2" spans="1:10" s="17" customFormat="1" ht="18">
      <c r="A2" s="7"/>
      <c r="B2" s="17" t="s">
        <v>139</v>
      </c>
    </row>
    <row r="3" spans="1:10">
      <c r="A3" s="86"/>
    </row>
    <row r="4" spans="1:10">
      <c r="A4" s="86"/>
      <c r="B4" s="1" t="s">
        <v>140</v>
      </c>
      <c r="C4" s="1"/>
      <c r="D4" s="1"/>
    </row>
    <row r="5" spans="1:10">
      <c r="A5" s="74"/>
      <c r="B5" s="20" t="s">
        <v>330</v>
      </c>
      <c r="C5" s="20"/>
      <c r="D5" s="20"/>
      <c r="H5" s="18"/>
    </row>
    <row r="6" spans="1:10">
      <c r="A6" s="86"/>
      <c r="B6" s="20"/>
    </row>
    <row r="7" spans="1:10" s="48" customFormat="1" ht="38.25">
      <c r="B7" s="48" t="s">
        <v>105</v>
      </c>
      <c r="F7" s="53" t="s">
        <v>141</v>
      </c>
      <c r="H7" s="53" t="s">
        <v>142</v>
      </c>
      <c r="J7" s="83" t="s">
        <v>179</v>
      </c>
    </row>
    <row r="8" spans="1:10">
      <c r="A8" s="86"/>
    </row>
    <row r="9" spans="1:10" s="48" customFormat="1">
      <c r="B9" s="48" t="s">
        <v>143</v>
      </c>
    </row>
    <row r="10" spans="1:10" s="86" customFormat="1">
      <c r="F10" s="96"/>
      <c r="H10" s="97"/>
      <c r="J10" s="98"/>
    </row>
    <row r="11" spans="1:10">
      <c r="A11" s="86"/>
      <c r="B11" s="1" t="s">
        <v>329</v>
      </c>
      <c r="F11" s="56"/>
      <c r="H11" s="45"/>
      <c r="J11" s="55"/>
    </row>
    <row r="12" spans="1:10">
      <c r="A12" s="86"/>
      <c r="F12" s="56"/>
      <c r="H12" s="45"/>
      <c r="J12" s="55"/>
    </row>
    <row r="13" spans="1:10">
      <c r="A13" s="86"/>
      <c r="B13" s="33" t="str">
        <f>'Input data fuel purchase'!B28</f>
        <v>April_1</v>
      </c>
      <c r="F13" s="32">
        <f>'Input data fuel purchase'!H28</f>
        <v>0.75329999999999997</v>
      </c>
      <c r="H13" s="38">
        <f>'Input data fuel purchase'!L28</f>
        <v>80235</v>
      </c>
      <c r="J13" s="55"/>
    </row>
    <row r="14" spans="1:10">
      <c r="A14" s="86"/>
      <c r="B14" s="33" t="str">
        <f>'Input data fuel purchase'!B29</f>
        <v>April_2</v>
      </c>
      <c r="F14" s="32">
        <f>'Input data fuel purchase'!H29</f>
        <v>0.80420000000000003</v>
      </c>
      <c r="H14" s="38">
        <f>'Input data fuel purchase'!L29</f>
        <v>6165</v>
      </c>
      <c r="J14" s="55"/>
    </row>
    <row r="15" spans="1:10">
      <c r="A15" s="86"/>
      <c r="B15" s="33" t="str">
        <f>'Input data fuel purchase'!B30</f>
        <v>April_3</v>
      </c>
      <c r="F15" s="32">
        <f>'Input data fuel purchase'!H30</f>
        <v>0.80420000000000003</v>
      </c>
      <c r="H15" s="38">
        <f>'Input data fuel purchase'!L30</f>
        <v>87000</v>
      </c>
      <c r="J15" s="54">
        <f>SUMPRODUCT(F13:F15,H13:H15)/SUM(H13:H15)</f>
        <v>0.78064774221453281</v>
      </c>
    </row>
    <row r="16" spans="1:10">
      <c r="A16" s="86"/>
      <c r="B16" s="33" t="str">
        <f>'Input data fuel purchase'!B31</f>
        <v>May_1</v>
      </c>
      <c r="F16" s="32">
        <f>'Input data fuel purchase'!H31</f>
        <v>0.80420000000000003</v>
      </c>
      <c r="H16" s="38">
        <f>'Input data fuel purchase'!L31</f>
        <v>88100</v>
      </c>
      <c r="J16" s="54">
        <f>SUMPRODUCT(F16,H16)/SUM(H16)</f>
        <v>0.80420000000000003</v>
      </c>
    </row>
    <row r="17" spans="1:10">
      <c r="A17" s="86"/>
      <c r="B17" s="33" t="str">
        <f>'Input data fuel purchase'!B32</f>
        <v>June_1</v>
      </c>
      <c r="F17" s="32">
        <f>'Input data fuel purchase'!H32</f>
        <v>0.80420000000000003</v>
      </c>
      <c r="H17" s="38">
        <f>'Input data fuel purchase'!L32</f>
        <v>43300</v>
      </c>
      <c r="J17" s="55"/>
    </row>
    <row r="18" spans="1:10">
      <c r="A18" s="86"/>
      <c r="B18" s="33" t="str">
        <f>'Input data fuel purchase'!B33</f>
        <v>June_2</v>
      </c>
      <c r="F18" s="32">
        <f>'Input data fuel purchase'!H33</f>
        <v>0.80420000000000003</v>
      </c>
      <c r="H18" s="38">
        <f>'Input data fuel purchase'!L33</f>
        <v>12459</v>
      </c>
      <c r="J18" s="57"/>
    </row>
    <row r="19" spans="1:10">
      <c r="A19" s="86"/>
      <c r="B19" s="33" t="str">
        <f>'Input data fuel purchase'!B34</f>
        <v>June_2</v>
      </c>
      <c r="F19" s="32">
        <f>'Input data fuel purchase'!H34</f>
        <v>0.83520000000000005</v>
      </c>
      <c r="H19" s="38">
        <f>'Input data fuel purchase'!L34</f>
        <v>32741</v>
      </c>
    </row>
    <row r="20" spans="1:10">
      <c r="A20" s="86"/>
      <c r="B20" s="33" t="str">
        <f>'Input data fuel purchase'!B35</f>
        <v>June_3</v>
      </c>
      <c r="F20" s="32">
        <f>'Input data fuel purchase'!H35</f>
        <v>0.83520000000000005</v>
      </c>
      <c r="H20" s="38">
        <f>'Input data fuel purchase'!L35</f>
        <v>86000</v>
      </c>
    </row>
    <row r="21" spans="1:10">
      <c r="A21" s="86"/>
      <c r="B21" s="33" t="str">
        <f>'Input data fuel purchase'!B36</f>
        <v>June_4</v>
      </c>
      <c r="F21" s="32">
        <f>'Input data fuel purchase'!H36</f>
        <v>0.83520000000000005</v>
      </c>
      <c r="H21" s="38">
        <f>'Input data fuel purchase'!L36</f>
        <v>40700</v>
      </c>
      <c r="J21" s="54">
        <f>SUMPRODUCT(F17:F21,H17:H21)/SUM(H17:H21)</f>
        <v>0.82716780204460971</v>
      </c>
    </row>
    <row r="22" spans="1:10">
      <c r="A22" s="86"/>
      <c r="B22" s="33" t="str">
        <f>'Input data fuel purchase'!B37</f>
        <v>July_1</v>
      </c>
      <c r="F22" s="32">
        <f>'Input data fuel purchase'!H37</f>
        <v>0.83520000000000005</v>
      </c>
      <c r="H22" s="38">
        <f>'Input data fuel purchase'!L37</f>
        <v>90129</v>
      </c>
    </row>
    <row r="23" spans="1:10">
      <c r="A23" s="86"/>
      <c r="B23" s="33" t="str">
        <f>'Input data fuel purchase'!B38</f>
        <v>July_2</v>
      </c>
      <c r="F23" s="32">
        <f>'Input data fuel purchase'!H38</f>
        <v>0.80979999999999996</v>
      </c>
      <c r="H23" s="38">
        <f>'Input data fuel purchase'!L38</f>
        <v>24871</v>
      </c>
    </row>
    <row r="24" spans="1:10">
      <c r="A24" s="86"/>
      <c r="B24" s="33" t="str">
        <f>'Input data fuel purchase'!B39</f>
        <v>July_3</v>
      </c>
      <c r="F24" s="32">
        <f>'Input data fuel purchase'!H39</f>
        <v>0.80979999999999996</v>
      </c>
      <c r="H24" s="38">
        <f>'Input data fuel purchase'!L39</f>
        <v>62000</v>
      </c>
      <c r="J24" s="54">
        <f>SUMPRODUCT(F22:F24,H22:H24)/SUM(H22:H24)</f>
        <v>0.8227337661016948</v>
      </c>
    </row>
    <row r="25" spans="1:10">
      <c r="A25" s="86"/>
      <c r="B25" s="33" t="str">
        <f>'Input data fuel purchase'!B40</f>
        <v>August_1</v>
      </c>
      <c r="F25" s="32">
        <f>'Input data fuel purchase'!H40</f>
        <v>0.80979999999999996</v>
      </c>
      <c r="H25" s="38">
        <f>'Input data fuel purchase'!L40</f>
        <v>75100</v>
      </c>
    </row>
    <row r="26" spans="1:10">
      <c r="A26" s="86"/>
      <c r="B26" s="33" t="str">
        <f>'Input data fuel purchase'!B41</f>
        <v>August_2</v>
      </c>
      <c r="F26" s="32">
        <f>'Input data fuel purchase'!H41</f>
        <v>0.80979999999999996</v>
      </c>
      <c r="H26" s="38">
        <f>'Input data fuel purchase'!L41</f>
        <v>63434</v>
      </c>
    </row>
    <row r="27" spans="1:10">
      <c r="A27" s="86"/>
      <c r="B27" s="33" t="str">
        <f>'Input data fuel purchase'!B42</f>
        <v>August_3</v>
      </c>
      <c r="F27" s="32">
        <f>'Input data fuel purchase'!H42</f>
        <v>0.8296</v>
      </c>
      <c r="H27" s="38">
        <f>'Input data fuel purchase'!L42</f>
        <v>69966</v>
      </c>
      <c r="J27" s="54">
        <f>SUMPRODUCT(F25:F27,H25:H27)/SUM(H25:H27)</f>
        <v>0.8164442532374101</v>
      </c>
    </row>
    <row r="28" spans="1:10">
      <c r="A28" s="86"/>
      <c r="B28" s="33" t="str">
        <f>'Input data fuel purchase'!B43</f>
        <v>September_1</v>
      </c>
      <c r="F28" s="32">
        <f>'Input data fuel purchase'!H43</f>
        <v>0.8296</v>
      </c>
      <c r="H28" s="38">
        <f>'Input data fuel purchase'!L43</f>
        <v>86800</v>
      </c>
      <c r="J28" s="54">
        <f>SUMPRODUCT(F28,H28)/SUM(H28)</f>
        <v>0.8296</v>
      </c>
    </row>
    <row r="29" spans="1:10" s="75" customFormat="1">
      <c r="A29" s="86"/>
      <c r="B29" s="33" t="str">
        <f>'Input data fuel purchase'!B44</f>
        <v>October_1</v>
      </c>
      <c r="F29" s="32">
        <f>'Input data fuel purchase'!H44</f>
        <v>0.8296</v>
      </c>
      <c r="H29" s="38">
        <f>'Input data fuel purchase'!L44</f>
        <v>69068</v>
      </c>
    </row>
    <row r="30" spans="1:10" s="75" customFormat="1">
      <c r="A30" s="86"/>
      <c r="B30" s="33" t="str">
        <f>'Input data fuel purchase'!B45</f>
        <v>October_2</v>
      </c>
      <c r="F30" s="32">
        <f>'Input data fuel purchase'!H45</f>
        <v>0.85209999999999997</v>
      </c>
      <c r="H30" s="38">
        <f>'Input data fuel purchase'!L45</f>
        <v>19132</v>
      </c>
    </row>
    <row r="31" spans="1:10" s="75" customFormat="1">
      <c r="A31" s="86"/>
      <c r="B31" s="33" t="str">
        <f>'Input data fuel purchase'!B46</f>
        <v>October_3</v>
      </c>
      <c r="F31" s="32">
        <f>'Input data fuel purchase'!H46</f>
        <v>0.85209999999999997</v>
      </c>
      <c r="H31" s="38">
        <f>'Input data fuel purchase'!L46</f>
        <v>81000</v>
      </c>
      <c r="J31" s="54">
        <f>SUMPRODUCT(F29:F31,H29:H31)/SUM(H29:H31)</f>
        <v>0.84291542553191479</v>
      </c>
    </row>
    <row r="32" spans="1:10">
      <c r="A32" s="86"/>
    </row>
    <row r="33" spans="1:10">
      <c r="A33" s="86"/>
      <c r="B33" s="58" t="s">
        <v>217</v>
      </c>
      <c r="F33" s="32">
        <f>F31</f>
        <v>0.85209999999999997</v>
      </c>
      <c r="J33" s="7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36"/>
  <sheetViews>
    <sheetView showGridLines="0" zoomScale="85" zoomScaleNormal="85" workbookViewId="0">
      <pane ySplit="3" topLeftCell="A4" activePane="bottomLeft" state="frozen"/>
      <selection activeCell="A4" sqref="A4"/>
      <selection pane="bottomLeft" activeCell="A4" sqref="A4"/>
    </sheetView>
  </sheetViews>
  <sheetFormatPr defaultRowHeight="12.75"/>
  <cols>
    <col min="1" max="1" width="2.85546875" style="112" customWidth="1"/>
    <col min="2" max="2" width="19.140625" style="112" customWidth="1"/>
    <col min="3" max="3" width="20.7109375" style="112" customWidth="1"/>
    <col min="4" max="4" width="56.85546875" style="112" customWidth="1"/>
    <col min="5" max="5" width="29.85546875" style="112" customWidth="1"/>
    <col min="6" max="6" width="24.7109375" style="112" customWidth="1"/>
    <col min="7" max="7" width="37.28515625" style="112" customWidth="1"/>
    <col min="8" max="16384" width="9.140625" style="112"/>
  </cols>
  <sheetData>
    <row r="2" spans="2:8" s="7" customFormat="1" ht="18">
      <c r="B2" s="7" t="s">
        <v>284</v>
      </c>
    </row>
    <row r="4" spans="2:8" s="110" customFormat="1">
      <c r="B4" s="110" t="s">
        <v>185</v>
      </c>
    </row>
    <row r="6" spans="2:8">
      <c r="B6" s="20" t="s">
        <v>285</v>
      </c>
    </row>
    <row r="7" spans="2:8">
      <c r="B7" s="112" t="s">
        <v>286</v>
      </c>
      <c r="H7" s="121"/>
    </row>
    <row r="8" spans="2:8">
      <c r="B8" s="112" t="s">
        <v>287</v>
      </c>
      <c r="H8" s="121"/>
    </row>
    <row r="11" spans="2:8" s="110" customFormat="1">
      <c r="B11" s="110" t="s">
        <v>288</v>
      </c>
    </row>
    <row r="12" spans="2:8">
      <c r="C12" s="74"/>
    </row>
    <row r="13" spans="2:8">
      <c r="B13" s="111" t="s">
        <v>289</v>
      </c>
      <c r="C13" s="74"/>
      <c r="D13" s="111" t="s">
        <v>105</v>
      </c>
      <c r="F13" s="13"/>
    </row>
    <row r="14" spans="2:8">
      <c r="C14" s="74"/>
    </row>
    <row r="15" spans="2:8">
      <c r="B15" s="122">
        <v>123</v>
      </c>
      <c r="C15" s="74"/>
      <c r="D15" s="20" t="s">
        <v>290</v>
      </c>
    </row>
    <row r="16" spans="2:8">
      <c r="B16" s="123">
        <f>B15</f>
        <v>123</v>
      </c>
      <c r="C16" s="74"/>
      <c r="D16" s="112" t="s">
        <v>291</v>
      </c>
    </row>
    <row r="17" spans="2:6">
      <c r="B17" s="124">
        <f>B16+B15</f>
        <v>246</v>
      </c>
      <c r="C17" s="74"/>
      <c r="D17" s="112" t="s">
        <v>292</v>
      </c>
    </row>
    <row r="18" spans="2:6">
      <c r="B18" s="35">
        <f>B16+B17</f>
        <v>369</v>
      </c>
      <c r="C18" s="74"/>
      <c r="D18" s="20" t="s">
        <v>293</v>
      </c>
      <c r="E18" s="13"/>
      <c r="F18" s="5"/>
    </row>
    <row r="19" spans="2:6">
      <c r="B19" s="14"/>
      <c r="C19" s="74"/>
      <c r="D19" s="20" t="s">
        <v>294</v>
      </c>
      <c r="E19" s="13"/>
    </row>
    <row r="20" spans="2:6">
      <c r="B20" s="74"/>
      <c r="C20" s="74"/>
    </row>
    <row r="21" spans="2:6">
      <c r="B21" s="89" t="s">
        <v>295</v>
      </c>
      <c r="C21" s="74"/>
    </row>
    <row r="22" spans="2:6">
      <c r="B22" s="125">
        <f>B18+16</f>
        <v>385</v>
      </c>
      <c r="C22" s="74"/>
      <c r="D22" s="112" t="s">
        <v>296</v>
      </c>
    </row>
    <row r="23" spans="2:6">
      <c r="B23" s="126">
        <f>B16*PI()</f>
        <v>386.41589639154455</v>
      </c>
      <c r="C23" s="16"/>
      <c r="D23" s="112" t="s">
        <v>297</v>
      </c>
    </row>
    <row r="24" spans="2:6">
      <c r="B24" s="16"/>
      <c r="C24" s="16"/>
    </row>
    <row r="26" spans="2:6">
      <c r="B26" s="111" t="s">
        <v>298</v>
      </c>
    </row>
    <row r="27" spans="2:6">
      <c r="B27" s="109"/>
    </row>
    <row r="28" spans="2:6">
      <c r="B28" s="89" t="s">
        <v>299</v>
      </c>
    </row>
    <row r="29" spans="2:6">
      <c r="B29" s="127" t="s">
        <v>170</v>
      </c>
      <c r="C29" s="74"/>
      <c r="D29" s="20" t="s">
        <v>300</v>
      </c>
    </row>
    <row r="30" spans="2:6">
      <c r="B30" s="128" t="s">
        <v>1</v>
      </c>
      <c r="C30" s="74"/>
      <c r="D30" s="20" t="s">
        <v>301</v>
      </c>
    </row>
    <row r="31" spans="2:6">
      <c r="B31" s="129" t="s">
        <v>302</v>
      </c>
      <c r="C31" s="74"/>
      <c r="D31" s="20" t="s">
        <v>303</v>
      </c>
    </row>
    <row r="32" spans="2:6">
      <c r="B32" s="15" t="s">
        <v>302</v>
      </c>
      <c r="C32" s="74"/>
      <c r="D32" s="20" t="s">
        <v>304</v>
      </c>
    </row>
    <row r="33" spans="2:4">
      <c r="C33" s="74"/>
      <c r="D33" s="20"/>
    </row>
    <row r="34" spans="2:4">
      <c r="B34" s="89" t="s">
        <v>305</v>
      </c>
      <c r="C34" s="74"/>
      <c r="D34" s="20"/>
    </row>
    <row r="35" spans="2:4">
      <c r="B35" s="19" t="s">
        <v>2</v>
      </c>
      <c r="C35" s="74"/>
      <c r="D35" s="20" t="s">
        <v>306</v>
      </c>
    </row>
    <row r="36" spans="2:4">
      <c r="B36" s="130" t="s">
        <v>307</v>
      </c>
      <c r="D36" s="20" t="s">
        <v>308</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J51"/>
  <sheetViews>
    <sheetView showGridLines="0" zoomScale="85" zoomScaleNormal="85" workbookViewId="0">
      <pane ySplit="3" topLeftCell="A4" activePane="bottomLeft" state="frozen"/>
      <selection activeCell="A4" sqref="A4"/>
      <selection pane="bottomLeft" activeCell="A4" sqref="A4"/>
    </sheetView>
  </sheetViews>
  <sheetFormatPr defaultRowHeight="12.75"/>
  <cols>
    <col min="1" max="1" width="2.85546875" style="2" customWidth="1"/>
    <col min="2" max="2" width="7.5703125" style="2" customWidth="1"/>
    <col min="3" max="5" width="40.7109375" style="2" customWidth="1"/>
    <col min="6" max="6" width="4.5703125" style="2" customWidth="1"/>
    <col min="7" max="7" width="43.42578125" style="2" customWidth="1"/>
    <col min="8" max="8" width="28.7109375" style="2" customWidth="1"/>
    <col min="9" max="9" width="26.85546875" style="2" customWidth="1"/>
    <col min="10" max="10" width="58.42578125" style="2" customWidth="1"/>
    <col min="11" max="11" width="22" style="2" customWidth="1"/>
    <col min="12" max="16384" width="9.140625" style="2"/>
  </cols>
  <sheetData>
    <row r="2" spans="2:10" s="116" customFormat="1" ht="18">
      <c r="B2" s="116" t="s">
        <v>273</v>
      </c>
    </row>
    <row r="4" spans="2:10" s="117" customFormat="1">
      <c r="B4" s="117" t="s">
        <v>274</v>
      </c>
    </row>
    <row r="6" spans="2:10" s="112" customFormat="1">
      <c r="B6" s="4" t="s">
        <v>275</v>
      </c>
    </row>
    <row r="7" spans="2:10" s="112" customFormat="1">
      <c r="B7" s="4" t="s">
        <v>276</v>
      </c>
    </row>
    <row r="8" spans="2:10">
      <c r="G8" s="112"/>
      <c r="H8" s="112"/>
      <c r="I8" s="112"/>
      <c r="J8" s="112"/>
    </row>
    <row r="9" spans="2:10">
      <c r="B9" s="118" t="s">
        <v>277</v>
      </c>
      <c r="C9" s="118" t="s">
        <v>278</v>
      </c>
      <c r="D9" s="118" t="s">
        <v>279</v>
      </c>
      <c r="E9" s="120" t="s">
        <v>282</v>
      </c>
      <c r="G9" s="112"/>
      <c r="H9" s="112"/>
      <c r="I9" s="112"/>
      <c r="J9" s="112"/>
    </row>
    <row r="10" spans="2:10">
      <c r="B10" s="119"/>
      <c r="C10" s="119" t="s">
        <v>280</v>
      </c>
      <c r="D10" s="119" t="s">
        <v>281</v>
      </c>
      <c r="E10" s="21" t="s">
        <v>283</v>
      </c>
      <c r="G10" s="112"/>
      <c r="H10" s="112"/>
      <c r="I10" s="112"/>
      <c r="J10" s="112"/>
    </row>
    <row r="11" spans="2:10">
      <c r="B11" s="22">
        <v>1</v>
      </c>
      <c r="C11" s="6" t="s">
        <v>208</v>
      </c>
      <c r="D11" s="6" t="s">
        <v>365</v>
      </c>
      <c r="E11" s="6"/>
      <c r="G11" s="112"/>
      <c r="H11" s="112"/>
      <c r="I11" s="112"/>
      <c r="J11" s="112"/>
    </row>
    <row r="12" spans="2:10">
      <c r="B12" s="6">
        <v>2</v>
      </c>
      <c r="C12" s="6" t="s">
        <v>209</v>
      </c>
      <c r="D12" s="6" t="s">
        <v>366</v>
      </c>
      <c r="E12" s="6"/>
      <c r="G12" s="112"/>
      <c r="H12" s="112"/>
      <c r="I12" s="112"/>
      <c r="J12" s="112"/>
    </row>
    <row r="13" spans="2:10">
      <c r="B13" s="22">
        <v>3</v>
      </c>
      <c r="C13" s="6" t="s">
        <v>207</v>
      </c>
      <c r="D13" s="6" t="s">
        <v>367</v>
      </c>
      <c r="E13" s="6"/>
      <c r="G13" s="112"/>
      <c r="H13" s="112"/>
      <c r="I13" s="112"/>
      <c r="J13" s="112"/>
    </row>
    <row r="14" spans="2:10" ht="25.5" customHeight="1">
      <c r="B14" s="6">
        <v>4</v>
      </c>
      <c r="C14" s="6" t="s">
        <v>173</v>
      </c>
      <c r="D14" s="6" t="s">
        <v>173</v>
      </c>
      <c r="E14" s="134" t="s">
        <v>327</v>
      </c>
      <c r="G14" s="112"/>
      <c r="H14" s="112"/>
      <c r="I14" s="112"/>
      <c r="J14" s="112"/>
    </row>
    <row r="15" spans="2:10" ht="38.25">
      <c r="B15" s="22">
        <v>5</v>
      </c>
      <c r="C15" s="99" t="s">
        <v>223</v>
      </c>
      <c r="D15" s="99"/>
      <c r="E15" s="99" t="s">
        <v>193</v>
      </c>
      <c r="G15" s="112"/>
      <c r="H15" s="112"/>
      <c r="I15" s="112"/>
      <c r="J15" s="112"/>
    </row>
    <row r="16" spans="2:10" ht="25.5">
      <c r="B16" s="6">
        <v>6</v>
      </c>
      <c r="C16" s="99" t="s">
        <v>224</v>
      </c>
      <c r="D16" s="99"/>
      <c r="E16" s="99" t="s">
        <v>194</v>
      </c>
      <c r="G16" s="112"/>
      <c r="H16" s="112"/>
      <c r="I16" s="112"/>
      <c r="J16" s="112"/>
    </row>
    <row r="17" spans="2:10" ht="38.25">
      <c r="B17" s="22">
        <v>7</v>
      </c>
      <c r="C17" s="99" t="s">
        <v>225</v>
      </c>
      <c r="D17" s="99" t="s">
        <v>200</v>
      </c>
      <c r="E17" s="99" t="s">
        <v>226</v>
      </c>
      <c r="G17" s="112"/>
      <c r="H17" s="112"/>
      <c r="I17" s="112"/>
      <c r="J17" s="112"/>
    </row>
    <row r="18" spans="2:10">
      <c r="B18" s="6">
        <v>8</v>
      </c>
      <c r="C18" s="75" t="s">
        <v>227</v>
      </c>
      <c r="D18" s="6" t="s">
        <v>228</v>
      </c>
      <c r="E18" s="6"/>
      <c r="G18" s="112"/>
      <c r="H18" s="112"/>
      <c r="I18" s="112"/>
      <c r="J18" s="112"/>
    </row>
    <row r="19" spans="2:10">
      <c r="B19" s="22">
        <v>9</v>
      </c>
      <c r="C19" s="6" t="s">
        <v>87</v>
      </c>
      <c r="D19" s="6" t="s">
        <v>87</v>
      </c>
      <c r="E19" s="6"/>
      <c r="G19" s="112"/>
      <c r="H19" s="112"/>
      <c r="I19" s="112"/>
      <c r="J19" s="112"/>
    </row>
    <row r="20" spans="2:10" s="75" customFormat="1">
      <c r="B20" s="6">
        <v>10</v>
      </c>
      <c r="C20" s="75" t="s">
        <v>229</v>
      </c>
      <c r="D20" s="6" t="s">
        <v>230</v>
      </c>
      <c r="E20" s="6"/>
      <c r="G20" s="112"/>
      <c r="H20" s="112"/>
      <c r="I20" s="112"/>
      <c r="J20" s="112"/>
    </row>
    <row r="21" spans="2:10" s="75" customFormat="1">
      <c r="B21" s="22">
        <v>11</v>
      </c>
      <c r="C21" s="6" t="s">
        <v>231</v>
      </c>
      <c r="D21" s="6" t="s">
        <v>231</v>
      </c>
      <c r="E21" s="6"/>
      <c r="G21" s="101"/>
      <c r="H21" s="101"/>
      <c r="I21" s="101"/>
      <c r="J21" s="101"/>
    </row>
    <row r="22" spans="2:10" s="75" customFormat="1" ht="25.5">
      <c r="B22" s="6">
        <v>12</v>
      </c>
      <c r="C22" s="99" t="s">
        <v>320</v>
      </c>
      <c r="D22" s="112" t="s">
        <v>250</v>
      </c>
      <c r="E22" s="133" t="s">
        <v>328</v>
      </c>
      <c r="G22" s="101"/>
      <c r="H22" s="101"/>
      <c r="I22" s="101"/>
      <c r="J22" s="101"/>
    </row>
    <row r="23" spans="2:10" s="75" customFormat="1">
      <c r="B23" s="22">
        <v>13</v>
      </c>
      <c r="C23" s="6" t="s">
        <v>232</v>
      </c>
      <c r="D23" s="6" t="s">
        <v>232</v>
      </c>
      <c r="E23" s="6"/>
      <c r="G23" s="101"/>
      <c r="H23" s="101"/>
      <c r="I23" s="101"/>
      <c r="J23" s="101"/>
    </row>
    <row r="24" spans="2:10" s="75" customFormat="1">
      <c r="B24" s="6">
        <v>14</v>
      </c>
      <c r="C24" s="6" t="s">
        <v>233</v>
      </c>
      <c r="D24" s="6" t="s">
        <v>233</v>
      </c>
      <c r="E24" s="103"/>
      <c r="G24" s="101"/>
      <c r="H24" s="101"/>
      <c r="I24" s="101"/>
      <c r="J24" s="101"/>
    </row>
    <row r="25" spans="2:10" s="75" customFormat="1" ht="25.5">
      <c r="B25" s="22">
        <v>15</v>
      </c>
      <c r="C25" s="6" t="s">
        <v>124</v>
      </c>
      <c r="D25" s="99" t="s">
        <v>325</v>
      </c>
      <c r="E25" s="99" t="s">
        <v>326</v>
      </c>
      <c r="G25" s="101"/>
      <c r="H25" s="101"/>
      <c r="I25" s="101"/>
      <c r="J25" s="101"/>
    </row>
    <row r="26" spans="2:10" s="75" customFormat="1" ht="25.5">
      <c r="B26" s="6">
        <v>16</v>
      </c>
      <c r="C26" s="6" t="s">
        <v>127</v>
      </c>
      <c r="D26" s="99" t="s">
        <v>325</v>
      </c>
      <c r="E26" s="99" t="s">
        <v>326</v>
      </c>
      <c r="G26" s="101"/>
      <c r="H26" s="101"/>
      <c r="I26" s="101"/>
      <c r="J26" s="101"/>
    </row>
    <row r="27" spans="2:10" s="75" customFormat="1" ht="25.5">
      <c r="B27" s="22">
        <v>17</v>
      </c>
      <c r="C27" s="6" t="s">
        <v>128</v>
      </c>
      <c r="D27" s="99" t="s">
        <v>325</v>
      </c>
      <c r="E27" s="99" t="s">
        <v>326</v>
      </c>
      <c r="G27" s="101"/>
      <c r="H27" s="101"/>
      <c r="I27" s="101"/>
      <c r="J27" s="101"/>
    </row>
    <row r="28" spans="2:10" s="75" customFormat="1" ht="25.5">
      <c r="B28" s="6">
        <v>18</v>
      </c>
      <c r="C28" s="6" t="s">
        <v>129</v>
      </c>
      <c r="D28" s="99" t="s">
        <v>325</v>
      </c>
      <c r="E28" s="99" t="s">
        <v>326</v>
      </c>
      <c r="G28" s="101"/>
      <c r="H28" s="101"/>
      <c r="I28" s="101"/>
      <c r="J28" s="101"/>
    </row>
    <row r="29" spans="2:10" s="75" customFormat="1" ht="25.5">
      <c r="B29" s="22">
        <v>19</v>
      </c>
      <c r="C29" s="6" t="s">
        <v>130</v>
      </c>
      <c r="D29" s="99" t="s">
        <v>325</v>
      </c>
      <c r="E29" s="99" t="s">
        <v>326</v>
      </c>
      <c r="G29" s="101"/>
      <c r="H29" s="101"/>
      <c r="I29" s="101"/>
      <c r="J29" s="101"/>
    </row>
    <row r="30" spans="2:10" s="75" customFormat="1">
      <c r="B30" s="6">
        <v>20</v>
      </c>
      <c r="C30" s="102" t="s">
        <v>131</v>
      </c>
      <c r="D30" s="6" t="s">
        <v>235</v>
      </c>
      <c r="E30" s="6" t="s">
        <v>234</v>
      </c>
      <c r="G30" s="101"/>
      <c r="H30" s="101"/>
      <c r="I30" s="101"/>
      <c r="J30" s="101"/>
    </row>
    <row r="31" spans="2:10" s="75" customFormat="1">
      <c r="B31" s="22">
        <v>21</v>
      </c>
      <c r="C31" s="102" t="s">
        <v>132</v>
      </c>
      <c r="D31" s="6" t="s">
        <v>236</v>
      </c>
      <c r="E31" s="6" t="s">
        <v>234</v>
      </c>
      <c r="G31" s="101"/>
      <c r="H31" s="101"/>
      <c r="I31" s="101"/>
      <c r="J31" s="101"/>
    </row>
    <row r="32" spans="2:10" s="75" customFormat="1">
      <c r="B32" s="6">
        <v>22</v>
      </c>
      <c r="C32" s="102" t="s">
        <v>133</v>
      </c>
      <c r="D32" s="6" t="s">
        <v>237</v>
      </c>
      <c r="E32" s="22" t="s">
        <v>234</v>
      </c>
      <c r="G32" s="101"/>
      <c r="H32" s="101"/>
      <c r="I32" s="101"/>
      <c r="J32" s="101"/>
    </row>
    <row r="33" spans="2:5">
      <c r="B33" s="22">
        <v>23</v>
      </c>
      <c r="C33" s="102" t="s">
        <v>135</v>
      </c>
      <c r="D33" s="6" t="s">
        <v>238</v>
      </c>
      <c r="E33" s="6" t="s">
        <v>234</v>
      </c>
    </row>
    <row r="34" spans="2:5" s="75" customFormat="1">
      <c r="B34" s="6">
        <v>24</v>
      </c>
      <c r="C34" s="102" t="s">
        <v>136</v>
      </c>
      <c r="D34" s="6" t="s">
        <v>239</v>
      </c>
      <c r="E34" s="6" t="s">
        <v>234</v>
      </c>
    </row>
    <row r="35" spans="2:5" s="75" customFormat="1">
      <c r="B35" s="22">
        <v>25</v>
      </c>
      <c r="C35" s="102" t="s">
        <v>137</v>
      </c>
      <c r="D35" s="6" t="s">
        <v>240</v>
      </c>
      <c r="E35" s="6" t="s">
        <v>234</v>
      </c>
    </row>
    <row r="36" spans="2:5" s="75" customFormat="1">
      <c r="B36" s="6">
        <v>26</v>
      </c>
      <c r="C36" s="102" t="s">
        <v>137</v>
      </c>
      <c r="D36" s="6" t="s">
        <v>241</v>
      </c>
      <c r="E36" s="6" t="s">
        <v>234</v>
      </c>
    </row>
    <row r="37" spans="2:5" s="75" customFormat="1">
      <c r="B37" s="22">
        <v>27</v>
      </c>
      <c r="C37" s="102" t="s">
        <v>138</v>
      </c>
      <c r="D37" s="6" t="s">
        <v>242</v>
      </c>
      <c r="E37" s="6" t="s">
        <v>234</v>
      </c>
    </row>
    <row r="38" spans="2:5" s="75" customFormat="1" ht="25.5">
      <c r="B38" s="6">
        <v>28</v>
      </c>
      <c r="C38" s="6" t="s">
        <v>258</v>
      </c>
      <c r="D38" s="99" t="s">
        <v>260</v>
      </c>
      <c r="E38" s="6" t="s">
        <v>261</v>
      </c>
    </row>
    <row r="39" spans="2:5" s="75" customFormat="1" ht="25.5">
      <c r="B39" s="22">
        <v>29</v>
      </c>
      <c r="C39" s="6" t="s">
        <v>255</v>
      </c>
      <c r="D39" s="99" t="s">
        <v>259</v>
      </c>
      <c r="E39" s="6" t="s">
        <v>261</v>
      </c>
    </row>
    <row r="40" spans="2:5" s="75" customFormat="1">
      <c r="B40" s="6">
        <v>30</v>
      </c>
      <c r="C40" s="6" t="s">
        <v>246</v>
      </c>
      <c r="D40" s="6" t="s">
        <v>246</v>
      </c>
      <c r="E40" s="6" t="s">
        <v>263</v>
      </c>
    </row>
    <row r="41" spans="2:5" s="75" customFormat="1">
      <c r="B41" s="22">
        <v>31</v>
      </c>
      <c r="C41" s="6" t="s">
        <v>262</v>
      </c>
      <c r="D41" s="6" t="s">
        <v>262</v>
      </c>
      <c r="E41" s="6" t="s">
        <v>261</v>
      </c>
    </row>
    <row r="42" spans="2:5">
      <c r="B42" s="6">
        <v>32</v>
      </c>
      <c r="C42" s="6" t="s">
        <v>264</v>
      </c>
      <c r="D42" s="6" t="s">
        <v>248</v>
      </c>
      <c r="E42" s="6" t="s">
        <v>248</v>
      </c>
    </row>
    <row r="43" spans="2:5" s="75" customFormat="1" ht="51">
      <c r="B43" s="22">
        <v>33</v>
      </c>
      <c r="C43" s="6" t="s">
        <v>266</v>
      </c>
      <c r="D43" s="99" t="s">
        <v>265</v>
      </c>
      <c r="E43" s="99" t="s">
        <v>267</v>
      </c>
    </row>
    <row r="44" spans="2:5" s="75" customFormat="1" ht="25.5">
      <c r="B44" s="6">
        <v>34</v>
      </c>
      <c r="C44" s="6" t="s">
        <v>324</v>
      </c>
      <c r="D44" s="99" t="s">
        <v>325</v>
      </c>
      <c r="E44" s="99" t="s">
        <v>326</v>
      </c>
    </row>
    <row r="45" spans="2:5" s="112" customFormat="1"/>
    <row r="46" spans="2:5" s="112" customFormat="1"/>
    <row r="47" spans="2:5" s="112" customFormat="1"/>
    <row r="48" spans="2:5" s="112" customFormat="1"/>
    <row r="49" spans="3:5">
      <c r="C49" s="115"/>
      <c r="D49" s="115"/>
      <c r="E49" s="115"/>
    </row>
    <row r="50" spans="3:5">
      <c r="C50" s="115"/>
      <c r="D50" s="115"/>
      <c r="E50" s="115"/>
    </row>
    <row r="51" spans="3:5">
      <c r="C51" s="115"/>
      <c r="D51" s="115"/>
      <c r="E51" s="115"/>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97"/>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1" width="21" style="2" bestFit="1" customWidth="1"/>
    <col min="12" max="12" width="2.7109375" style="2" customWidth="1"/>
    <col min="13" max="13" width="8" style="2" bestFit="1" customWidth="1"/>
    <col min="14" max="27" width="13.7109375" style="2" customWidth="1"/>
    <col min="28" max="16384" width="9.140625" style="2"/>
  </cols>
  <sheetData>
    <row r="1" spans="1:13">
      <c r="A1" s="75"/>
    </row>
    <row r="2" spans="1:13" s="17" customFormat="1" ht="18">
      <c r="A2" s="84"/>
      <c r="B2" s="17" t="s">
        <v>363</v>
      </c>
    </row>
    <row r="3" spans="1:13">
      <c r="A3" s="75"/>
    </row>
    <row r="4" spans="1:13">
      <c r="A4" s="75"/>
      <c r="B4" s="1" t="s">
        <v>180</v>
      </c>
      <c r="C4" s="1"/>
      <c r="D4" s="1"/>
    </row>
    <row r="5" spans="1:13">
      <c r="A5" s="75"/>
      <c r="B5" s="20" t="s">
        <v>181</v>
      </c>
      <c r="C5" s="3"/>
      <c r="D5" s="3"/>
      <c r="H5" s="18"/>
    </row>
    <row r="6" spans="1:13">
      <c r="A6" s="75"/>
    </row>
    <row r="7" spans="1:13" s="8" customFormat="1">
      <c r="A7" s="85"/>
      <c r="B7" s="8" t="s">
        <v>5</v>
      </c>
      <c r="F7" s="8" t="s">
        <v>6</v>
      </c>
      <c r="H7" s="8" t="s">
        <v>12</v>
      </c>
      <c r="J7" s="8" t="s">
        <v>176</v>
      </c>
      <c r="K7" s="8" t="s">
        <v>177</v>
      </c>
      <c r="M7" s="8" t="s">
        <v>146</v>
      </c>
    </row>
    <row r="8" spans="1:13">
      <c r="A8" s="86"/>
    </row>
    <row r="9" spans="1:13" s="8" customFormat="1">
      <c r="A9" s="85"/>
      <c r="B9" s="81" t="s">
        <v>48</v>
      </c>
    </row>
    <row r="10" spans="1:13">
      <c r="A10" s="86"/>
    </row>
    <row r="11" spans="1:13">
      <c r="A11" s="86"/>
      <c r="B11" s="25" t="s">
        <v>362</v>
      </c>
    </row>
    <row r="12" spans="1:13">
      <c r="A12" s="86"/>
      <c r="B12" s="2" t="s">
        <v>11</v>
      </c>
      <c r="F12" s="2" t="s">
        <v>9</v>
      </c>
      <c r="H12" s="93">
        <f>'CPI &amp; WACC'!M21</f>
        <v>4.3999999999999997E-2</v>
      </c>
    </row>
    <row r="13" spans="1:13">
      <c r="A13" s="86"/>
    </row>
    <row r="14" spans="1:13">
      <c r="A14" s="86"/>
      <c r="B14" s="1" t="s">
        <v>60</v>
      </c>
    </row>
    <row r="15" spans="1:13">
      <c r="A15" s="86"/>
      <c r="B15" s="2" t="s">
        <v>218</v>
      </c>
      <c r="F15" s="2" t="s">
        <v>84</v>
      </c>
      <c r="J15" s="38">
        <f>'Calculation income level '!L47</f>
        <v>1347049.3979027313</v>
      </c>
    </row>
    <row r="16" spans="1:13">
      <c r="A16" s="86"/>
      <c r="B16" s="2" t="s">
        <v>91</v>
      </c>
      <c r="F16" s="75" t="s">
        <v>84</v>
      </c>
      <c r="J16" s="38">
        <f>'Calculation income level '!L48</f>
        <v>19743.359773445191</v>
      </c>
    </row>
    <row r="17" spans="1:11">
      <c r="A17" s="86"/>
      <c r="B17" s="2" t="s">
        <v>99</v>
      </c>
      <c r="F17" s="75" t="s">
        <v>84</v>
      </c>
      <c r="J17" s="38">
        <f>'Calculation income level '!L49</f>
        <v>59970.123920718892</v>
      </c>
    </row>
    <row r="18" spans="1:11">
      <c r="A18" s="86"/>
      <c r="B18" s="2" t="s">
        <v>100</v>
      </c>
      <c r="F18" s="75" t="s">
        <v>84</v>
      </c>
      <c r="J18" s="38">
        <f>'Calculation income level '!L50</f>
        <v>40341.288234358726</v>
      </c>
    </row>
    <row r="19" spans="1:11">
      <c r="A19" s="86"/>
      <c r="B19" s="2" t="s">
        <v>101</v>
      </c>
      <c r="F19" s="75" t="s">
        <v>84</v>
      </c>
      <c r="J19" s="31">
        <f>SUM(J15:J18)</f>
        <v>1467104.1698312541</v>
      </c>
    </row>
    <row r="20" spans="1:11">
      <c r="A20" s="86"/>
      <c r="B20" s="2" t="s">
        <v>65</v>
      </c>
      <c r="F20" s="2" t="s">
        <v>67</v>
      </c>
      <c r="J20" s="38">
        <f>'Data on volumes and tariffs'!L12</f>
        <v>2961915</v>
      </c>
    </row>
    <row r="21" spans="1:11">
      <c r="A21" s="86"/>
      <c r="B21" s="2" t="s">
        <v>64</v>
      </c>
      <c r="F21" s="2" t="s">
        <v>67</v>
      </c>
      <c r="J21" s="38">
        <f>'Data on volumes and tariffs'!L13</f>
        <v>6036642.7699999996</v>
      </c>
    </row>
    <row r="22" spans="1:11">
      <c r="A22" s="86"/>
      <c r="B22" s="2" t="s">
        <v>61</v>
      </c>
      <c r="F22" s="2" t="s">
        <v>67</v>
      </c>
      <c r="J22" s="31">
        <f>SUM(J20:J21)</f>
        <v>8998557.7699999996</v>
      </c>
    </row>
    <row r="23" spans="1:11">
      <c r="A23" s="86"/>
      <c r="B23" s="2" t="s">
        <v>219</v>
      </c>
      <c r="F23" s="2" t="s">
        <v>69</v>
      </c>
      <c r="J23" s="40">
        <f>'Data on volumes and tariffs'!L15</f>
        <v>0.26200000000000001</v>
      </c>
    </row>
    <row r="24" spans="1:11">
      <c r="A24" s="86"/>
      <c r="B24" s="2" t="s">
        <v>66</v>
      </c>
      <c r="F24" s="2" t="s">
        <v>30</v>
      </c>
      <c r="J24" s="32">
        <f>'Data on volumes and tariffs'!L16</f>
        <v>0.87470000000000003</v>
      </c>
    </row>
    <row r="25" spans="1:11">
      <c r="A25" s="86"/>
    </row>
    <row r="26" spans="1:11">
      <c r="A26" s="86"/>
      <c r="B26" s="1" t="s">
        <v>62</v>
      </c>
    </row>
    <row r="27" spans="1:11">
      <c r="A27" s="86"/>
      <c r="B27" s="2" t="s">
        <v>63</v>
      </c>
      <c r="F27" s="75" t="s">
        <v>84</v>
      </c>
      <c r="K27" s="38">
        <f>'Calculation income level '!M47</f>
        <v>1323769.3381916673</v>
      </c>
    </row>
    <row r="28" spans="1:11">
      <c r="A28" s="86"/>
      <c r="B28" s="2" t="s">
        <v>27</v>
      </c>
      <c r="F28" s="2" t="s">
        <v>9</v>
      </c>
      <c r="K28" s="93">
        <f>'Data on volumes and tariffs'!M19</f>
        <v>6.0999999999999999E-2</v>
      </c>
    </row>
    <row r="29" spans="1:11">
      <c r="A29" s="86"/>
    </row>
    <row r="30" spans="1:11">
      <c r="A30" s="86"/>
      <c r="B30" s="1" t="s">
        <v>44</v>
      </c>
    </row>
    <row r="31" spans="1:11">
      <c r="A31" s="86"/>
      <c r="B31" s="39">
        <f>'Data on volumes and tariffs'!B74</f>
        <v>3.2</v>
      </c>
      <c r="F31" s="2" t="s">
        <v>39</v>
      </c>
      <c r="K31" s="38">
        <f>'Data on volumes and tariffs'!H74</f>
        <v>117</v>
      </c>
    </row>
    <row r="32" spans="1:11">
      <c r="A32" s="86"/>
      <c r="B32" s="39">
        <f>'Data on volumes and tariffs'!B75</f>
        <v>7.7</v>
      </c>
      <c r="F32" s="2" t="s">
        <v>39</v>
      </c>
      <c r="K32" s="38">
        <f>'Data on volumes and tariffs'!H75</f>
        <v>1020</v>
      </c>
    </row>
    <row r="33" spans="1:11">
      <c r="A33" s="86"/>
      <c r="B33" s="39">
        <f>'Data on volumes and tariffs'!B76</f>
        <v>13.3</v>
      </c>
      <c r="F33" s="2" t="s">
        <v>39</v>
      </c>
      <c r="K33" s="38">
        <f>'Data on volumes and tariffs'!H76</f>
        <v>79</v>
      </c>
    </row>
    <row r="34" spans="1:11">
      <c r="A34" s="86"/>
      <c r="B34" s="39">
        <f>'Data on volumes and tariffs'!B77</f>
        <v>18.3</v>
      </c>
      <c r="F34" s="2" t="s">
        <v>39</v>
      </c>
      <c r="K34" s="38">
        <f>'Data on volumes and tariffs'!H77</f>
        <v>10</v>
      </c>
    </row>
    <row r="35" spans="1:11">
      <c r="A35" s="86"/>
      <c r="B35" s="39">
        <f>'Data on volumes and tariffs'!B78</f>
        <v>23.3</v>
      </c>
      <c r="F35" s="2" t="s">
        <v>39</v>
      </c>
      <c r="K35" s="38">
        <f>'Data on volumes and tariffs'!H78</f>
        <v>13</v>
      </c>
    </row>
    <row r="36" spans="1:11">
      <c r="A36" s="86"/>
      <c r="B36" s="39">
        <f>'Data on volumes and tariffs'!B79</f>
        <v>28.3</v>
      </c>
      <c r="F36" s="2" t="s">
        <v>39</v>
      </c>
      <c r="K36" s="38">
        <f>'Data on volumes and tariffs'!H79</f>
        <v>9</v>
      </c>
    </row>
    <row r="37" spans="1:11">
      <c r="A37" s="86"/>
      <c r="B37" s="39">
        <f>'Data on volumes and tariffs'!B80</f>
        <v>38.299999999999997</v>
      </c>
      <c r="F37" s="2" t="s">
        <v>39</v>
      </c>
      <c r="K37" s="38">
        <f>'Data on volumes and tariffs'!H80</f>
        <v>9</v>
      </c>
    </row>
    <row r="38" spans="1:11">
      <c r="A38" s="86"/>
      <c r="B38" s="39">
        <f>'Data on volumes and tariffs'!B81</f>
        <v>48.3</v>
      </c>
      <c r="F38" s="2" t="s">
        <v>39</v>
      </c>
      <c r="K38" s="38">
        <f>'Data on volumes and tariffs'!H81</f>
        <v>3</v>
      </c>
    </row>
    <row r="39" spans="1:11">
      <c r="A39" s="86"/>
      <c r="B39" s="39">
        <f>'Data on volumes and tariffs'!B82</f>
        <v>63.3</v>
      </c>
      <c r="F39" s="2" t="s">
        <v>39</v>
      </c>
      <c r="K39" s="38">
        <f>'Data on volumes and tariffs'!H82</f>
        <v>1</v>
      </c>
    </row>
    <row r="40" spans="1:11">
      <c r="A40" s="86"/>
      <c r="B40" s="39">
        <f>'Data on volumes and tariffs'!B83</f>
        <v>78.3</v>
      </c>
      <c r="F40" s="2" t="s">
        <v>39</v>
      </c>
      <c r="K40" s="38">
        <f>'Data on volumes and tariffs'!H83</f>
        <v>1</v>
      </c>
    </row>
    <row r="41" spans="1:11">
      <c r="A41" s="86"/>
      <c r="B41" s="39">
        <f>'Data on volumes and tariffs'!B84</f>
        <v>83.3</v>
      </c>
      <c r="F41" s="2" t="s">
        <v>39</v>
      </c>
      <c r="K41" s="38">
        <f>'Data on volumes and tariffs'!H84</f>
        <v>1</v>
      </c>
    </row>
    <row r="42" spans="1:11">
      <c r="A42" s="86"/>
      <c r="B42" s="39">
        <f>'Data on volumes and tariffs'!B85</f>
        <v>93.3</v>
      </c>
      <c r="F42" s="2" t="s">
        <v>39</v>
      </c>
      <c r="K42" s="38">
        <f>'Data on volumes and tariffs'!H85</f>
        <v>1</v>
      </c>
    </row>
    <row r="43" spans="1:11">
      <c r="A43" s="86"/>
      <c r="B43" s="39">
        <f>'Data on volumes and tariffs'!B86</f>
        <v>98.3</v>
      </c>
      <c r="F43" s="2" t="s">
        <v>39</v>
      </c>
      <c r="K43" s="38">
        <f>'Data on volumes and tariffs'!H86</f>
        <v>0</v>
      </c>
    </row>
    <row r="44" spans="1:11">
      <c r="A44" s="86"/>
      <c r="B44" s="39">
        <f>'Data on volumes and tariffs'!B87</f>
        <v>100</v>
      </c>
      <c r="F44" s="2" t="s">
        <v>39</v>
      </c>
      <c r="K44" s="38">
        <f>'Data on volumes and tariffs'!H87</f>
        <v>0</v>
      </c>
    </row>
    <row r="45" spans="1:11">
      <c r="A45" s="86"/>
      <c r="B45" s="39">
        <f>'Data on volumes and tariffs'!B88</f>
        <v>125</v>
      </c>
      <c r="F45" s="2" t="s">
        <v>39</v>
      </c>
      <c r="K45" s="38">
        <f>'Data on volumes and tariffs'!H88</f>
        <v>1</v>
      </c>
    </row>
    <row r="46" spans="1:11">
      <c r="A46" s="86"/>
      <c r="B46" s="39">
        <f>'Data on volumes and tariffs'!B89</f>
        <v>350</v>
      </c>
      <c r="F46" s="2" t="s">
        <v>39</v>
      </c>
      <c r="K46" s="38">
        <f>'Data on volumes and tariffs'!H89</f>
        <v>1</v>
      </c>
    </row>
    <row r="47" spans="1:11">
      <c r="A47" s="86"/>
    </row>
    <row r="48" spans="1:11">
      <c r="A48" s="86"/>
    </row>
    <row r="49" spans="1:11">
      <c r="A49" s="86"/>
      <c r="B49" s="25" t="s">
        <v>80</v>
      </c>
    </row>
    <row r="50" spans="1:11">
      <c r="A50" s="86"/>
      <c r="B50" s="2" t="s">
        <v>81</v>
      </c>
      <c r="F50" s="2" t="s">
        <v>36</v>
      </c>
      <c r="K50" s="33">
        <f>'Data on volumes and tariffs'!M29</f>
        <v>247.54</v>
      </c>
    </row>
    <row r="51" spans="1:11">
      <c r="A51" s="86"/>
      <c r="B51" s="2" t="s">
        <v>82</v>
      </c>
      <c r="F51" s="2" t="s">
        <v>36</v>
      </c>
      <c r="K51" s="33">
        <f>'Data on volumes and tariffs'!M30</f>
        <v>277.54000000000002</v>
      </c>
    </row>
    <row r="52" spans="1:11">
      <c r="A52" s="86"/>
      <c r="B52" s="2" t="s">
        <v>83</v>
      </c>
      <c r="F52" s="2" t="s">
        <v>36</v>
      </c>
      <c r="K52" s="33">
        <f>'Data on volumes and tariffs'!M33</f>
        <v>78.959999999999994</v>
      </c>
    </row>
    <row r="53" spans="1:11">
      <c r="A53" s="86"/>
    </row>
    <row r="54" spans="1:11">
      <c r="A54" s="86"/>
    </row>
    <row r="55" spans="1:11" s="8" customFormat="1">
      <c r="A55" s="73"/>
      <c r="B55" s="81" t="s">
        <v>364</v>
      </c>
    </row>
    <row r="56" spans="1:11">
      <c r="A56" s="86"/>
    </row>
    <row r="57" spans="1:11">
      <c r="A57" s="86"/>
      <c r="B57" s="1" t="s">
        <v>171</v>
      </c>
    </row>
    <row r="58" spans="1:11">
      <c r="A58" s="86"/>
      <c r="B58" s="2" t="s">
        <v>70</v>
      </c>
      <c r="F58" s="2" t="s">
        <v>68</v>
      </c>
      <c r="J58" s="36">
        <f>J19/J22</f>
        <v>0.1630377008549509</v>
      </c>
    </row>
    <row r="59" spans="1:11">
      <c r="A59" s="86"/>
      <c r="B59" s="2" t="s">
        <v>72</v>
      </c>
      <c r="F59" s="2" t="s">
        <v>68</v>
      </c>
      <c r="J59" s="28">
        <f>(J21/J22)*(J24*J23)</f>
        <v>0.15373862237268029</v>
      </c>
    </row>
    <row r="60" spans="1:11">
      <c r="A60" s="86"/>
      <c r="B60" s="2" t="s">
        <v>73</v>
      </c>
      <c r="F60" s="2" t="s">
        <v>68</v>
      </c>
      <c r="J60" s="28">
        <f>J58+J59</f>
        <v>0.31677632322763116</v>
      </c>
    </row>
    <row r="61" spans="1:11" ht="15.75" customHeight="1">
      <c r="A61" s="86"/>
    </row>
    <row r="62" spans="1:11">
      <c r="A62" s="86"/>
      <c r="B62" s="1" t="s">
        <v>71</v>
      </c>
    </row>
    <row r="63" spans="1:11">
      <c r="A63" s="86"/>
      <c r="B63" s="20" t="s">
        <v>161</v>
      </c>
      <c r="F63" s="2" t="s">
        <v>36</v>
      </c>
      <c r="K63" s="38">
        <f>'Corr fuel price difference '!H41</f>
        <v>60012.452290378656</v>
      </c>
    </row>
    <row r="64" spans="1:11">
      <c r="A64" s="86"/>
      <c r="B64" s="20" t="s">
        <v>163</v>
      </c>
      <c r="F64" s="2" t="s">
        <v>67</v>
      </c>
      <c r="K64" s="31">
        <f>J22/2</f>
        <v>4499278.8849999998</v>
      </c>
    </row>
    <row r="65" spans="1:11">
      <c r="A65" s="86"/>
      <c r="B65" s="20" t="s">
        <v>162</v>
      </c>
      <c r="F65" s="2" t="s">
        <v>68</v>
      </c>
      <c r="K65" s="28">
        <f>K63/K64</f>
        <v>1.3338237931961103E-2</v>
      </c>
    </row>
    <row r="66" spans="1:11">
      <c r="A66" s="86"/>
      <c r="B66" s="2" t="s">
        <v>74</v>
      </c>
      <c r="F66" s="2" t="s">
        <v>68</v>
      </c>
      <c r="K66" s="36">
        <f>(J60+K65)/(1-K28)</f>
        <v>0.35155970304535916</v>
      </c>
    </row>
    <row r="67" spans="1:11">
      <c r="A67" s="86"/>
    </row>
    <row r="68" spans="1:11">
      <c r="A68" s="86"/>
      <c r="B68" s="25" t="s">
        <v>75</v>
      </c>
    </row>
    <row r="69" spans="1:11">
      <c r="A69" s="86"/>
      <c r="B69" s="2" t="s">
        <v>76</v>
      </c>
      <c r="F69" s="2" t="s">
        <v>43</v>
      </c>
      <c r="K69" s="42">
        <f>SUMPRODUCT(B31:B46,K31:K46)</f>
        <v>11302.499999999998</v>
      </c>
    </row>
    <row r="70" spans="1:11">
      <c r="A70" s="86"/>
      <c r="B70" s="2" t="s">
        <v>77</v>
      </c>
      <c r="F70" s="2" t="s">
        <v>43</v>
      </c>
      <c r="K70" s="29">
        <f>K27/K69/12</f>
        <v>9.7601514280886796</v>
      </c>
    </row>
    <row r="71" spans="1:11">
      <c r="A71" s="86"/>
    </row>
    <row r="72" spans="1:11">
      <c r="A72" s="86"/>
      <c r="B72" s="2">
        <v>3.2</v>
      </c>
      <c r="F72" s="2" t="s">
        <v>78</v>
      </c>
      <c r="K72" s="35">
        <f t="shared" ref="K72:K87" si="0">$K$70*B72</f>
        <v>31.232484569883777</v>
      </c>
    </row>
    <row r="73" spans="1:11">
      <c r="A73" s="86"/>
      <c r="B73" s="2">
        <v>7.7</v>
      </c>
      <c r="F73" s="2" t="s">
        <v>78</v>
      </c>
      <c r="K73" s="35">
        <f t="shared" si="0"/>
        <v>75.153165996282837</v>
      </c>
    </row>
    <row r="74" spans="1:11">
      <c r="A74" s="86"/>
      <c r="B74" s="2">
        <v>13.3</v>
      </c>
      <c r="F74" s="2" t="s">
        <v>78</v>
      </c>
      <c r="K74" s="35">
        <f t="shared" si="0"/>
        <v>129.81001399357945</v>
      </c>
    </row>
    <row r="75" spans="1:11">
      <c r="A75" s="86"/>
      <c r="B75" s="2">
        <v>18.3</v>
      </c>
      <c r="F75" s="2" t="s">
        <v>78</v>
      </c>
      <c r="K75" s="35">
        <f t="shared" si="0"/>
        <v>178.61077113402285</v>
      </c>
    </row>
    <row r="76" spans="1:11">
      <c r="A76" s="86"/>
      <c r="B76" s="2">
        <v>23.3</v>
      </c>
      <c r="F76" s="2" t="s">
        <v>78</v>
      </c>
      <c r="K76" s="35">
        <f t="shared" si="0"/>
        <v>227.41152827446624</v>
      </c>
    </row>
    <row r="77" spans="1:11">
      <c r="A77" s="86"/>
      <c r="B77" s="2">
        <v>28.3</v>
      </c>
      <c r="F77" s="2" t="s">
        <v>78</v>
      </c>
      <c r="K77" s="35">
        <f t="shared" si="0"/>
        <v>276.21228541490962</v>
      </c>
    </row>
    <row r="78" spans="1:11">
      <c r="A78" s="86"/>
      <c r="B78" s="2">
        <v>38.299999999999997</v>
      </c>
      <c r="F78" s="2" t="s">
        <v>78</v>
      </c>
      <c r="K78" s="35">
        <f t="shared" si="0"/>
        <v>373.81379969579638</v>
      </c>
    </row>
    <row r="79" spans="1:11">
      <c r="A79" s="86"/>
      <c r="B79" s="2">
        <v>48.3</v>
      </c>
      <c r="F79" s="2" t="s">
        <v>78</v>
      </c>
      <c r="K79" s="35">
        <f t="shared" si="0"/>
        <v>471.41531397668319</v>
      </c>
    </row>
    <row r="80" spans="1:11">
      <c r="A80" s="86"/>
      <c r="B80" s="2">
        <v>63.3</v>
      </c>
      <c r="F80" s="2" t="s">
        <v>78</v>
      </c>
      <c r="K80" s="35">
        <f t="shared" si="0"/>
        <v>617.81758539801342</v>
      </c>
    </row>
    <row r="81" spans="1:13">
      <c r="A81" s="86"/>
      <c r="B81" s="2">
        <v>78.3</v>
      </c>
      <c r="F81" s="2" t="s">
        <v>78</v>
      </c>
      <c r="K81" s="35">
        <f t="shared" si="0"/>
        <v>764.21985681934359</v>
      </c>
    </row>
    <row r="82" spans="1:13">
      <c r="A82" s="86"/>
      <c r="B82" s="2">
        <v>83.3</v>
      </c>
      <c r="F82" s="2" t="s">
        <v>78</v>
      </c>
      <c r="K82" s="35">
        <f t="shared" si="0"/>
        <v>813.02061395978694</v>
      </c>
    </row>
    <row r="83" spans="1:13">
      <c r="A83" s="86"/>
      <c r="B83" s="2">
        <v>93.3</v>
      </c>
      <c r="F83" s="2" t="s">
        <v>78</v>
      </c>
      <c r="K83" s="35">
        <f t="shared" si="0"/>
        <v>910.62212824067376</v>
      </c>
    </row>
    <row r="84" spans="1:13">
      <c r="A84" s="86"/>
      <c r="B84" s="2">
        <v>98.3</v>
      </c>
      <c r="F84" s="2" t="s">
        <v>78</v>
      </c>
      <c r="K84" s="35">
        <f t="shared" si="0"/>
        <v>959.42288538111723</v>
      </c>
    </row>
    <row r="85" spans="1:13">
      <c r="A85" s="86"/>
      <c r="B85" s="2">
        <v>100</v>
      </c>
      <c r="F85" s="2" t="s">
        <v>78</v>
      </c>
      <c r="K85" s="35">
        <f t="shared" si="0"/>
        <v>976.01514280886795</v>
      </c>
    </row>
    <row r="86" spans="1:13">
      <c r="A86" s="86"/>
      <c r="B86" s="2">
        <v>125</v>
      </c>
      <c r="F86" s="2" t="s">
        <v>78</v>
      </c>
      <c r="K86" s="35">
        <f t="shared" si="0"/>
        <v>1220.0189285110851</v>
      </c>
    </row>
    <row r="87" spans="1:13">
      <c r="A87" s="86"/>
      <c r="B87" s="2">
        <v>350</v>
      </c>
      <c r="F87" s="2" t="s">
        <v>78</v>
      </c>
      <c r="K87" s="35">
        <f t="shared" si="0"/>
        <v>3416.0529998310381</v>
      </c>
    </row>
    <row r="88" spans="1:13">
      <c r="A88" s="86"/>
    </row>
    <row r="89" spans="1:13">
      <c r="A89" s="86"/>
    </row>
    <row r="90" spans="1:13">
      <c r="A90" s="86"/>
      <c r="B90" s="25" t="s">
        <v>79</v>
      </c>
    </row>
    <row r="91" spans="1:13">
      <c r="A91" s="86"/>
      <c r="B91" s="2" t="s">
        <v>79</v>
      </c>
      <c r="F91" s="2" t="s">
        <v>84</v>
      </c>
      <c r="K91" s="78">
        <f>'Data on volumes and tariffs'!M35</f>
        <v>40</v>
      </c>
      <c r="M91" s="2" t="s">
        <v>221</v>
      </c>
    </row>
    <row r="92" spans="1:13">
      <c r="A92" s="86"/>
    </row>
    <row r="93" spans="1:13">
      <c r="A93" s="86"/>
      <c r="B93" s="1" t="s">
        <v>86</v>
      </c>
    </row>
    <row r="94" spans="1:13">
      <c r="A94" s="86"/>
      <c r="B94" s="2" t="s">
        <v>81</v>
      </c>
      <c r="F94" s="2" t="s">
        <v>84</v>
      </c>
      <c r="K94" s="35">
        <f>K50*(1+$H$12)</f>
        <v>258.43176</v>
      </c>
    </row>
    <row r="95" spans="1:13">
      <c r="A95" s="86"/>
      <c r="B95" s="2" t="s">
        <v>82</v>
      </c>
      <c r="F95" s="2" t="s">
        <v>84</v>
      </c>
      <c r="K95" s="35">
        <f t="shared" ref="K95:K96" si="1">K51*(1+$H$12)</f>
        <v>289.75176000000005</v>
      </c>
    </row>
    <row r="96" spans="1:13">
      <c r="A96" s="86"/>
      <c r="B96" s="2" t="s">
        <v>83</v>
      </c>
      <c r="F96" s="2" t="s">
        <v>84</v>
      </c>
      <c r="K96" s="35">
        <f t="shared" si="1"/>
        <v>82.434240000000003</v>
      </c>
    </row>
    <row r="97" spans="1:1">
      <c r="A97" s="8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19"/>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29"/>
  <sheetViews>
    <sheetView showGridLines="0" zoomScale="85" zoomScaleNormal="85" workbookViewId="0">
      <pane xSplit="6" ySplit="13" topLeftCell="G14" activePane="bottomRight" state="frozen"/>
      <selection pane="topRight" activeCell="G1" sqref="G1"/>
      <selection pane="bottomLeft" activeCell="A14" sqref="A14"/>
      <selection pane="bottomRight" activeCell="G14" sqref="G14"/>
    </sheetView>
  </sheetViews>
  <sheetFormatPr defaultRowHeight="12.75"/>
  <cols>
    <col min="1" max="1" width="4" style="75" customWidth="1"/>
    <col min="2" max="2" width="41.42578125" style="75" customWidth="1"/>
    <col min="3" max="5" width="4.5703125" style="75" customWidth="1"/>
    <col min="6" max="6" width="13.7109375" style="75" customWidth="1"/>
    <col min="7" max="7" width="2.7109375" style="75" customWidth="1"/>
    <col min="8" max="8" width="13.7109375" style="75" customWidth="1"/>
    <col min="9" max="9" width="2.7109375" style="75" customWidth="1"/>
    <col min="10" max="10" width="13.7109375" style="75" customWidth="1"/>
    <col min="11" max="11" width="2.7109375" style="75" customWidth="1"/>
    <col min="12" max="12" width="13.42578125" style="75" customWidth="1"/>
    <col min="13" max="14" width="12.5703125" style="75" customWidth="1"/>
    <col min="15" max="15" width="2.7109375" style="75" customWidth="1"/>
    <col min="16" max="16" width="17.140625" style="75" customWidth="1"/>
    <col min="17" max="17" width="2.7109375" style="75" customWidth="1"/>
    <col min="18" max="18" width="13.7109375" style="75" customWidth="1"/>
    <col min="19" max="19" width="2.7109375" style="75" customWidth="1"/>
    <col min="20" max="34" width="13.7109375" style="75" customWidth="1"/>
    <col min="35" max="16384" width="9.140625" style="75"/>
  </cols>
  <sheetData>
    <row r="2" spans="2:18" s="17" customFormat="1" ht="18">
      <c r="B2" s="17" t="s">
        <v>182</v>
      </c>
    </row>
    <row r="4" spans="2:18" ht="15">
      <c r="B4" s="72" t="s">
        <v>183</v>
      </c>
      <c r="C4" s="1"/>
      <c r="D4" s="1"/>
      <c r="L4" s="88"/>
    </row>
    <row r="5" spans="2:18">
      <c r="B5" s="20" t="s">
        <v>184</v>
      </c>
      <c r="C5" s="20"/>
      <c r="D5" s="20"/>
      <c r="H5" s="18"/>
    </row>
    <row r="6" spans="2:18">
      <c r="B6" s="20"/>
      <c r="C6" s="20"/>
      <c r="D6" s="20"/>
      <c r="H6" s="18"/>
    </row>
    <row r="7" spans="2:18">
      <c r="B7" s="89" t="s">
        <v>185</v>
      </c>
      <c r="C7" s="20"/>
      <c r="D7" s="20"/>
      <c r="H7" s="18"/>
    </row>
    <row r="8" spans="2:18">
      <c r="B8" s="20" t="s">
        <v>186</v>
      </c>
      <c r="C8" s="20"/>
      <c r="D8" s="20"/>
    </row>
    <row r="9" spans="2:18">
      <c r="B9" s="20" t="s">
        <v>187</v>
      </c>
      <c r="C9" s="20"/>
      <c r="D9" s="20"/>
    </row>
    <row r="11" spans="2:18">
      <c r="B11" s="4" t="s">
        <v>321</v>
      </c>
    </row>
    <row r="13" spans="2:18" s="73" customFormat="1">
      <c r="B13" s="73" t="s">
        <v>105</v>
      </c>
      <c r="F13" s="73" t="s">
        <v>106</v>
      </c>
      <c r="H13" s="73" t="s">
        <v>7</v>
      </c>
      <c r="J13" s="73" t="s">
        <v>8</v>
      </c>
      <c r="P13" s="73" t="s">
        <v>47</v>
      </c>
      <c r="R13" s="73" t="s">
        <v>188</v>
      </c>
    </row>
    <row r="16" spans="2:18" s="73" customFormat="1">
      <c r="B16" s="73" t="s">
        <v>85</v>
      </c>
      <c r="L16" s="73" t="s">
        <v>189</v>
      </c>
      <c r="M16" s="73" t="s">
        <v>190</v>
      </c>
      <c r="N16" s="73" t="s">
        <v>191</v>
      </c>
    </row>
    <row r="18" spans="2:18">
      <c r="B18" s="75" t="s">
        <v>192</v>
      </c>
      <c r="F18" s="75" t="s">
        <v>9</v>
      </c>
      <c r="L18" s="90">
        <f>-1*0.9%</f>
        <v>-9.0000000000000011E-3</v>
      </c>
      <c r="M18" s="90">
        <f>-1*0.4%</f>
        <v>-4.0000000000000001E-3</v>
      </c>
      <c r="N18" s="90">
        <f>-1*0.5%</f>
        <v>-5.0000000000000001E-3</v>
      </c>
      <c r="P18" s="100" t="s">
        <v>223</v>
      </c>
      <c r="R18" s="20"/>
    </row>
    <row r="19" spans="2:18">
      <c r="B19" s="75" t="s">
        <v>169</v>
      </c>
      <c r="F19" s="75" t="s">
        <v>9</v>
      </c>
      <c r="L19" s="90">
        <v>6.0000000000000001E-3</v>
      </c>
      <c r="M19" s="90">
        <v>2E-3</v>
      </c>
      <c r="N19" s="90">
        <f>-1*0.9%</f>
        <v>-9.0000000000000011E-3</v>
      </c>
      <c r="P19" s="100"/>
    </row>
    <row r="20" spans="2:18">
      <c r="B20" s="75" t="s">
        <v>10</v>
      </c>
      <c r="F20" s="75" t="s">
        <v>9</v>
      </c>
      <c r="L20" s="90">
        <v>6.0000000000000001E-3</v>
      </c>
      <c r="M20" s="90">
        <f>-1*1.3%</f>
        <v>-1.3000000000000001E-2</v>
      </c>
      <c r="N20" s="90">
        <v>2.1000000000000001E-2</v>
      </c>
      <c r="P20" s="100"/>
    </row>
    <row r="21" spans="2:18">
      <c r="B21" s="75" t="s">
        <v>11</v>
      </c>
      <c r="F21" s="75" t="s">
        <v>9</v>
      </c>
      <c r="L21" s="90">
        <v>3.5000000000000003E-2</v>
      </c>
      <c r="M21" s="90">
        <v>4.3999999999999997E-2</v>
      </c>
      <c r="N21" s="90">
        <v>1.0999999999999999E-2</v>
      </c>
      <c r="P21" s="100" t="s">
        <v>224</v>
      </c>
    </row>
    <row r="24" spans="2:18" s="73" customFormat="1" ht="38.25">
      <c r="B24" s="73" t="s">
        <v>195</v>
      </c>
      <c r="L24" s="91" t="s">
        <v>196</v>
      </c>
      <c r="M24" s="91" t="s">
        <v>197</v>
      </c>
      <c r="N24" s="91" t="s">
        <v>198</v>
      </c>
    </row>
    <row r="26" spans="2:18">
      <c r="B26" s="75" t="s">
        <v>199</v>
      </c>
      <c r="F26" s="75" t="s">
        <v>9</v>
      </c>
      <c r="L26" s="92">
        <v>6.5699999999999995E-2</v>
      </c>
      <c r="M26" s="92">
        <v>6.4799999999999996E-2</v>
      </c>
      <c r="N26" s="92">
        <v>6.7400000000000002E-2</v>
      </c>
      <c r="P26" s="100" t="s">
        <v>225</v>
      </c>
    </row>
    <row r="27" spans="2:18">
      <c r="B27" s="75" t="s">
        <v>201</v>
      </c>
      <c r="F27" s="75" t="s">
        <v>9</v>
      </c>
      <c r="L27" s="92">
        <v>6.4899999999999999E-2</v>
      </c>
      <c r="M27" s="92">
        <v>6.4000000000000001E-2</v>
      </c>
      <c r="N27" s="92">
        <v>6.6600000000000006E-2</v>
      </c>
    </row>
    <row r="28" spans="2:18">
      <c r="B28" s="75" t="s">
        <v>202</v>
      </c>
      <c r="F28" s="75" t="s">
        <v>9</v>
      </c>
      <c r="L28" s="92">
        <v>6.4100000000000004E-2</v>
      </c>
      <c r="M28" s="92">
        <v>6.3200000000000006E-2</v>
      </c>
      <c r="N28" s="92">
        <v>6.5799999999999997E-2</v>
      </c>
    </row>
    <row r="29" spans="2:18">
      <c r="F29" s="75" t="s">
        <v>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22"/>
  <sheetViews>
    <sheetView showGridLines="0" zoomScale="85" zoomScaleNormal="85" workbookViewId="0">
      <pane xSplit="6" ySplit="8" topLeftCell="G9" activePane="bottomRight" state="frozen"/>
      <selection activeCell="Q51" sqref="Q51"/>
      <selection pane="topRight" activeCell="Q51" sqref="Q51"/>
      <selection pane="bottomLeft" activeCell="Q51" sqref="Q51"/>
      <selection pane="bottomRight" activeCell="G9" sqref="G9"/>
    </sheetView>
  </sheetViews>
  <sheetFormatPr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 style="2" bestFit="1" customWidth="1"/>
    <col min="14" max="14" width="2.7109375" style="2" customWidth="1"/>
    <col min="15" max="15" width="17.14062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1" spans="1:15">
      <c r="A1" s="86"/>
    </row>
    <row r="2" spans="1:15" s="17" customFormat="1" ht="18">
      <c r="A2" s="84"/>
      <c r="B2" s="17" t="s">
        <v>213</v>
      </c>
    </row>
    <row r="3" spans="1:15">
      <c r="A3" s="86"/>
    </row>
    <row r="4" spans="1:15">
      <c r="A4" s="86"/>
      <c r="B4" s="1" t="s">
        <v>4</v>
      </c>
      <c r="C4" s="1"/>
      <c r="D4" s="1"/>
    </row>
    <row r="5" spans="1:15">
      <c r="A5" s="86"/>
      <c r="B5" s="20" t="s">
        <v>212</v>
      </c>
      <c r="C5" s="3"/>
      <c r="D5" s="3"/>
      <c r="H5" s="18"/>
    </row>
    <row r="6" spans="1:15">
      <c r="A6" s="86"/>
      <c r="B6" s="20" t="s">
        <v>211</v>
      </c>
      <c r="C6" s="3"/>
      <c r="D6" s="3"/>
      <c r="H6" s="18"/>
    </row>
    <row r="7" spans="1:15">
      <c r="A7" s="86"/>
    </row>
    <row r="8" spans="1:15" s="110" customFormat="1">
      <c r="B8" s="110" t="s">
        <v>5</v>
      </c>
      <c r="F8" s="110" t="s">
        <v>6</v>
      </c>
      <c r="H8" s="110" t="s">
        <v>12</v>
      </c>
      <c r="J8" s="110" t="s">
        <v>13</v>
      </c>
      <c r="L8" s="110" t="s">
        <v>176</v>
      </c>
      <c r="M8" s="110" t="s">
        <v>177</v>
      </c>
      <c r="O8" s="110" t="s">
        <v>47</v>
      </c>
    </row>
    <row r="9" spans="1:15">
      <c r="A9" s="86"/>
    </row>
    <row r="10" spans="1:15" s="8" customFormat="1">
      <c r="A10" s="85"/>
      <c r="B10" s="8" t="s">
        <v>20</v>
      </c>
    </row>
    <row r="11" spans="1:15">
      <c r="A11" s="86"/>
    </row>
    <row r="12" spans="1:15">
      <c r="A12" s="86"/>
      <c r="B12" s="1" t="s">
        <v>14</v>
      </c>
    </row>
    <row r="13" spans="1:15">
      <c r="A13" s="86"/>
      <c r="B13" s="2" t="s">
        <v>15</v>
      </c>
      <c r="F13" s="2" t="s">
        <v>19</v>
      </c>
      <c r="J13" s="31">
        <f>SUM(L13:M13)</f>
        <v>1889451.8800000001</v>
      </c>
      <c r="L13" s="44">
        <v>1043230.0815068763</v>
      </c>
      <c r="M13" s="44">
        <v>846221.79849312385</v>
      </c>
      <c r="O13" s="2" t="s">
        <v>208</v>
      </c>
    </row>
    <row r="14" spans="1:15">
      <c r="A14" s="86"/>
      <c r="B14" s="2" t="s">
        <v>16</v>
      </c>
      <c r="F14" s="2" t="s">
        <v>19</v>
      </c>
      <c r="J14" s="31">
        <f>SUM(L14:M14)</f>
        <v>46.26</v>
      </c>
      <c r="L14" s="34"/>
      <c r="M14" s="44">
        <v>46.26</v>
      </c>
      <c r="O14" s="112" t="s">
        <v>208</v>
      </c>
    </row>
    <row r="15" spans="1:15">
      <c r="A15" s="86"/>
      <c r="J15" s="45"/>
    </row>
    <row r="16" spans="1:15">
      <c r="A16" s="86"/>
      <c r="B16" s="25" t="s">
        <v>17</v>
      </c>
      <c r="J16" s="45"/>
    </row>
    <row r="17" spans="1:15">
      <c r="A17" s="86"/>
      <c r="B17" s="2" t="s">
        <v>204</v>
      </c>
      <c r="F17" s="2" t="s">
        <v>19</v>
      </c>
      <c r="J17" s="31">
        <f>SUM(L17:M17)</f>
        <v>76388.510000000009</v>
      </c>
      <c r="L17" s="44">
        <v>368.09996360998542</v>
      </c>
      <c r="M17" s="44">
        <v>76020.410036390022</v>
      </c>
      <c r="O17" s="20" t="s">
        <v>208</v>
      </c>
    </row>
    <row r="18" spans="1:15">
      <c r="A18" s="86"/>
      <c r="J18" s="45"/>
    </row>
    <row r="19" spans="1:15">
      <c r="A19" s="86"/>
      <c r="B19" s="25" t="s">
        <v>210</v>
      </c>
      <c r="J19" s="45"/>
    </row>
    <row r="20" spans="1:15">
      <c r="A20" s="86"/>
      <c r="B20" s="2" t="s">
        <v>361</v>
      </c>
      <c r="F20" s="2" t="s">
        <v>19</v>
      </c>
      <c r="J20" s="31">
        <f>SUM(L20:M20)</f>
        <v>6727033.3348986795</v>
      </c>
      <c r="L20" s="44">
        <v>2418246.4801129857</v>
      </c>
      <c r="M20" s="44">
        <v>4308786.8547856938</v>
      </c>
      <c r="O20" s="2" t="s">
        <v>209</v>
      </c>
    </row>
    <row r="21" spans="1:15">
      <c r="A21" s="86"/>
      <c r="B21" s="2" t="s">
        <v>18</v>
      </c>
      <c r="F21" s="2" t="s">
        <v>19</v>
      </c>
      <c r="J21" s="31">
        <f>SUM(L21:M21)</f>
        <v>370775.43894025276</v>
      </c>
      <c r="L21" s="44">
        <v>109385.65205411208</v>
      </c>
      <c r="M21" s="44">
        <v>261389.78688614065</v>
      </c>
      <c r="O21" s="112" t="s">
        <v>209</v>
      </c>
    </row>
    <row r="22" spans="1:15">
      <c r="A22" s="8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Q90"/>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 style="2" bestFit="1" customWidth="1"/>
    <col min="14" max="14" width="2.7109375" style="2" customWidth="1"/>
    <col min="15" max="15" width="21"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1" spans="1:17">
      <c r="A1" s="75"/>
    </row>
    <row r="2" spans="1:17" s="17" customFormat="1" ht="18">
      <c r="A2" s="84"/>
      <c r="B2" s="17" t="s">
        <v>214</v>
      </c>
    </row>
    <row r="3" spans="1:17">
      <c r="A3" s="86"/>
    </row>
    <row r="4" spans="1:17">
      <c r="A4" s="86"/>
      <c r="B4" s="1" t="s">
        <v>4</v>
      </c>
      <c r="C4" s="1"/>
      <c r="D4" s="1"/>
    </row>
    <row r="5" spans="1:17">
      <c r="A5" s="86"/>
      <c r="B5" s="20" t="s">
        <v>205</v>
      </c>
      <c r="C5" s="3"/>
      <c r="D5" s="3"/>
      <c r="H5" s="18"/>
    </row>
    <row r="6" spans="1:17">
      <c r="A6" s="86"/>
    </row>
    <row r="7" spans="1:17" s="8" customFormat="1">
      <c r="A7" s="85"/>
      <c r="B7" s="8" t="s">
        <v>5</v>
      </c>
      <c r="F7" s="8" t="s">
        <v>6</v>
      </c>
      <c r="H7" s="8" t="s">
        <v>12</v>
      </c>
      <c r="J7" s="8" t="s">
        <v>13</v>
      </c>
      <c r="L7" s="73" t="s">
        <v>176</v>
      </c>
      <c r="M7" s="73" t="s">
        <v>177</v>
      </c>
      <c r="O7" s="8" t="s">
        <v>47</v>
      </c>
      <c r="Q7" s="8" t="s">
        <v>146</v>
      </c>
    </row>
    <row r="8" spans="1:17">
      <c r="A8" s="86"/>
    </row>
    <row r="9" spans="1:17" s="8" customFormat="1">
      <c r="A9" s="85"/>
      <c r="B9" s="8" t="s">
        <v>26</v>
      </c>
    </row>
    <row r="10" spans="1:17">
      <c r="A10" s="86"/>
    </row>
    <row r="11" spans="1:17">
      <c r="A11" s="74"/>
      <c r="B11" s="1" t="s">
        <v>175</v>
      </c>
    </row>
    <row r="12" spans="1:17">
      <c r="A12" s="86"/>
      <c r="B12" s="2" t="s">
        <v>21</v>
      </c>
      <c r="F12" s="2" t="s">
        <v>28</v>
      </c>
      <c r="L12" s="41">
        <v>2961915</v>
      </c>
      <c r="O12" s="2" t="s">
        <v>227</v>
      </c>
    </row>
    <row r="13" spans="1:17">
      <c r="A13" s="86"/>
      <c r="B13" s="2" t="s">
        <v>22</v>
      </c>
      <c r="F13" s="2" t="s">
        <v>28</v>
      </c>
      <c r="L13" s="41">
        <v>6036642.7699999996</v>
      </c>
      <c r="O13" s="75" t="s">
        <v>227</v>
      </c>
    </row>
    <row r="14" spans="1:17">
      <c r="A14" s="86"/>
      <c r="B14" s="2" t="s">
        <v>25</v>
      </c>
      <c r="F14" s="2" t="s">
        <v>28</v>
      </c>
      <c r="L14" s="31">
        <f>SUM(L12:L13)</f>
        <v>8998557.7699999996</v>
      </c>
    </row>
    <row r="15" spans="1:17">
      <c r="A15" s="86"/>
      <c r="B15" s="2" t="s">
        <v>23</v>
      </c>
      <c r="F15" s="2" t="s">
        <v>29</v>
      </c>
      <c r="L15" s="30">
        <v>0.26200000000000001</v>
      </c>
      <c r="O15" s="2" t="s">
        <v>87</v>
      </c>
    </row>
    <row r="16" spans="1:17">
      <c r="A16" s="86"/>
      <c r="B16" s="2" t="s">
        <v>24</v>
      </c>
      <c r="F16" s="2" t="s">
        <v>30</v>
      </c>
      <c r="L16" s="108">
        <v>0.87470000000000003</v>
      </c>
      <c r="O16" s="2" t="s">
        <v>324</v>
      </c>
      <c r="Q16" s="112" t="s">
        <v>323</v>
      </c>
    </row>
    <row r="17" spans="1:15">
      <c r="A17" s="86"/>
    </row>
    <row r="18" spans="1:15">
      <c r="A18" s="86"/>
      <c r="B18" s="1" t="s">
        <v>27</v>
      </c>
    </row>
    <row r="19" spans="1:15">
      <c r="A19" s="86"/>
      <c r="B19" s="2" t="s">
        <v>31</v>
      </c>
      <c r="F19" s="2" t="s">
        <v>9</v>
      </c>
      <c r="M19" s="43">
        <v>6.0999999999999999E-2</v>
      </c>
      <c r="O19" s="2" t="s">
        <v>87</v>
      </c>
    </row>
    <row r="20" spans="1:15">
      <c r="A20" s="86"/>
    </row>
    <row r="21" spans="1:15">
      <c r="A21" s="86"/>
    </row>
    <row r="22" spans="1:15" s="8" customFormat="1">
      <c r="A22" s="85"/>
      <c r="B22" s="8" t="s">
        <v>243</v>
      </c>
    </row>
    <row r="23" spans="1:15" s="75" customFormat="1">
      <c r="A23" s="86"/>
    </row>
    <row r="24" spans="1:15" s="75" customFormat="1">
      <c r="A24" s="86"/>
      <c r="B24" s="72" t="s">
        <v>362</v>
      </c>
    </row>
    <row r="25" spans="1:15" s="75" customFormat="1">
      <c r="A25" s="86"/>
      <c r="B25" s="75" t="s">
        <v>10</v>
      </c>
      <c r="F25" s="75" t="s">
        <v>9</v>
      </c>
      <c r="M25" s="105">
        <f>'CPI &amp; WACC'!M20</f>
        <v>-1.3000000000000001E-2</v>
      </c>
    </row>
    <row r="26" spans="1:15">
      <c r="A26" s="86"/>
      <c r="B26" s="20"/>
      <c r="C26" s="3"/>
      <c r="D26" s="3"/>
      <c r="H26" s="18"/>
    </row>
    <row r="27" spans="1:15">
      <c r="A27" s="86"/>
      <c r="B27" s="25" t="s">
        <v>32</v>
      </c>
      <c r="C27" s="3"/>
      <c r="D27" s="3"/>
      <c r="H27" s="18"/>
    </row>
    <row r="28" spans="1:15">
      <c r="A28" s="86"/>
      <c r="B28" s="20" t="s">
        <v>343</v>
      </c>
      <c r="C28" s="3"/>
      <c r="D28" s="3"/>
      <c r="H28" s="18"/>
      <c r="N28" s="75"/>
      <c r="O28" s="75" t="s">
        <v>265</v>
      </c>
    </row>
    <row r="29" spans="1:15">
      <c r="A29" s="86"/>
      <c r="B29" s="20" t="s">
        <v>34</v>
      </c>
      <c r="C29" s="3"/>
      <c r="D29" s="3"/>
      <c r="F29" s="2" t="s">
        <v>36</v>
      </c>
      <c r="H29" s="18"/>
      <c r="M29" s="27">
        <v>247.54</v>
      </c>
      <c r="O29" s="75"/>
    </row>
    <row r="30" spans="1:15">
      <c r="A30" s="86"/>
      <c r="B30" s="20" t="s">
        <v>33</v>
      </c>
      <c r="C30" s="3"/>
      <c r="D30" s="3"/>
      <c r="F30" s="2" t="s">
        <v>36</v>
      </c>
      <c r="H30" s="18"/>
      <c r="M30" s="27">
        <v>277.54000000000002</v>
      </c>
      <c r="O30" s="24"/>
    </row>
    <row r="31" spans="1:15" s="75" customFormat="1">
      <c r="A31" s="86"/>
      <c r="B31" s="20" t="s">
        <v>247</v>
      </c>
      <c r="C31" s="3"/>
      <c r="D31" s="3"/>
      <c r="F31" s="75" t="s">
        <v>19</v>
      </c>
      <c r="H31" s="18"/>
      <c r="M31" s="27">
        <v>1405</v>
      </c>
      <c r="O31" s="104" t="s">
        <v>249</v>
      </c>
    </row>
    <row r="32" spans="1:15" s="75" customFormat="1">
      <c r="A32" s="86"/>
      <c r="B32" s="20" t="s">
        <v>247</v>
      </c>
      <c r="C32" s="3"/>
      <c r="D32" s="3"/>
      <c r="F32" s="75" t="s">
        <v>36</v>
      </c>
      <c r="H32" s="18"/>
      <c r="M32" s="106">
        <f>M31*(1+$M$25)</f>
        <v>1386.7349999999999</v>
      </c>
      <c r="O32" s="104"/>
    </row>
    <row r="33" spans="1:17">
      <c r="A33" s="86"/>
      <c r="B33" s="2" t="s">
        <v>35</v>
      </c>
      <c r="F33" s="2" t="s">
        <v>36</v>
      </c>
      <c r="M33" s="27">
        <v>78.959999999999994</v>
      </c>
    </row>
    <row r="34" spans="1:17">
      <c r="A34" s="86"/>
      <c r="O34" s="75" t="s">
        <v>266</v>
      </c>
    </row>
    <row r="35" spans="1:17">
      <c r="A35" s="86"/>
      <c r="B35" s="2" t="s">
        <v>206</v>
      </c>
      <c r="F35" s="75" t="s">
        <v>36</v>
      </c>
      <c r="M35" s="76">
        <v>40</v>
      </c>
    </row>
    <row r="36" spans="1:17">
      <c r="A36" s="86"/>
    </row>
    <row r="37" spans="1:17">
      <c r="A37" s="86"/>
      <c r="B37" s="1" t="s">
        <v>37</v>
      </c>
    </row>
    <row r="38" spans="1:17">
      <c r="A38" s="86"/>
      <c r="B38" s="2" t="s">
        <v>38</v>
      </c>
      <c r="F38" s="2" t="s">
        <v>39</v>
      </c>
      <c r="M38" s="76">
        <v>359</v>
      </c>
      <c r="O38" s="2" t="s">
        <v>229</v>
      </c>
      <c r="Q38" s="2" t="s">
        <v>360</v>
      </c>
    </row>
    <row r="39" spans="1:17">
      <c r="A39" s="86"/>
      <c r="B39" s="2" t="s">
        <v>244</v>
      </c>
      <c r="F39" s="2" t="s">
        <v>39</v>
      </c>
      <c r="M39" s="76">
        <v>17</v>
      </c>
      <c r="O39" s="2" t="s">
        <v>246</v>
      </c>
    </row>
    <row r="40" spans="1:17" s="75" customFormat="1">
      <c r="A40" s="86"/>
      <c r="B40" s="75" t="s">
        <v>245</v>
      </c>
      <c r="F40" s="75" t="s">
        <v>39</v>
      </c>
      <c r="M40" s="76">
        <v>5</v>
      </c>
      <c r="O40" s="75" t="s">
        <v>246</v>
      </c>
    </row>
    <row r="41" spans="1:17">
      <c r="A41" s="86"/>
    </row>
    <row r="42" spans="1:17">
      <c r="A42" s="86"/>
      <c r="B42" s="25" t="s">
        <v>40</v>
      </c>
    </row>
    <row r="43" spans="1:17">
      <c r="A43" s="86"/>
      <c r="B43" s="2" t="s">
        <v>40</v>
      </c>
      <c r="F43" s="2" t="s">
        <v>36</v>
      </c>
      <c r="M43" s="31">
        <f>M39*M30+M38*M35+M40*M32</f>
        <v>26011.855</v>
      </c>
    </row>
    <row r="44" spans="1:17">
      <c r="A44" s="86"/>
    </row>
    <row r="45" spans="1:17">
      <c r="A45" s="86"/>
    </row>
    <row r="46" spans="1:17" s="48" customFormat="1">
      <c r="A46" s="87"/>
      <c r="B46" s="48" t="s">
        <v>344</v>
      </c>
    </row>
    <row r="47" spans="1:17">
      <c r="A47" s="86"/>
      <c r="B47" s="51"/>
    </row>
    <row r="48" spans="1:17" s="9" customFormat="1">
      <c r="A48" s="86"/>
      <c r="B48" s="67"/>
      <c r="F48" s="67"/>
      <c r="H48" s="68"/>
      <c r="Q48" s="13"/>
    </row>
    <row r="49" spans="1:15" s="9" customFormat="1">
      <c r="A49" s="86"/>
      <c r="B49" s="51" t="s">
        <v>345</v>
      </c>
      <c r="C49" s="2"/>
      <c r="D49" s="2"/>
      <c r="E49" s="2"/>
      <c r="F49" s="51" t="s">
        <v>67</v>
      </c>
      <c r="G49" s="2"/>
      <c r="H49" s="76">
        <v>645881</v>
      </c>
      <c r="I49" s="2"/>
      <c r="O49" s="75" t="s">
        <v>250</v>
      </c>
    </row>
    <row r="50" spans="1:15" s="9" customFormat="1">
      <c r="A50" s="86"/>
      <c r="B50" s="51" t="s">
        <v>346</v>
      </c>
      <c r="C50" s="2"/>
      <c r="D50" s="2"/>
      <c r="E50" s="2"/>
      <c r="F50" s="51" t="s">
        <v>67</v>
      </c>
      <c r="G50" s="2"/>
      <c r="H50" s="76">
        <v>134589</v>
      </c>
      <c r="I50" s="2"/>
      <c r="O50" s="75" t="s">
        <v>250</v>
      </c>
    </row>
    <row r="51" spans="1:15" s="9" customFormat="1">
      <c r="A51" s="86"/>
      <c r="B51" s="51" t="s">
        <v>347</v>
      </c>
      <c r="C51" s="2"/>
      <c r="D51" s="2"/>
      <c r="E51" s="2"/>
      <c r="F51" s="51" t="s">
        <v>67</v>
      </c>
      <c r="G51" s="2"/>
      <c r="H51" s="31">
        <f>H49+H50</f>
        <v>780470</v>
      </c>
      <c r="I51" s="2"/>
      <c r="O51" s="13"/>
    </row>
    <row r="52" spans="1:15" s="9" customFormat="1">
      <c r="A52" s="86"/>
      <c r="B52" s="67"/>
      <c r="F52" s="67"/>
      <c r="H52" s="68"/>
      <c r="O52" s="13"/>
    </row>
    <row r="53" spans="1:15" s="9" customFormat="1">
      <c r="A53" s="86"/>
      <c r="B53" s="51" t="s">
        <v>352</v>
      </c>
      <c r="C53" s="2"/>
      <c r="D53" s="2"/>
      <c r="E53" s="2"/>
      <c r="F53" s="51" t="s">
        <v>67</v>
      </c>
      <c r="G53" s="2"/>
      <c r="H53" s="76">
        <v>634569</v>
      </c>
      <c r="I53" s="2"/>
      <c r="O53" s="75" t="s">
        <v>250</v>
      </c>
    </row>
    <row r="54" spans="1:15" s="9" customFormat="1">
      <c r="A54" s="86"/>
      <c r="B54" s="51" t="s">
        <v>353</v>
      </c>
      <c r="C54" s="2"/>
      <c r="D54" s="2"/>
      <c r="E54" s="2"/>
      <c r="F54" s="51" t="s">
        <v>67</v>
      </c>
      <c r="G54" s="2"/>
      <c r="H54" s="76">
        <v>156286</v>
      </c>
      <c r="I54" s="2"/>
      <c r="O54" s="75" t="s">
        <v>250</v>
      </c>
    </row>
    <row r="55" spans="1:15" s="9" customFormat="1">
      <c r="A55" s="86"/>
      <c r="B55" s="51" t="s">
        <v>348</v>
      </c>
      <c r="C55" s="2"/>
      <c r="D55" s="2"/>
      <c r="E55" s="2"/>
      <c r="F55" s="51" t="s">
        <v>67</v>
      </c>
      <c r="G55" s="2"/>
      <c r="H55" s="31">
        <f>H53+H54</f>
        <v>790855</v>
      </c>
      <c r="I55" s="2"/>
      <c r="O55" s="13"/>
    </row>
    <row r="56" spans="1:15" s="9" customFormat="1">
      <c r="A56" s="86"/>
      <c r="B56" s="67"/>
      <c r="F56" s="67"/>
      <c r="H56" s="68"/>
      <c r="O56" s="13"/>
    </row>
    <row r="57" spans="1:15" s="9" customFormat="1">
      <c r="A57" s="86"/>
      <c r="B57" s="51" t="s">
        <v>354</v>
      </c>
      <c r="C57" s="2"/>
      <c r="D57" s="2"/>
      <c r="E57" s="2"/>
      <c r="F57" s="51" t="s">
        <v>67</v>
      </c>
      <c r="G57" s="2"/>
      <c r="H57" s="76">
        <v>646624</v>
      </c>
      <c r="I57" s="2"/>
      <c r="O57" s="75" t="s">
        <v>250</v>
      </c>
    </row>
    <row r="58" spans="1:15" s="9" customFormat="1">
      <c r="A58" s="86"/>
      <c r="B58" s="51" t="s">
        <v>355</v>
      </c>
      <c r="C58" s="2"/>
      <c r="D58" s="2"/>
      <c r="E58" s="2"/>
      <c r="F58" s="51" t="s">
        <v>67</v>
      </c>
      <c r="G58" s="2"/>
      <c r="H58" s="76">
        <v>142168</v>
      </c>
      <c r="I58" s="2"/>
      <c r="O58" s="75" t="s">
        <v>250</v>
      </c>
    </row>
    <row r="59" spans="1:15" s="9" customFormat="1">
      <c r="A59" s="86"/>
      <c r="B59" s="51" t="s">
        <v>349</v>
      </c>
      <c r="C59" s="2"/>
      <c r="D59" s="2"/>
      <c r="E59" s="2"/>
      <c r="F59" s="51" t="s">
        <v>67</v>
      </c>
      <c r="G59" s="2"/>
      <c r="H59" s="31">
        <f>H57+H58</f>
        <v>788792</v>
      </c>
      <c r="I59" s="2"/>
      <c r="O59" s="13"/>
    </row>
    <row r="60" spans="1:15" s="9" customFormat="1">
      <c r="A60" s="86"/>
      <c r="B60" s="67"/>
      <c r="F60" s="67"/>
      <c r="H60" s="68"/>
      <c r="O60" s="13"/>
    </row>
    <row r="61" spans="1:15" s="9" customFormat="1">
      <c r="A61" s="86"/>
      <c r="B61" s="51" t="s">
        <v>356</v>
      </c>
      <c r="C61" s="2"/>
      <c r="D61" s="2"/>
      <c r="E61" s="2"/>
      <c r="F61" s="51" t="s">
        <v>67</v>
      </c>
      <c r="G61" s="2"/>
      <c r="H61" s="76">
        <v>637467</v>
      </c>
      <c r="I61" s="2"/>
      <c r="O61" s="75" t="s">
        <v>250</v>
      </c>
    </row>
    <row r="62" spans="1:15" s="9" customFormat="1">
      <c r="A62" s="86"/>
      <c r="B62" s="51" t="s">
        <v>357</v>
      </c>
      <c r="C62" s="2"/>
      <c r="D62" s="2"/>
      <c r="E62" s="2"/>
      <c r="F62" s="51" t="s">
        <v>67</v>
      </c>
      <c r="G62" s="2"/>
      <c r="H62" s="76">
        <v>148561</v>
      </c>
      <c r="I62" s="2"/>
      <c r="O62" s="75" t="s">
        <v>250</v>
      </c>
    </row>
    <row r="63" spans="1:15" s="9" customFormat="1">
      <c r="A63" s="86"/>
      <c r="B63" s="51" t="s">
        <v>350</v>
      </c>
      <c r="C63" s="2"/>
      <c r="D63" s="2"/>
      <c r="E63" s="2"/>
      <c r="F63" s="51" t="s">
        <v>67</v>
      </c>
      <c r="G63" s="2"/>
      <c r="H63" s="31">
        <f>H61+H62</f>
        <v>786028</v>
      </c>
      <c r="I63" s="2"/>
      <c r="O63" s="13"/>
    </row>
    <row r="64" spans="1:15" s="9" customFormat="1">
      <c r="A64" s="86"/>
      <c r="B64" s="67"/>
      <c r="F64" s="67"/>
      <c r="H64" s="68"/>
      <c r="O64" s="13"/>
    </row>
    <row r="65" spans="1:15" s="9" customFormat="1">
      <c r="A65" s="86"/>
      <c r="B65" s="51" t="s">
        <v>359</v>
      </c>
      <c r="C65" s="2"/>
      <c r="D65" s="2"/>
      <c r="E65" s="2"/>
      <c r="F65" s="51" t="s">
        <v>67</v>
      </c>
      <c r="G65" s="2"/>
      <c r="H65" s="76">
        <v>676998</v>
      </c>
      <c r="I65" s="2"/>
      <c r="O65" s="75" t="s">
        <v>250</v>
      </c>
    </row>
    <row r="66" spans="1:15" s="9" customFormat="1">
      <c r="A66" s="86"/>
      <c r="B66" s="51" t="s">
        <v>358</v>
      </c>
      <c r="C66" s="2"/>
      <c r="D66" s="2"/>
      <c r="E66" s="2"/>
      <c r="F66" s="51" t="s">
        <v>67</v>
      </c>
      <c r="G66" s="2"/>
      <c r="H66" s="76">
        <v>133148</v>
      </c>
      <c r="I66" s="2"/>
      <c r="O66" s="75" t="s">
        <v>250</v>
      </c>
    </row>
    <row r="67" spans="1:15">
      <c r="A67" s="86"/>
      <c r="B67" s="51" t="s">
        <v>351</v>
      </c>
      <c r="F67" s="51" t="s">
        <v>67</v>
      </c>
      <c r="H67" s="31">
        <f>H65+H66</f>
        <v>810146</v>
      </c>
    </row>
    <row r="68" spans="1:15">
      <c r="A68" s="86"/>
    </row>
    <row r="69" spans="1:15">
      <c r="A69" s="86"/>
      <c r="B69" s="51"/>
      <c r="F69" s="51"/>
      <c r="H69" s="66"/>
    </row>
    <row r="70" spans="1:15" s="8" customFormat="1">
      <c r="A70" s="85"/>
      <c r="B70" s="8" t="s">
        <v>41</v>
      </c>
    </row>
    <row r="71" spans="1:15">
      <c r="A71" s="75"/>
      <c r="B71" s="4" t="s">
        <v>42</v>
      </c>
    </row>
    <row r="72" spans="1:15">
      <c r="A72" s="75"/>
    </row>
    <row r="73" spans="1:15">
      <c r="A73" s="75"/>
      <c r="B73" s="1" t="s">
        <v>88</v>
      </c>
    </row>
    <row r="74" spans="1:15">
      <c r="A74" s="75"/>
      <c r="B74" s="46">
        <v>3.2</v>
      </c>
      <c r="F74" s="2" t="s">
        <v>39</v>
      </c>
      <c r="H74" s="41">
        <v>117</v>
      </c>
      <c r="O74" s="2" t="s">
        <v>232</v>
      </c>
    </row>
    <row r="75" spans="1:15">
      <c r="A75" s="75"/>
      <c r="B75" s="46">
        <v>7.7</v>
      </c>
      <c r="F75" s="2" t="s">
        <v>39</v>
      </c>
      <c r="H75" s="41">
        <v>1020</v>
      </c>
    </row>
    <row r="76" spans="1:15">
      <c r="A76" s="75"/>
      <c r="B76" s="46">
        <v>13.3</v>
      </c>
      <c r="F76" s="2" t="s">
        <v>39</v>
      </c>
      <c r="H76" s="41">
        <v>79</v>
      </c>
    </row>
    <row r="77" spans="1:15">
      <c r="A77" s="75"/>
      <c r="B77" s="46">
        <v>18.3</v>
      </c>
      <c r="F77" s="2" t="s">
        <v>39</v>
      </c>
      <c r="H77" s="41">
        <v>10</v>
      </c>
    </row>
    <row r="78" spans="1:15">
      <c r="A78" s="75"/>
      <c r="B78" s="46">
        <v>23.3</v>
      </c>
      <c r="F78" s="2" t="s">
        <v>39</v>
      </c>
      <c r="H78" s="41">
        <v>13</v>
      </c>
    </row>
    <row r="79" spans="1:15">
      <c r="A79" s="75"/>
      <c r="B79" s="46">
        <v>28.3</v>
      </c>
      <c r="F79" s="2" t="s">
        <v>39</v>
      </c>
      <c r="H79" s="41">
        <v>9</v>
      </c>
    </row>
    <row r="80" spans="1:15">
      <c r="A80" s="75"/>
      <c r="B80" s="46">
        <v>38.299999999999997</v>
      </c>
      <c r="F80" s="2" t="s">
        <v>39</v>
      </c>
      <c r="H80" s="41">
        <v>9</v>
      </c>
    </row>
    <row r="81" spans="1:8">
      <c r="A81" s="75"/>
      <c r="B81" s="46">
        <v>48.3</v>
      </c>
      <c r="F81" s="2" t="s">
        <v>39</v>
      </c>
      <c r="H81" s="41">
        <v>3</v>
      </c>
    </row>
    <row r="82" spans="1:8">
      <c r="A82" s="75"/>
      <c r="B82" s="46">
        <v>63.3</v>
      </c>
      <c r="F82" s="2" t="s">
        <v>39</v>
      </c>
      <c r="H82" s="41">
        <v>1</v>
      </c>
    </row>
    <row r="83" spans="1:8">
      <c r="A83" s="75"/>
      <c r="B83" s="46">
        <v>78.3</v>
      </c>
      <c r="F83" s="2" t="s">
        <v>39</v>
      </c>
      <c r="H83" s="41">
        <v>1</v>
      </c>
    </row>
    <row r="84" spans="1:8">
      <c r="A84" s="75"/>
      <c r="B84" s="46">
        <v>83.3</v>
      </c>
      <c r="F84" s="2" t="s">
        <v>39</v>
      </c>
      <c r="H84" s="41">
        <v>1</v>
      </c>
    </row>
    <row r="85" spans="1:8">
      <c r="A85" s="75"/>
      <c r="B85" s="46">
        <v>93.3</v>
      </c>
      <c r="F85" s="2" t="s">
        <v>39</v>
      </c>
      <c r="H85" s="41">
        <v>1</v>
      </c>
    </row>
    <row r="86" spans="1:8">
      <c r="A86" s="75"/>
      <c r="B86" s="46">
        <v>98.3</v>
      </c>
      <c r="F86" s="2" t="s">
        <v>39</v>
      </c>
      <c r="H86" s="41">
        <v>0</v>
      </c>
    </row>
    <row r="87" spans="1:8">
      <c r="A87" s="75"/>
      <c r="B87" s="46">
        <v>100</v>
      </c>
      <c r="F87" s="2" t="s">
        <v>39</v>
      </c>
      <c r="H87" s="41">
        <v>0</v>
      </c>
    </row>
    <row r="88" spans="1:8">
      <c r="A88" s="75"/>
      <c r="B88" s="46">
        <v>125</v>
      </c>
      <c r="F88" s="2" t="s">
        <v>39</v>
      </c>
      <c r="H88" s="41">
        <v>1</v>
      </c>
    </row>
    <row r="89" spans="1:8">
      <c r="A89" s="75"/>
      <c r="B89" s="46">
        <v>350</v>
      </c>
      <c r="F89" s="2" t="s">
        <v>39</v>
      </c>
      <c r="H89" s="41">
        <v>1</v>
      </c>
    </row>
    <row r="90" spans="1:8">
      <c r="A90" s="75"/>
    </row>
  </sheetData>
  <hyperlinks>
    <hyperlink ref="O31"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Q18"/>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cols>
    <col min="1" max="1" width="4.5703125" style="75"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 style="2" bestFit="1" customWidth="1"/>
    <col min="14" max="14" width="2.7109375" style="2" customWidth="1"/>
    <col min="15" max="15" width="17.14062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1:17" s="17" customFormat="1" ht="18">
      <c r="B2" s="17" t="s">
        <v>89</v>
      </c>
    </row>
    <row r="4" spans="1:17">
      <c r="A4" s="1"/>
      <c r="B4" s="1" t="s">
        <v>4</v>
      </c>
      <c r="C4" s="1"/>
      <c r="D4" s="1"/>
    </row>
    <row r="5" spans="1:17">
      <c r="A5" s="3"/>
      <c r="B5" s="20" t="s">
        <v>342</v>
      </c>
      <c r="C5" s="3"/>
      <c r="D5" s="3"/>
      <c r="H5" s="18"/>
    </row>
    <row r="6" spans="1:17">
      <c r="A6" s="3"/>
      <c r="B6" s="20"/>
      <c r="C6" s="3"/>
      <c r="D6" s="3"/>
      <c r="H6" s="18"/>
    </row>
    <row r="7" spans="1:17" s="8" customFormat="1">
      <c r="A7" s="73"/>
      <c r="B7" s="8" t="s">
        <v>5</v>
      </c>
      <c r="F7" s="8" t="s">
        <v>6</v>
      </c>
      <c r="H7" s="8" t="s">
        <v>12</v>
      </c>
      <c r="J7" s="8" t="s">
        <v>13</v>
      </c>
      <c r="L7" s="81" t="s">
        <v>176</v>
      </c>
      <c r="M7" s="81" t="s">
        <v>177</v>
      </c>
      <c r="O7" s="8" t="s">
        <v>47</v>
      </c>
      <c r="Q7" s="110"/>
    </row>
    <row r="9" spans="1:17" s="8" customFormat="1">
      <c r="A9" s="73"/>
      <c r="B9" s="8" t="s">
        <v>90</v>
      </c>
    </row>
    <row r="11" spans="1:17">
      <c r="B11" s="25" t="s">
        <v>91</v>
      </c>
    </row>
    <row r="12" spans="1:17">
      <c r="B12" s="2" t="s">
        <v>92</v>
      </c>
      <c r="F12" s="2" t="s">
        <v>19</v>
      </c>
      <c r="L12" s="41">
        <v>19160.348683697637</v>
      </c>
      <c r="O12" s="2" t="s">
        <v>207</v>
      </c>
    </row>
    <row r="14" spans="1:17">
      <c r="B14" s="25" t="s">
        <v>93</v>
      </c>
    </row>
    <row r="15" spans="1:17">
      <c r="B15" s="2" t="s">
        <v>94</v>
      </c>
      <c r="F15" s="2" t="s">
        <v>19</v>
      </c>
      <c r="L15" s="41">
        <v>58199.237521417206</v>
      </c>
      <c r="O15" s="75" t="s">
        <v>207</v>
      </c>
    </row>
    <row r="17" spans="2:15">
      <c r="B17" s="25" t="s">
        <v>95</v>
      </c>
    </row>
    <row r="18" spans="2:15">
      <c r="B18" s="2" t="s">
        <v>96</v>
      </c>
      <c r="F18" s="2" t="s">
        <v>19</v>
      </c>
      <c r="L18" s="41">
        <v>39150.031088400865</v>
      </c>
      <c r="M18" s="94"/>
      <c r="O18" s="75" t="s">
        <v>207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DAB9D1-B815-4B0E-93E7-4496A7FE99F6}">
  <ds:schemaRefs>
    <ds:schemaRef ds:uri="http://purl.org/dc/elements/1.1/"/>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Title page</vt:lpstr>
      <vt:lpstr>Explanation</vt:lpstr>
      <vt:lpstr>Sources and applications</vt:lpstr>
      <vt:lpstr>Tariffs</vt:lpstr>
      <vt:lpstr>Input --&gt;</vt:lpstr>
      <vt:lpstr>CPI &amp; WACC</vt:lpstr>
      <vt:lpstr>Data on costs</vt:lpstr>
      <vt:lpstr>Data on volumes and tariffs</vt:lpstr>
      <vt:lpstr>Data on corrections</vt:lpstr>
      <vt:lpstr>Input data fuel purchase</vt:lpstr>
      <vt:lpstr>Calculations --&gt;</vt:lpstr>
      <vt:lpstr>Corr fuel price difference </vt:lpstr>
      <vt:lpstr>Calculation income level </vt:lpstr>
      <vt:lpstr>Monthly fuel prices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2018-12-14T09:34:11Z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