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9980" windowHeight="7560"/>
  </bookViews>
  <sheets>
    <sheet name="Titelblad" sheetId="9" r:id="rId1"/>
    <sheet name="Toelichting" sheetId="10" r:id="rId2"/>
    <sheet name="Bronnen en toepassingen" sheetId="11" r:id="rId3"/>
    <sheet name="Resultaat" sheetId="21" r:id="rId4"/>
    <sheet name="Input --&gt;" sheetId="13" r:id="rId5"/>
    <sheet name="Schatting kosten 2017 E en DW" sheetId="24" r:id="rId6"/>
    <sheet name="Realisatie kosten 2017 E en DW" sheetId="30" r:id="rId7"/>
    <sheet name="Brandstofkosten en volume E" sheetId="31" r:id="rId8"/>
    <sheet name="CPI &amp; WACC" sheetId="33" r:id="rId9"/>
    <sheet name="Berekeningen --&gt;" sheetId="15" r:id="rId10"/>
    <sheet name="Berekening volume-effect E" sheetId="22" r:id="rId11"/>
    <sheet name="Berekening volume-effect DW" sheetId="29" r:id="rId12"/>
    <sheet name="Berekening profit sharing" sheetId="26" r:id="rId13"/>
    <sheet name="Berekening brandstofverschil E" sheetId="32" r:id="rId14"/>
  </sheets>
  <calcPr calcId="145621"/>
</workbook>
</file>

<file path=xl/calcChain.xml><?xml version="1.0" encoding="utf-8"?>
<calcChain xmlns="http://schemas.openxmlformats.org/spreadsheetml/2006/main">
  <c r="M22" i="30" l="1"/>
  <c r="M23" i="30" s="1"/>
  <c r="L22" i="30"/>
  <c r="J22" i="30" s="1"/>
  <c r="H22" i="26"/>
  <c r="L23" i="30" l="1"/>
  <c r="H15" i="26" l="1"/>
  <c r="H14" i="26"/>
  <c r="H14" i="22"/>
  <c r="M20" i="33"/>
  <c r="N19" i="33"/>
  <c r="N18" i="33"/>
  <c r="M18" i="33"/>
  <c r="L18" i="33"/>
  <c r="H14" i="32" l="1"/>
  <c r="H35" i="22" l="1"/>
  <c r="H34" i="22"/>
  <c r="H33" i="22"/>
  <c r="M46" i="26" l="1"/>
  <c r="L46" i="26"/>
  <c r="H52" i="32" l="1"/>
  <c r="H53" i="32"/>
  <c r="H54" i="32"/>
  <c r="H55" i="32"/>
  <c r="H56" i="32"/>
  <c r="H57" i="32"/>
  <c r="H58" i="32"/>
  <c r="H59" i="32"/>
  <c r="H60" i="32"/>
  <c r="H61" i="32"/>
  <c r="H62" i="32"/>
  <c r="H51" i="32"/>
  <c r="L81" i="31"/>
  <c r="H38" i="32" s="1"/>
  <c r="L82" i="31"/>
  <c r="H39" i="32" s="1"/>
  <c r="L83" i="31"/>
  <c r="H40" i="32" s="1"/>
  <c r="L84" i="31"/>
  <c r="H41" i="32" s="1"/>
  <c r="L85" i="31"/>
  <c r="H42" i="32" s="1"/>
  <c r="L86" i="31"/>
  <c r="H43" i="32" s="1"/>
  <c r="L87" i="31"/>
  <c r="H44" i="32" s="1"/>
  <c r="L88" i="31"/>
  <c r="H45" i="32" s="1"/>
  <c r="L89" i="31"/>
  <c r="H46" i="32" s="1"/>
  <c r="L90" i="31"/>
  <c r="H47" i="32" s="1"/>
  <c r="L91" i="31"/>
  <c r="H48" i="32" s="1"/>
  <c r="L80" i="31"/>
  <c r="H37" i="32" s="1"/>
  <c r="L76" i="31" l="1"/>
  <c r="H22" i="22" s="1"/>
  <c r="H32" i="32" l="1"/>
  <c r="H33" i="32"/>
  <c r="H34" i="32"/>
  <c r="H22" i="32"/>
  <c r="H23" i="32"/>
  <c r="H104" i="32" s="1"/>
  <c r="H24" i="32"/>
  <c r="H25" i="32"/>
  <c r="H26" i="32"/>
  <c r="H27" i="32"/>
  <c r="H28" i="32"/>
  <c r="H29" i="32"/>
  <c r="H30" i="32"/>
  <c r="H31" i="32"/>
  <c r="H21" i="32"/>
  <c r="H16" i="32"/>
  <c r="H15" i="32"/>
  <c r="H105" i="32" l="1"/>
  <c r="H109" i="32"/>
  <c r="H113" i="32"/>
  <c r="H106" i="32"/>
  <c r="H110" i="32"/>
  <c r="H114" i="32"/>
  <c r="H107" i="32"/>
  <c r="H111" i="32"/>
  <c r="H115" i="32"/>
  <c r="H108" i="32"/>
  <c r="H112" i="32"/>
  <c r="H17" i="32"/>
  <c r="H18" i="32" s="1"/>
  <c r="H72" i="32" l="1"/>
  <c r="H87" i="32" s="1"/>
  <c r="H70" i="32"/>
  <c r="H85" i="32" s="1"/>
  <c r="H116" i="32"/>
  <c r="H121" i="32" s="1"/>
  <c r="H73" i="32"/>
  <c r="H88" i="32" s="1"/>
  <c r="H80" i="32"/>
  <c r="H95" i="32" s="1"/>
  <c r="H78" i="32"/>
  <c r="H93" i="32" s="1"/>
  <c r="H81" i="32"/>
  <c r="H96" i="32" s="1"/>
  <c r="H75" i="32"/>
  <c r="H90" i="32" s="1"/>
  <c r="H76" i="32"/>
  <c r="H91" i="32" s="1"/>
  <c r="H74" i="32"/>
  <c r="H89" i="32" s="1"/>
  <c r="H79" i="32"/>
  <c r="H94" i="32" s="1"/>
  <c r="H77" i="32"/>
  <c r="H92" i="32" s="1"/>
  <c r="H71" i="32"/>
  <c r="H86" i="32" s="1"/>
  <c r="H97" i="32" l="1"/>
  <c r="H120" i="32" s="1"/>
  <c r="H122" i="32" s="1"/>
  <c r="H124" i="32" s="1"/>
  <c r="L25" i="21" s="1"/>
  <c r="L59" i="31" l="1"/>
  <c r="H23" i="22" l="1"/>
  <c r="L93" i="31"/>
  <c r="J25" i="21"/>
  <c r="H18" i="29"/>
  <c r="M34" i="26" l="1"/>
  <c r="M35" i="26"/>
  <c r="L35" i="26"/>
  <c r="L34" i="26"/>
  <c r="L58" i="26" s="1"/>
  <c r="M24" i="26"/>
  <c r="M50" i="26" s="1"/>
  <c r="L24" i="26"/>
  <c r="L50" i="26" s="1"/>
  <c r="M20" i="26"/>
  <c r="M21" i="26"/>
  <c r="L21" i="26"/>
  <c r="M58" i="26" l="1"/>
  <c r="H33" i="30"/>
  <c r="M35" i="30" l="1"/>
  <c r="M36" i="26" s="1"/>
  <c r="M61" i="26" s="1"/>
  <c r="L35" i="30"/>
  <c r="L36" i="26" l="1"/>
  <c r="L61" i="26" s="1"/>
  <c r="J35" i="30"/>
  <c r="M37" i="24"/>
  <c r="H14" i="29" s="1"/>
  <c r="J38" i="30" l="1"/>
  <c r="M67" i="30"/>
  <c r="H15" i="29" s="1"/>
  <c r="L54" i="30"/>
  <c r="L40" i="26" s="1"/>
  <c r="L57" i="30"/>
  <c r="H30" i="22" s="1"/>
  <c r="J30" i="30"/>
  <c r="J29" i="30"/>
  <c r="M38" i="26"/>
  <c r="M59" i="26" s="1"/>
  <c r="M62" i="26" s="1"/>
  <c r="M69" i="26" s="1"/>
  <c r="L38" i="26"/>
  <c r="L59" i="26" s="1"/>
  <c r="J21" i="30"/>
  <c r="J20" i="30"/>
  <c r="J23" i="30" l="1"/>
  <c r="H25" i="29" l="1"/>
  <c r="H24" i="29" l="1"/>
  <c r="H26" i="29" s="1"/>
  <c r="H28" i="29" s="1"/>
  <c r="M22" i="21" s="1"/>
  <c r="L60" i="26" l="1"/>
  <c r="L28" i="26"/>
  <c r="L29" i="26"/>
  <c r="L27" i="26"/>
  <c r="L20" i="26"/>
  <c r="L49" i="26" l="1"/>
  <c r="M49" i="26"/>
  <c r="M52" i="26" s="1"/>
  <c r="M68" i="26" s="1"/>
  <c r="M70" i="26" s="1"/>
  <c r="M71" i="26" s="1"/>
  <c r="M24" i="21" s="1"/>
  <c r="L51" i="26"/>
  <c r="L62" i="26"/>
  <c r="H45" i="22" l="1"/>
  <c r="H28" i="22" l="1"/>
  <c r="H27" i="22"/>
  <c r="H44" i="22" l="1"/>
  <c r="H18" i="22"/>
  <c r="H43" i="22" s="1"/>
  <c r="H17" i="22"/>
  <c r="H24" i="22" l="1"/>
  <c r="H19" i="22"/>
  <c r="H57" i="22" l="1"/>
  <c r="H56" i="22"/>
  <c r="H42" i="22"/>
  <c r="H46" i="22" s="1"/>
  <c r="H48" i="22" s="1"/>
  <c r="L22" i="21" s="1"/>
  <c r="J22" i="21" s="1"/>
  <c r="H53" i="22"/>
  <c r="H52" i="22"/>
  <c r="H41" i="22"/>
  <c r="L69" i="26"/>
  <c r="L32" i="24"/>
  <c r="L52" i="26"/>
  <c r="L68" i="26" s="1"/>
  <c r="H54" i="22" l="1"/>
  <c r="H58" i="22"/>
  <c r="H60" i="22" s="1"/>
  <c r="L23" i="21" s="1"/>
  <c r="J23" i="21" s="1"/>
  <c r="L70" i="26"/>
  <c r="L71" i="26" s="1"/>
  <c r="L24" i="21" s="1"/>
  <c r="J24" i="21" s="1"/>
  <c r="B19" i="10" l="1"/>
  <c r="B26" i="10" s="1"/>
  <c r="B20" i="10" l="1"/>
  <c r="B21" i="10" l="1"/>
  <c r="B25" i="10" s="1"/>
</calcChain>
</file>

<file path=xl/comments1.xml><?xml version="1.0" encoding="utf-8"?>
<comments xmlns="http://schemas.openxmlformats.org/spreadsheetml/2006/main">
  <authors>
    <author>Auteur</author>
  </authors>
  <commentList>
    <comment ref="B25" authorId="0">
      <text>
        <r>
          <rPr>
            <sz val="8"/>
            <color indexed="81"/>
            <rFont val="Tahoma"/>
            <family val="2"/>
          </rPr>
          <t xml:space="preserve">In alle gevallen dient een (groep van) roze cel(len) voorzien te zijn van een opmerking die uitlegt wat er specifiek zo bijzonder is aan deze roze cellen
</t>
        </r>
      </text>
    </comment>
  </commentList>
</comments>
</file>

<file path=xl/comments2.xml><?xml version="1.0" encoding="utf-8"?>
<comments xmlns="http://schemas.openxmlformats.org/spreadsheetml/2006/main">
  <authors>
    <author>Auteur</author>
  </authors>
  <commentList>
    <comment ref="H33" authorId="0">
      <text>
        <r>
          <rPr>
            <sz val="8"/>
            <color indexed="81"/>
            <rFont val="Tahoma"/>
            <family val="2"/>
          </rPr>
          <t>Bevat optelling twee bedragen, in lijn met oorspronkelijke bron</t>
        </r>
      </text>
    </comment>
  </commentList>
</comments>
</file>

<file path=xl/comments3.xml><?xml version="1.0" encoding="utf-8"?>
<comments xmlns="http://schemas.openxmlformats.org/spreadsheetml/2006/main">
  <authors>
    <author>Auteur</author>
  </authors>
  <commentList>
    <comment ref="H13" authorId="0">
      <text>
        <r>
          <rPr>
            <sz val="8"/>
            <color indexed="81"/>
            <rFont val="Tahoma"/>
            <family val="2"/>
          </rPr>
          <t>Harde waarde, betreft parameter</t>
        </r>
      </text>
    </comment>
  </commentList>
</comments>
</file>

<file path=xl/sharedStrings.xml><?xml version="1.0" encoding="utf-8"?>
<sst xmlns="http://schemas.openxmlformats.org/spreadsheetml/2006/main" count="927" uniqueCount="380">
  <si>
    <t>Titelblad</t>
  </si>
  <si>
    <t>Over dit bestand</t>
  </si>
  <si>
    <t>Zaaknummer</t>
  </si>
  <si>
    <t>Titel</t>
  </si>
  <si>
    <t>Hoort bij besluit(en):</t>
  </si>
  <si>
    <t>Kenmerk besluit(en)</t>
  </si>
  <si>
    <t>Samenhang met andere rekenbestanden</t>
  </si>
  <si>
    <t>Overig opmerkingen</t>
  </si>
  <si>
    <t>Over de status van dit bestand</t>
  </si>
  <si>
    <t>Definitief? (j/n)</t>
  </si>
  <si>
    <t>Publicatie? (j/n)</t>
  </si>
  <si>
    <t>Juridisch integraal onderdeel van bovenstaande besluit(en) (j/n)?</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</si>
  <si>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</si>
  <si>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</si>
  <si>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</si>
  <si>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</si>
  <si>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</si>
  <si>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</si>
  <si>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</si>
  <si>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Waarde of berekening die speciale aandacht vraagt (zet toelichting in opmerking)</t>
  </si>
  <si>
    <t>Ingevoerde waarde of berekening die nog niet juist is (indien van toepassing)</t>
  </si>
  <si>
    <t>Bronnenoverzicht en specifieke toepassingen</t>
  </si>
  <si>
    <t>Bronnenoverzicht</t>
  </si>
  <si>
    <t>Exacte bestandsnaam</t>
  </si>
  <si>
    <t>Eenheid</t>
  </si>
  <si>
    <t>Constante</t>
  </si>
  <si>
    <t>Beschrijving gegevens</t>
  </si>
  <si>
    <t>Toelichting bij bijzonderheden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</si>
  <si>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</si>
  <si>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</si>
  <si>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</si>
  <si>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</si>
  <si>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</si>
  <si>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</si>
  <si>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</si>
  <si>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</si>
  <si>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</si>
  <si>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</si>
  <si>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</si>
  <si>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</si>
  <si>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</si>
  <si>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</si>
  <si>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Gestandaardiseerde tabbladen, omvat tenminste: 'Titelblad', 'Toelichting' en 'Bronnen en functies' (kleur: ACM-lichtpaars)</t>
  </si>
  <si>
    <t>Omschrijving</t>
  </si>
  <si>
    <t>Bronverwijzing</t>
  </si>
  <si>
    <t>Opmerking</t>
  </si>
  <si>
    <t>Ophalen gegevens voor berekening</t>
  </si>
  <si>
    <t>Rijtotaal</t>
  </si>
  <si>
    <t>Toelichting bij dit bestand</t>
  </si>
  <si>
    <t>Berekende waarde die wordt opgehaald op een ander tabblad, incl. eindresultaat van berekening</t>
  </si>
  <si>
    <t>Data en input (vermeld de bron); bij een dataverzoek: in te vullen velden</t>
  </si>
  <si>
    <t>Nr.</t>
  </si>
  <si>
    <t xml:space="preserve">Verkorte naam </t>
  </si>
  <si>
    <t>Naam bestand extern</t>
  </si>
  <si>
    <t>Beschrijving berekening</t>
  </si>
  <si>
    <t>Beschrijving resultaat</t>
  </si>
  <si>
    <t>Aanvullende gegevens bestand extern</t>
  </si>
  <si>
    <t>Datum ontvangst, versie nr., opmerkingen</t>
  </si>
  <si>
    <t>Zoals gebruikt in dit bestand</t>
  </si>
  <si>
    <t>Ophalen resultaat</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</si>
  <si>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</si>
  <si>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</si>
  <si>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</si>
  <si>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</si>
  <si>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</si>
  <si>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kWh</t>
  </si>
  <si>
    <t>USD/kWh</t>
  </si>
  <si>
    <t>USD, pp 2017</t>
  </si>
  <si>
    <t>Productie elektriciteit</t>
  </si>
  <si>
    <t>Totale waarde RAB ultimo 2017</t>
  </si>
  <si>
    <t>USD, pl 2017</t>
  </si>
  <si>
    <t>Totale Afschrijvingen in 2017</t>
  </si>
  <si>
    <t>Capacity (Fixed rental fee per year))</t>
  </si>
  <si>
    <t>Operators</t>
  </si>
  <si>
    <t>Luboil</t>
  </si>
  <si>
    <t>17-0043 UITBREIDING AGGREKO</t>
  </si>
  <si>
    <t>Corr inzake terug te vorderen ABB van Aggreko</t>
  </si>
  <si>
    <t>Berekening profit sharing</t>
  </si>
  <si>
    <t>Verschil</t>
  </si>
  <si>
    <t>Percentage profit sharing</t>
  </si>
  <si>
    <t>Bedrag profitsharing (bedrag wordt opgeteld bij TI2019)</t>
  </si>
  <si>
    <t xml:space="preserve">Op dit blad worden alle relevante gegevens opgenomen die ACM gebruikt heeft bij het schatten van de kosten voor 2017. </t>
  </si>
  <si>
    <t>Gegevens over kapitaalkosten</t>
  </si>
  <si>
    <t>WACC zoals vastgesteld voor 2017</t>
  </si>
  <si>
    <t>%</t>
  </si>
  <si>
    <t>Gegevens over operationele kosten</t>
  </si>
  <si>
    <t>Rekenmodel tarief 2017</t>
  </si>
  <si>
    <t>Rekenmodel bij beschikking productieprijs elektriciteit 2017 WEB Caribisch Nederland</t>
  </si>
  <si>
    <t>bestand met datum 20 dec 2016, vindbaar via: https://www.acm.nl/nl/publicaties/publicatie/16780/Rekenmodel-bij-beschikking-productieprijs-elektriciteit-2017-WEB-Caribisch-Nederland</t>
  </si>
  <si>
    <t>16.1265.52</t>
  </si>
  <si>
    <t xml:space="preserve">16.0944.52 </t>
  </si>
  <si>
    <t>bestand met besluitdatum 17 november 2016, vindbaar via: https://www.acm.nl/nl/publicaties/publicatie/16601/WACC-methode-elektriciteit-en-drinkwater-Caribisch-Nederland-2017-2019</t>
  </si>
  <si>
    <t>WACC-berekening CN</t>
  </si>
  <si>
    <t>WACC-methode elektriciteit en drinkwater Caribisch Nederland 2017-2019</t>
  </si>
  <si>
    <t>USD, pl 2015</t>
  </si>
  <si>
    <t>Totaal OPEX</t>
  </si>
  <si>
    <t>Gegevens over additionele kosten voor Aggreko's</t>
  </si>
  <si>
    <t>Energy Charge (variable per kWh)</t>
  </si>
  <si>
    <t>Productievolumes in schattingen voor 2017</t>
  </si>
  <si>
    <t>Productie d.m.v. brandstof</t>
  </si>
  <si>
    <t>Productie d.m.v. solar</t>
  </si>
  <si>
    <t>Totale verwachte productie voor 2017</t>
  </si>
  <si>
    <t>Productiekosten per kWh, exclusief brandstof (gemiddelde over zon- en generator-productie)</t>
  </si>
  <si>
    <t>Brandstofefficiëntie (liters benodigd voor één kWh)</t>
  </si>
  <si>
    <t>liter / kWh</t>
  </si>
  <si>
    <t>Op dit blad worden alle relevante gegevens opgenomen die ACM heeft over de gerealiseerde kosten van WEB over 2017</t>
  </si>
  <si>
    <t>Productie drinkwater</t>
  </si>
  <si>
    <t>Totale OPEX (na correcties en aanpassingen in de V&amp;W)</t>
  </si>
  <si>
    <t>Totale Overige opbrengsten WEB 2017 per activiteit (negatief bedrag  = opbrengst)</t>
  </si>
  <si>
    <t>Netto OPEX bedrag, na aftrek van overige opbrengsten</t>
  </si>
  <si>
    <t>Berekening gecorrigeerde schatting van de kosten voor 2017</t>
  </si>
  <si>
    <t>Bedrag dat voortkomt uit gewijzigde berekening van de RAB voor 2017 en dat via nacalculatie 100% verrekend zal worden</t>
  </si>
  <si>
    <t>Aggreko/Mobilisation, Commissioning &amp; Demobilisation</t>
  </si>
  <si>
    <t>Aggreko/Advance payment of first contract</t>
  </si>
  <si>
    <t>Aggreko/Vat on invoices may 2016 - may 2017</t>
  </si>
  <si>
    <t>Aggreko/Outstanding vat invoice inv june-oct 2017</t>
  </si>
  <si>
    <t>Bijzondere posten/kosten, gebaseerd op rekening 510325 (negatief bedrag = credit):</t>
  </si>
  <si>
    <t>Gegevens over additionele kosten (OPEX) voor Aggreko's in 2017</t>
  </si>
  <si>
    <t>Kosten machines op basis van contract (gebaseerd op overzicht rekening 510325)</t>
  </si>
  <si>
    <t>Inkoop capaciteit (vaste kosten)</t>
  </si>
  <si>
    <t>Opslagen voor energie (variabele kosten, afgerekend per kWh)</t>
  </si>
  <si>
    <t>20180913 PwA analyse kosten Aggreko's 2017 v1</t>
  </si>
  <si>
    <t>Productievolumes gerealiseerd in 2017</t>
  </si>
  <si>
    <t>Productie d.m.v. brandstof (aggreko's)</t>
  </si>
  <si>
    <t>Inkoopoverzicht brandstof jan-dec 2017</t>
  </si>
  <si>
    <t>Gerealiseerde inkomsten voor 2017 uit productieprijs</t>
  </si>
  <si>
    <t>Geschatte inkomsten voor 2017 uit productieprijs</t>
  </si>
  <si>
    <t>Berekening volume effect (100% verrekenen, valt buiten profit sharing)</t>
  </si>
  <si>
    <t>4. Zonneuren 2015 2016 2017 2018 180803</t>
  </si>
  <si>
    <t>Data Zonne-uren 2017</t>
  </si>
  <si>
    <t>toegestuurd aan ACM als onderdeel van tweede informatieverzoek (3 aug 2018)</t>
  </si>
  <si>
    <t>Analyse ACM op 1. Model Opex WEB 2017 180803, toegestuurd aan ACM als onderdeel van tweede informatieverzoek (3 aug 2018)</t>
  </si>
  <si>
    <t>Data zonne-uren 2017</t>
  </si>
  <si>
    <t>Totale gerealiseerde productie voor 2017</t>
  </si>
  <si>
    <t>Het effect van gestegen of gedaalde volumes blijft buiten de profit sharing, dit wordt dus eerst bepaald. De extra inkomsten minus de extra kosten worden 1-op-1 verrekend in het tarief voor 2019.</t>
  </si>
  <si>
    <t>Berekening profit sharing 2017</t>
  </si>
  <si>
    <t>Ophalen gegevens voor berekening volume effect</t>
  </si>
  <si>
    <t>USD, pl 2016</t>
  </si>
  <si>
    <t>USD/kWh, pl 2016</t>
  </si>
  <si>
    <t>CPI</t>
  </si>
  <si>
    <t>Gegevens productieprijs 2017</t>
  </si>
  <si>
    <t>USD/kWh, pl 2017</t>
  </si>
  <si>
    <t>Dit is het bedrag ter dekking van de vaste én variabele kosten (exclusief brandstof), gemiddeld over zon en brandstof-productie</t>
  </si>
  <si>
    <t>Productieprijs WEB exclusief brandstof</t>
  </si>
  <si>
    <t xml:space="preserve">Variabele kosten voor gebruik Aggreko's </t>
  </si>
  <si>
    <t>Geschatte variabele kosten voor 2017 o.b.v. geschatte productie (exclusief fuel)</t>
  </si>
  <si>
    <t>Geschatte variabele kosten voor 2017 o.b.v. gerealiseerde productie (exclusief fuel)</t>
  </si>
  <si>
    <t>Berekening volume-effect</t>
  </si>
  <si>
    <t>Eenmalige kosten voor uitbreiding van Aggreko capaciteit</t>
  </si>
  <si>
    <t>Deze kosten worden verondersteld samen te hangen met de hogere productie (dus in feite onderdeel van de variabele kosten)</t>
  </si>
  <si>
    <t>Eenmalige kosten voor uitbreiding productiecapaciteit Aggreko's</t>
  </si>
  <si>
    <t>Totale vaste kosten voor Aggreko's in 2017 (excl. smeerolie en operators)</t>
  </si>
  <si>
    <t>Berekening geschatte bedrag voor vaste kosten 2017</t>
  </si>
  <si>
    <t>Gegevens voor berekening geschatte bedrag voor vaste kosten 2017</t>
  </si>
  <si>
    <t>Volume effect (positief bedrag = hogere inkomsten behaald)</t>
  </si>
  <si>
    <t>Effect voor tarieven 2019, a.g.v. volume effect (negatief bedrag = minder inkomsten in 2019)</t>
  </si>
  <si>
    <t>NB: bedrag moet nog naar prijspeil 2019</t>
  </si>
  <si>
    <t>Totale kapitaalkosten</t>
  </si>
  <si>
    <t>Totale OPEX (excl. kosten Aggreko's)</t>
  </si>
  <si>
    <t>Totale vaste kosten Aggreko's</t>
  </si>
  <si>
    <t>Gegevens gerealiseerde bedrag voor vaste kosten 2017</t>
  </si>
  <si>
    <t>Bedragen aan smeerolie en operators is opgenomen in deze Netto-OPEX</t>
  </si>
  <si>
    <t>Totaalbedrag schatting kosten 2017</t>
  </si>
  <si>
    <t>Berekening gerealiseerde kosten voor 2017</t>
  </si>
  <si>
    <t>Gerealiseerde kosten 2017</t>
  </si>
  <si>
    <t>In onderstaande berekening wordt een vergelijking gemaakt tussen de geschatte kosten en de gerealiseerde kosten. Het verschil daartussen wordt verondersteld gelijk te zijn aan de winst ('profit') die gedeeld gaat worden in de tarievn voor 2019.</t>
  </si>
  <si>
    <t>Berekening gerealiseerde bedrag voor vaste kosten 2017</t>
  </si>
  <si>
    <t>Totaalbedrag gerealiseerde kosten 2017</t>
  </si>
  <si>
    <t>Kosten afboeking CIS-2 project</t>
  </si>
  <si>
    <t>Production volume WEB</t>
  </si>
  <si>
    <t>M3</t>
  </si>
  <si>
    <t>Production volume GE</t>
  </si>
  <si>
    <t>Total volume</t>
  </si>
  <si>
    <t>Rendement (kWh benodigd voor productie van 1 M3)</t>
  </si>
  <si>
    <t>kWh / M3</t>
  </si>
  <si>
    <t>USD / M3</t>
  </si>
  <si>
    <t>Berekening volume-effect 2017 Drinkwater</t>
  </si>
  <si>
    <t>Jaarrekening 2017</t>
  </si>
  <si>
    <t>USD/M3, pl 2017</t>
  </si>
  <si>
    <t>Geschatte inkomsten voor 2017 uit productieprijs (excl brandstof)</t>
  </si>
  <si>
    <t>Gerealiseerde inkomsten voor 2017 uit productieprijs (excl brandstof)</t>
  </si>
  <si>
    <t>Effecten te verrekenen in tarieven 2019</t>
  </si>
  <si>
    <t>Productie Water</t>
  </si>
  <si>
    <t>Profit sharing 2017</t>
  </si>
  <si>
    <t>Brandstofnacalculatie productiezijde 2017</t>
  </si>
  <si>
    <t>Gegevens over totale OPEX en Overige opbrengsten t.b.v. profit sharing</t>
  </si>
  <si>
    <t>Gegevens over totale kapitaalkosten uit RAB-model (berekening voor profit sharing is gelijk aan TAR2019)</t>
  </si>
  <si>
    <t>Gegevens over gerealiseerde volumes in 2017</t>
  </si>
  <si>
    <t>Productievolumes water gerealiseerd in 2017</t>
  </si>
  <si>
    <t>Productievolumes elektriciteit in schattingen voor 2017</t>
  </si>
  <si>
    <t>Productievolumes drinkwater in schattingen voor 2017</t>
  </si>
  <si>
    <t>Gegevens over volumes in tariefmodel Productiebeschikking 2017</t>
  </si>
  <si>
    <t>Gegevens over kosten in tariefmodel Productiebeschikking 2017</t>
  </si>
  <si>
    <t>Overige gegevens uit tariefmodel Productiebeschikking 2017</t>
  </si>
  <si>
    <t>Overige gegevens drinkwater (deels ter controle)</t>
  </si>
  <si>
    <t>Gegevens over kapitaalkosten in RAB-model (met realisaties 2017)</t>
  </si>
  <si>
    <t>Totaalbedrag afboeking CIS-2 project</t>
  </si>
  <si>
    <t>Verdeelsleutel (op basis van gegevens voor TAR2019)</t>
  </si>
  <si>
    <t>Kosten afboeking CIS-2 project gealloceerd</t>
  </si>
  <si>
    <t>MVA Sheet 2017, cel F76</t>
  </si>
  <si>
    <t>Asset value (RAB) (per ultimo 2015) Productie (incl. allocatie Indirecte activa)</t>
  </si>
  <si>
    <t>Afschrijving (over 2015) Productie (incl. allocatie Indirecte activa)</t>
  </si>
  <si>
    <t>Asset value (RAB) per ultimo 2015 (incl. allocatie Indirecte activa)</t>
  </si>
  <si>
    <t>Afschrijvingen 2015 (incl. allocatie Indirecte activa)</t>
  </si>
  <si>
    <t>Additionele kosten eenmalige versnelde afschrijving CIS-2 project</t>
  </si>
  <si>
    <t>Gegevens reeds toegepaste nacalculatie op kapitaalkosten a.g.v. datafouten in eerder RAB-model</t>
  </si>
  <si>
    <t>OPEX gecorrigeerd conform opgave in OPEX-berekening</t>
  </si>
  <si>
    <t>Gecorrigeerde schatting kosten 2017</t>
  </si>
  <si>
    <t>Productieprijs WEB exclusief brandstof (o.b.v. tariefbeschikking 2017)</t>
  </si>
  <si>
    <t>Op dit blad worden alle relevante gegevens opgenomen die ACM heeft over de brandstofkosten van WEB over 2017</t>
  </si>
  <si>
    <t>Gegevens over hoeveelheid gebruikte brandstof per maand</t>
  </si>
  <si>
    <t>Januari</t>
  </si>
  <si>
    <t>Februari</t>
  </si>
  <si>
    <t>Maart</t>
  </si>
  <si>
    <t>April</t>
  </si>
  <si>
    <t>Mei</t>
  </si>
  <si>
    <t>Juni</t>
  </si>
  <si>
    <t>Juli</t>
  </si>
  <si>
    <t>Augustus</t>
  </si>
  <si>
    <t>September</t>
  </si>
  <si>
    <t>Oktober</t>
  </si>
  <si>
    <t>November</t>
  </si>
  <si>
    <t>December</t>
  </si>
  <si>
    <t>Gegevens over prijs van brandstof per maand</t>
  </si>
  <si>
    <t>Gegevens over brandstof per maand</t>
  </si>
  <si>
    <t>Gegevens over geproduceerde elektriciteit per maand met Aggreko's</t>
  </si>
  <si>
    <t>liters</t>
  </si>
  <si>
    <t>Totaal productie met Aggreko's in 2017</t>
  </si>
  <si>
    <t>In onderstaande berekening wordt een vergelijking gemaakt tussen de gerealiseerde brandstofkosten en de inkomsten die met het brandstofdeel van de productieprijs gedekt zijn.</t>
  </si>
  <si>
    <t>Berekening inkomsten uit brandstofdeel van de productieprijs</t>
  </si>
  <si>
    <t>Maandelijkse brandstofdeel van de productieprijs</t>
  </si>
  <si>
    <t>Gegevens voor berekening maandelijkse brandstofdeel van de productieprijs</t>
  </si>
  <si>
    <t>November 2016</t>
  </si>
  <si>
    <t>December 2016</t>
  </si>
  <si>
    <t>Geschatte productie d.m.v. solar</t>
  </si>
  <si>
    <t>Brandstofprijs per maand</t>
  </si>
  <si>
    <t>USD / liter</t>
  </si>
  <si>
    <t>Het brandstofdeel van de productieprijs in maand t is gebaseerd op de brandstofkosten in maand t-2</t>
  </si>
  <si>
    <t>Verwachte aandeel productie d.m.v. brandstof in totale productie</t>
  </si>
  <si>
    <t>Totale gerealiseerde productie per maand</t>
  </si>
  <si>
    <t>Gegevens over geproduceerde elektriciteit per maand met solar park</t>
  </si>
  <si>
    <t>Totaal productie met solar in 2017</t>
  </si>
  <si>
    <t>Totale productie per maand</t>
  </si>
  <si>
    <t>Totaal productie in 2017</t>
  </si>
  <si>
    <t>Maandelijkse inkomsten producent WEB vanwege verkoop elektriciteit aan distributeur WEB</t>
  </si>
  <si>
    <t>Totaal</t>
  </si>
  <si>
    <t>inkomsten alleen ter dekking van brandstof</t>
  </si>
  <si>
    <t>Berekening kosten voor brandstof voor productie elektriciteit</t>
  </si>
  <si>
    <t>Totaal gerealiseerde productie per maand met Aggreko's</t>
  </si>
  <si>
    <t>Maandelijkse kosten voor de productie van elektriciteit met Aggreko's</t>
  </si>
  <si>
    <t>berekend: efficiëntie Aggreko's * brandstofprijs * geproduceerde hoeveelheid</t>
  </si>
  <si>
    <t>Berekening verschil (effect op tarieven 2019)</t>
  </si>
  <si>
    <t>Totale inkomsten producent WEB ter dekking brandstofkosten elektriciteitsproductie</t>
  </si>
  <si>
    <t>Totale kosten producent WEB voor brandstof voor elektriciteitsproductie</t>
  </si>
  <si>
    <t>Effect voor tarieven 2019, a.g.v. brandstofverschillen (negatief bedrag = minder inkomsten in 2019)</t>
  </si>
  <si>
    <t>Verschil tussen inkomsten en kosten</t>
  </si>
  <si>
    <t>Berekening brandstofverschillen 2017 Elektriciteit</t>
  </si>
  <si>
    <t>Productiekosten per M3, exclusief brandstof</t>
  </si>
  <si>
    <t>Geschatte productie d.m.v. brandstof</t>
  </si>
  <si>
    <t>Analyse kosten Aggreko's 2017, rekening 510325</t>
  </si>
  <si>
    <t>Effect a.g.v.datafouten (reeds vergoed via nacalculatie in tarieven 2019)</t>
  </si>
  <si>
    <t>1. Volume-effect productie: we calculeren na wat het effect is van hogere of lagere gerealiseerde productie (volumes) in 2017 t.o.v. de schatting in de tarieven voor 2017</t>
  </si>
  <si>
    <t xml:space="preserve">2. Profit sharing over 2017: we berekenen wat het verschil is tussen de geschatte kosten voor 2017 en de gerealiseerde kosten over 2017. Zoals vastgelegd over profit sharing in de reguleringmethode verrekend ACM 50% van dit verschil in de tarieven van 2019. </t>
  </si>
  <si>
    <t>3. Brandstof-effect productiezijde: we calculeren na voor het verschil tussen gerealiseerde brandstofprijzen en de geschatte brandstofprijzen  (t-2) op basis van de gerealiseerde volumes, voor WEB als producent</t>
  </si>
  <si>
    <t>Alle bedragen zijn nu nog in prijspeil 2017 en worden in het tariefmodel naar prijspeil 2019 omgerekend.</t>
  </si>
  <si>
    <t>Specifieke nacalculaties over 2017 worden nog niet opgenomen in dit model, die zijn onderdeel van het tarievenmodel</t>
  </si>
  <si>
    <t>In dit model worden drie effecten berekend over de realisaties in 2017 die van belang zijn voor vaststelling van de tarieven in 2019. Dit zijn achtereenvolgens:</t>
  </si>
  <si>
    <t>Volume-effect productie: hoger verkoop-volume</t>
  </si>
  <si>
    <t>Volume-effect productie: gewijzigde inkoop-mix</t>
  </si>
  <si>
    <t>4. Brandstof-effect productiezijde: we calculeren na voor het verschil tussen gerealiseerde brandstofprijzen en de geschatte brandstofprijzen  (t-2) op basis van de gerealiseerde volumes, voor WEB als producent</t>
  </si>
  <si>
    <t>Bedrag aan verschil voor RAB 2015 reeds vergoed via nacalculatie</t>
  </si>
  <si>
    <t>Totale kapitaalkosten (incl. correctie voor nieuwe RAB-model)</t>
  </si>
  <si>
    <t>Dit bedrag is gelijk aan de geschatte inkomsten voor 2017 (dus voor volume-effect), maar bevat wel verrekening voor nieuwe RAB-model en is exclusief de variabele kosten (kWh-charge Aggreko's)</t>
  </si>
  <si>
    <t>Gegevens over inkoop bij ContourGlobal</t>
  </si>
  <si>
    <t>Geschatte inkoop bij CG</t>
  </si>
  <si>
    <t>Gerealiseerde inkoop bij CG</t>
  </si>
  <si>
    <t>Realisatie ingekocht volume bij CG</t>
  </si>
  <si>
    <t>Productieprijs beschikking CG 2017</t>
  </si>
  <si>
    <t>Berekening volume-effect en inkoopmix effect</t>
  </si>
  <si>
    <t>Gerealiseerde inkoopkosten 'WEB distributeur'</t>
  </si>
  <si>
    <t>Dit is dus inclusief het volume dat WEB distributeur koopt bij WEB Productie</t>
  </si>
  <si>
    <t>Effectief gerealiseerde inkoopprijs</t>
  </si>
  <si>
    <t>Geschatte inkoopkosten 'WEB distributeur'</t>
  </si>
  <si>
    <t>Totaal geschat volume</t>
  </si>
  <si>
    <t xml:space="preserve">Totaal gerealiseerd volume </t>
  </si>
  <si>
    <t>Hogere inkoopkosten door veranderde inkoop-mix</t>
  </si>
  <si>
    <t>Berekening volume-effect en inkoop-mix 2017 Elektriciteit</t>
  </si>
  <si>
    <t>Ook het effect van de verschuiving van de inkoop-mix voor WEB wordt hier bepaald</t>
  </si>
  <si>
    <t>Productieprijs 2017 van CG exclusief brandstof</t>
  </si>
  <si>
    <t>Effectief geschatte inkoopprijs</t>
  </si>
  <si>
    <t>Informatie door WEB aangeleverd</t>
  </si>
  <si>
    <t>Rekenmodel tarief 2017, onderliggend: WEB begroting 2017 o.b.v. PPA met Aggreko</t>
  </si>
  <si>
    <t>USD, pl 2016 / kWh</t>
  </si>
  <si>
    <t>Overige gegevens elektriciteit</t>
  </si>
  <si>
    <t xml:space="preserve">CPI &amp; WACC </t>
  </si>
  <si>
    <t xml:space="preserve">Op dit tabblad wordt de CPI en WACC weergegeven. </t>
  </si>
  <si>
    <t>De CPI ontwikkeling tussen Q3 jaar T en Q3 jaar T-1 wordt gebruikt als de geschatte inflatie voor jaar T+1. De geschatte inflatie wordt afgerond op één decimaal.</t>
  </si>
  <si>
    <t>Vanaf de ontwikkeling tussen Q3 2017 en Q3 2018 maken we gebruik van de 2017 = 100 reeks. Hiervoor werd gebruik gemaakt van de reeks 2010 = 100.</t>
  </si>
  <si>
    <t xml:space="preserve">Bonaire </t>
  </si>
  <si>
    <t>Saba</t>
  </si>
  <si>
    <t>Sint Eustatius</t>
  </si>
  <si>
    <t xml:space="preserve">CPI </t>
  </si>
  <si>
    <t>Geschatte inflatie 2016</t>
  </si>
  <si>
    <t>http://statline.cbs.nl/Statweb/publication/?DM=SLNL&amp;PA=81122NED&amp;D1=0-2&amp;D2=0&amp;D3=a&amp;D4=a&amp;VW=T</t>
  </si>
  <si>
    <t>Geschatte inflatie 2017</t>
  </si>
  <si>
    <t>Geschatte inflatie 2018</t>
  </si>
  <si>
    <t>Geschatte inflatie 2019</t>
  </si>
  <si>
    <t>https://opendata.cbs.nl/statline/#/CBS/nl/dataset/84046NED/table?ts=1541174354543</t>
  </si>
  <si>
    <t xml:space="preserve">WACC </t>
  </si>
  <si>
    <t>Electricity production &amp; distribution</t>
  </si>
  <si>
    <t>Electricity production only</t>
  </si>
  <si>
    <t>Electricity &amp; water combined</t>
  </si>
  <si>
    <t xml:space="preserve">WACC 2017 </t>
  </si>
  <si>
    <t>WACC 2018</t>
  </si>
  <si>
    <t xml:space="preserve">WACC 2019 </t>
  </si>
  <si>
    <t>In dit model worden vier effecten berekend over de realisaties in 2017 die van belang zijn voor vaststelling van de tarieven in 2019. Dit zijn achtereenvolgens:</t>
  </si>
  <si>
    <t>1. Volume-effect productie - hoger verkoop-volume: we calculeren na wat het effect is van hogere of lagere gerealiseerde productie (volumes) in 2017 t.o.v. de schatting in de tarieven voor 2017</t>
  </si>
  <si>
    <t>2. Volume-effect productie - gewijzigde inkoop-mix: Doordat de inkoopmix is veranderd, heeft WEB als Distributeur hogere inkoopkosten gehad op de verkoop van elektriciteit.</t>
  </si>
  <si>
    <t xml:space="preserve">3. Profit sharing over 2017: we berekenen wat het verschil is tussen de geschatte kosten voor 2017 en de gerealiseerde kosten over 2017. Zoals vastgelegd over profit sharing in de reguleringmethode verrekent ACM 50% van dit verschil in de tarieven van 2019. </t>
  </si>
  <si>
    <t>Rekenmodel tarief 2017, tabblad incomelevels (voor drinkwater het aangepaste rekenmodel)</t>
  </si>
  <si>
    <t>Productiekosten per kWh 2017 van CG exclusief brandstof</t>
  </si>
  <si>
    <t>USD, pl 2017 / kWh</t>
  </si>
  <si>
    <t>Totale Overige opbrengsten WEB 2017 per activiteit (opbrengst als positief bedrag)</t>
  </si>
  <si>
    <r>
      <t xml:space="preserve">Dit zijn in feite </t>
    </r>
    <r>
      <rPr>
        <i/>
        <sz val="10"/>
        <rFont val="Arial"/>
        <family val="2"/>
      </rPr>
      <t>kosten</t>
    </r>
    <r>
      <rPr>
        <sz val="10"/>
        <rFont val="Arial"/>
        <family val="2"/>
      </rPr>
      <t>, opbrengst is negatief</t>
    </r>
  </si>
  <si>
    <t>Het OPEX-model is in eerste instantie ontwikkeld ten behoeve van de schatting van de kosten voor 2019. We gebruiken het echter óók voor de bepaling van de 'werkelijk gerealiseerde' kosten over 2017 ten behoeve van de profit sharing. Deze laatste uitkomsten worden hieronder gepresenteerd.</t>
  </si>
  <si>
    <t>Voor de gegevens over de Aggreko-kosten geldt nog de volgende toelichting:</t>
  </si>
  <si>
    <t xml:space="preserve">-  Kosten uitbreiding Aggreko (ca. 112K) hangt samen met hoger geproduceerd volume, en wordt betrokken in de nacalculatie van het volume-effect. Deze kosten worden daarom buiten de profit-sharing gelaten. </t>
  </si>
  <si>
    <t>-  Kosten voor smeerolie zijn opgenomen in de OPEX-berekening, onder '510406 Verbruik Brandstof Prod E.' en gaan al mee in de berekening van de kosten van productie elektriciteit. Kosten van operators gaan mee in de OPEX via de post 'uitzendkrachten'.</t>
  </si>
  <si>
    <t>Bijzondere post Aggreko t.b.v. uitbreiding in 2017 (blijft buiten profit sharing)</t>
  </si>
  <si>
    <t>Zie ook toelichting bovenaan dit blad</t>
  </si>
  <si>
    <t>Kosten van afboeking project CIS-2 uit Work-in-progress</t>
  </si>
  <si>
    <t>Deze additionele kosten vallen buiten reguliere maandelijkse OPEX, maar worden wel betrokken in profit sharing</t>
  </si>
  <si>
    <t>USD/liter</t>
  </si>
  <si>
    <t>Effect voor gewogen gemiddelde productieprijs die WEB distributie betaald heeft, exclusief effecten van netverlies, en excl. brandstof</t>
  </si>
  <si>
    <t>Productievolumes 2017</t>
  </si>
  <si>
    <t>Berekening effect van veranderde inkoop-mix (100% verrekenen, valt buiten profit sharing)</t>
  </si>
  <si>
    <t>Deze correctie wordt meegeteld in de kapitaalkosten omdat deze wordt nagecalculeerd (moet dus niet mee gaan in profit sharing)</t>
  </si>
  <si>
    <t>Hier wordt nog de CPI toegepast, omdat dat in 2017 en 2018 nog de standaard was in het tarievenmodel.</t>
  </si>
  <si>
    <t>Gegevens over kosten in OPEX-model voor profit sharing over 2017 (o.b.v. Verlies&amp;Winst-gegevens 2017)</t>
  </si>
  <si>
    <t>Data met betrekking tot schatting van de kosten voor 2017 (in besluit dec. 2016)</t>
  </si>
  <si>
    <t>Data met betrekking tot de realisatie van de kosten over 2017</t>
  </si>
  <si>
    <t>Data met betrekking tot de brandstofkosten voor de productie van elektriciteit in 2017</t>
  </si>
  <si>
    <t xml:space="preserve">Tarievenmodel WEB </t>
  </si>
  <si>
    <t>RAB-model WEB</t>
  </si>
  <si>
    <t>OPEX-model WEB</t>
  </si>
  <si>
    <t>Analyse kosten Aggreko's 2017</t>
  </si>
  <si>
    <t xml:space="preserve">OPEX-model WEB </t>
  </si>
  <si>
    <t>RAB-model WEB, tabblad Data Investeringen 2017, regel 11</t>
  </si>
  <si>
    <t>Tarievenmodel WEB, tabblad input correcties, bedragen zijn gebaseerd op verschillenanalyse RAB, toegestuurd aan WEB op 18 oktober 2018</t>
  </si>
  <si>
    <t xml:space="preserve"> Calculating the WACC for energy and water companies in the Caribbean Netherlands</t>
  </si>
  <si>
    <t>wordt gebruikt voor bedragen correctie RAB-verschil</t>
  </si>
  <si>
    <t>Analyse kosten Aggreko's 2017 (rekening 510325) en OPEX-model WEB</t>
  </si>
  <si>
    <t>Web Bonaire -2180249 jaarrekening met getekende controleverklaring</t>
  </si>
  <si>
    <t>MVA Sheet 2017</t>
  </si>
  <si>
    <t>MVA sheet 2017</t>
  </si>
  <si>
    <t>Rekenmodel Productieprijs Elektriciteit ContourGlobal 2017</t>
  </si>
  <si>
    <t>3. WEB - Informatieverzoek tarievenronde 2019 (benodigde brandstof elektriciteitsproductie) 180803</t>
  </si>
  <si>
    <t>CPI gegevens CBS (2010=100)</t>
  </si>
  <si>
    <t>CPI gegevens CBS (2017=100)</t>
  </si>
  <si>
    <t>WACC-besluit Caribisch Nederland</t>
  </si>
  <si>
    <t xml:space="preserve">https://www.acm.nl/sites/default/files/old_publication/publicaties/16601_wacc-determination-caribbean-netherlands.pdf
</t>
  </si>
  <si>
    <t>Rekenmodel CG 2019</t>
  </si>
  <si>
    <t>Betreft model zoals in december 2018 gepubliceerd op acm.nl</t>
  </si>
  <si>
    <t>Laatste update cijfers CBS: November 29, 2018</t>
  </si>
  <si>
    <t>RAV-model WEB</t>
  </si>
  <si>
    <t xml:space="preserve">OPEX-model WEB t.b.v. tarieven 2019 (definitief) </t>
  </si>
  <si>
    <t xml:space="preserve">RAV-model WEB t.b.v. tarieven 2019 (definitief) </t>
  </si>
  <si>
    <t>Rekenmodel WEB 2019</t>
  </si>
  <si>
    <t>ACM/18/033330</t>
  </si>
  <si>
    <t>Besluiten productieprijs en vaste en variabele distributietarieven WEB 2019 voor elektriciteit en drinkwater</t>
  </si>
  <si>
    <t>Ja</t>
  </si>
  <si>
    <t>Nee</t>
  </si>
  <si>
    <t>Resultaten van deze profit sharing-berekening worden gebruikt in de tariefberekening voor 2019.</t>
  </si>
  <si>
    <t>Rekenmodel ContourGlobal 2019</t>
  </si>
  <si>
    <t xml:space="preserve">16.1264.52 </t>
  </si>
  <si>
    <t>ACM/18/033335</t>
  </si>
  <si>
    <t>Profit sharing model WEB 2019</t>
  </si>
  <si>
    <t>Een versie van dit bestand zal gepubliceerd worden op de website van ACM.</t>
  </si>
  <si>
    <t>Mogelijkheden van bezwaar en beroep staan open tegen het besluit waarbij dit bestand hoort (zie kenmerken hierboven)</t>
  </si>
  <si>
    <t>ACM/UIT/503799
ACM/UIT/503789
ACM/UIT/503803
ACM/UIT/503798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</si>
</sst>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_-;_-* #,##0.00\-;_-* &quot;-&quot;??_-;_-@_-"/>
    <numFmt numFmtId="165" formatCode="_ * #,##0_ ;_ * \-#,##0_ ;_ * &quot;-&quot;??_ ;_ @_ "/>
    <numFmt numFmtId="166" formatCode="_ * #,##0.0000_ ;_ * \-#,##0.0000_ ;_ * &quot;-&quot;??_ ;_ @_ "/>
    <numFmt numFmtId="167" formatCode="_(* #,##0_);_(* \(#,##0\);_(* &quot;-&quot;??_);_(@_)"/>
    <numFmt numFmtId="168" formatCode="#,##0.000"/>
    <numFmt numFmtId="169" formatCode="_ * #,##0.000_ ;_ * \-#,##0.000_ ;_ * &quot;-&quot;??_ ;_ @_ "/>
    <numFmt numFmtId="170" formatCode="0.0000"/>
    <numFmt numFmtId="171" formatCode="0.0%"/>
    <numFmt numFmtId="172" formatCode="_(* #,##0.00_);_(* \(#,##0.00\);_(* &quot;-&quot;??_);_(@_)"/>
    <numFmt numFmtId="173" formatCode="_([$€]* #,##0.00_);_([$€]* \(#,##0.00\);_([$€]* &quot;-&quot;??_);_(@_)"/>
  </numFmts>
  <fonts count="74">
    <font>
      <sz val="10"/>
      <color theme="1"/>
      <name val="Arial"/>
      <family val="2"/>
    </font>
    <font>
      <sz val="11"/>
      <color theme="1"/>
      <name val="Calibri"/>
      <family val="2"/>
      <scheme val="minor"/>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i/>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12"/>
      <name val="Times New Roman"/>
      <family val="1"/>
    </font>
    <font>
      <sz val="10"/>
      <color rgb="FF000000"/>
      <name val="Arial"/>
      <family val="2"/>
    </font>
    <font>
      <sz val="10"/>
      <color indexed="8"/>
      <name val="MS Sans Serif"/>
      <family val="2"/>
    </font>
    <font>
      <sz val="10"/>
      <color indexed="8"/>
      <name val="EYInterstate Light"/>
      <family val="2"/>
    </font>
    <font>
      <sz val="11"/>
      <color indexed="8"/>
      <name val="Calibri"/>
      <family val="2"/>
    </font>
    <font>
      <sz val="10"/>
      <color indexed="9"/>
      <name val="EYInterstate Light"/>
      <family val="2"/>
    </font>
    <font>
      <sz val="11"/>
      <color indexed="9"/>
      <name val="Calibri"/>
      <family val="2"/>
    </font>
    <font>
      <sz val="11"/>
      <color indexed="20"/>
      <name val="Calibri"/>
      <family val="2"/>
    </font>
    <font>
      <sz val="10"/>
      <color indexed="20"/>
      <name val="EYInterstate Light"/>
      <family val="2"/>
    </font>
    <font>
      <b/>
      <sz val="11"/>
      <color indexed="52"/>
      <name val="Calibri"/>
      <family val="2"/>
    </font>
    <font>
      <b/>
      <sz val="10"/>
      <color indexed="52"/>
      <name val="EYInterstate Light"/>
      <family val="2"/>
    </font>
    <font>
      <b/>
      <sz val="11"/>
      <color indexed="9"/>
      <name val="Calibri"/>
      <family val="2"/>
    </font>
    <font>
      <b/>
      <sz val="10"/>
      <color indexed="9"/>
      <name val="EYInterstate Light"/>
      <family val="2"/>
    </font>
    <font>
      <sz val="10"/>
      <name val="Times New Roman"/>
      <family val="1"/>
    </font>
    <font>
      <i/>
      <sz val="11"/>
      <color indexed="23"/>
      <name val="Calibri"/>
      <family val="2"/>
    </font>
    <font>
      <i/>
      <sz val="10"/>
      <color indexed="23"/>
      <name val="EYInterstate Light"/>
      <family val="2"/>
    </font>
    <font>
      <sz val="11"/>
      <color indexed="52"/>
      <name val="Calibri"/>
      <family val="2"/>
    </font>
    <font>
      <sz val="11"/>
      <color indexed="17"/>
      <name val="Calibri"/>
      <family val="2"/>
    </font>
    <font>
      <sz val="10"/>
      <color indexed="17"/>
      <name val="EYInterstate Light"/>
      <family val="2"/>
    </font>
    <font>
      <b/>
      <sz val="8"/>
      <name val="Arial"/>
      <family val="2"/>
    </font>
    <font>
      <b/>
      <sz val="15"/>
      <color indexed="56"/>
      <name val="Calibri"/>
      <family val="2"/>
    </font>
    <font>
      <b/>
      <sz val="15"/>
      <color indexed="56"/>
      <name val="EYInterstate Light"/>
      <family val="2"/>
    </font>
    <font>
      <b/>
      <sz val="13"/>
      <color indexed="56"/>
      <name val="Calibri"/>
      <family val="2"/>
    </font>
    <font>
      <b/>
      <sz val="13"/>
      <color indexed="56"/>
      <name val="EYInterstate Light"/>
      <family val="2"/>
    </font>
    <font>
      <b/>
      <sz val="11"/>
      <color indexed="56"/>
      <name val="Calibri"/>
      <family val="2"/>
    </font>
    <font>
      <b/>
      <sz val="11"/>
      <color indexed="56"/>
      <name val="EYInterstate Light"/>
      <family val="2"/>
    </font>
    <font>
      <sz val="11"/>
      <color indexed="62"/>
      <name val="Calibri"/>
      <family val="2"/>
    </font>
    <font>
      <sz val="10"/>
      <color indexed="62"/>
      <name val="EYInterstate Light"/>
      <family val="2"/>
    </font>
    <font>
      <sz val="10"/>
      <color indexed="52"/>
      <name val="EYInterstate Light"/>
      <family val="2"/>
    </font>
    <font>
      <sz val="11"/>
      <color indexed="60"/>
      <name val="Calibri"/>
      <family val="2"/>
    </font>
    <font>
      <sz val="10"/>
      <color indexed="60"/>
      <name val="EYInterstate Light"/>
      <family val="2"/>
    </font>
    <font>
      <sz val="9"/>
      <name val="Verdana"/>
      <family val="2"/>
    </font>
    <font>
      <sz val="10"/>
      <name val="Comic Sans MS"/>
      <family val="4"/>
    </font>
    <font>
      <b/>
      <sz val="11"/>
      <color indexed="63"/>
      <name val="Calibri"/>
      <family val="2"/>
    </font>
    <font>
      <b/>
      <sz val="10"/>
      <color indexed="63"/>
      <name val="EYInterstate Light"/>
      <family val="2"/>
    </font>
    <font>
      <b/>
      <sz val="18"/>
      <color indexed="56"/>
      <name val="Cambria"/>
      <family val="2"/>
    </font>
    <font>
      <b/>
      <sz val="11"/>
      <color indexed="8"/>
      <name val="Calibri"/>
      <family val="2"/>
    </font>
    <font>
      <b/>
      <sz val="10"/>
      <color indexed="8"/>
      <name val="EYInterstate Light"/>
      <family val="2"/>
    </font>
    <font>
      <sz val="11"/>
      <color indexed="10"/>
      <name val="Calibri"/>
      <family val="2"/>
    </font>
    <font>
      <sz val="10"/>
      <color indexed="10"/>
      <name val="EYInterstate Light"/>
      <family val="2"/>
    </font>
    <font>
      <sz val="8"/>
      <name val="Arial"/>
      <family val="2"/>
    </font>
    <font>
      <sz val="12"/>
      <color theme="1"/>
      <name val="Calibri"/>
      <family val="2"/>
      <scheme val="minor"/>
    </font>
  </fonts>
  <fills count="7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2"/>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14">
    <xf numFmtId="0" fontId="0" fillId="0" borderId="0">
      <alignment vertical="top"/>
    </xf>
    <xf numFmtId="0" fontId="3" fillId="2" borderId="0" applyNumberFormat="0" applyBorder="0" applyAlignment="0" applyProtection="0"/>
    <xf numFmtId="0" fontId="4" fillId="3" borderId="0" applyNumberFormat="0" applyBorder="0" applyAlignment="0" applyProtection="0"/>
    <xf numFmtId="0" fontId="5" fillId="4" borderId="0" applyNumberFormat="0" applyBorder="0" applyAlignment="0" applyProtection="0"/>
    <xf numFmtId="0" fontId="6" fillId="0" borderId="0">
      <alignment vertical="top"/>
    </xf>
    <xf numFmtId="49" fontId="10" fillId="5" borderId="1">
      <alignment vertical="top"/>
    </xf>
    <xf numFmtId="49" fontId="7" fillId="22" borderId="1">
      <alignment vertical="top"/>
    </xf>
    <xf numFmtId="49" fontId="7" fillId="0" borderId="0">
      <alignment vertical="top"/>
    </xf>
    <xf numFmtId="43" fontId="6" fillId="15" borderId="0">
      <alignment vertical="top"/>
    </xf>
    <xf numFmtId="43" fontId="6" fillId="14" borderId="0">
      <alignment vertical="top"/>
    </xf>
    <xf numFmtId="43" fontId="6" fillId="12" borderId="0">
      <alignment vertical="top"/>
    </xf>
    <xf numFmtId="43" fontId="6" fillId="7" borderId="0">
      <alignment vertical="top"/>
    </xf>
    <xf numFmtId="43" fontId="6" fillId="9" borderId="0">
      <alignment vertical="top"/>
    </xf>
    <xf numFmtId="43" fontId="6" fillId="16" borderId="0">
      <alignment vertical="top"/>
    </xf>
    <xf numFmtId="49" fontId="12" fillId="0" borderId="0">
      <alignment vertical="top"/>
    </xf>
    <xf numFmtId="49" fontId="11" fillId="0" borderId="0">
      <alignment vertical="top"/>
    </xf>
    <xf numFmtId="0" fontId="17" fillId="18" borderId="3" applyNumberFormat="0" applyAlignment="0" applyProtection="0"/>
    <xf numFmtId="0" fontId="18" fillId="19" borderId="4" applyNumberFormat="0" applyAlignment="0" applyProtection="0"/>
    <xf numFmtId="0" fontId="19" fillId="19" borderId="3" applyNumberFormat="0" applyAlignment="0" applyProtection="0"/>
    <xf numFmtId="0" fontId="20" fillId="0" borderId="5" applyNumberFormat="0" applyFill="0" applyAlignment="0" applyProtection="0"/>
    <xf numFmtId="0" fontId="14" fillId="20" borderId="6" applyNumberFormat="0" applyAlignment="0" applyProtection="0"/>
    <xf numFmtId="0" fontId="16" fillId="21" borderId="7"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30" fillId="34" borderId="0" applyNumberFormat="0" applyBorder="0" applyAlignment="0" applyProtection="0"/>
    <xf numFmtId="0" fontId="30"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30" fillId="38" borderId="0" applyNumberFormat="0" applyBorder="0" applyAlignment="0" applyProtection="0"/>
    <xf numFmtId="0" fontId="30"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30" fillId="42" borderId="0" applyNumberFormat="0" applyBorder="0" applyAlignment="0" applyProtection="0"/>
    <xf numFmtId="0" fontId="30"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30" fillId="46" borderId="0" applyNumberFormat="0" applyBorder="0" applyAlignment="0" applyProtection="0"/>
    <xf numFmtId="0" fontId="31" fillId="0" borderId="0" applyNumberFormat="0" applyFill="0" applyBorder="0" applyAlignment="0" applyProtection="0"/>
    <xf numFmtId="49" fontId="22" fillId="0" borderId="0" applyFill="0" applyBorder="0" applyAlignment="0" applyProtection="0"/>
    <xf numFmtId="43" fontId="6" fillId="47" borderId="0" applyNumberFormat="0">
      <alignment vertical="top"/>
    </xf>
    <xf numFmtId="43" fontId="6" fillId="14" borderId="0" applyFont="0" applyFill="0" applyBorder="0" applyAlignment="0" applyProtection="0">
      <alignment vertical="top"/>
    </xf>
    <xf numFmtId="10" fontId="6" fillId="0" borderId="0" applyFont="0" applyFill="0" applyBorder="0" applyAlignment="0" applyProtection="0">
      <alignment vertical="top"/>
    </xf>
    <xf numFmtId="164" fontId="6" fillId="0" borderId="0" applyFont="0" applyFill="0" applyBorder="0" applyAlignment="0" applyProtection="0"/>
    <xf numFmtId="0" fontId="32" fillId="0" borderId="0"/>
    <xf numFmtId="49" fontId="7" fillId="22" borderId="1">
      <alignment vertical="top"/>
    </xf>
    <xf numFmtId="0" fontId="1"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34" fillId="0" borderId="0"/>
    <xf numFmtId="0" fontId="6" fillId="0" borderId="0"/>
    <xf numFmtId="0" fontId="35" fillId="48" borderId="0" applyNumberFormat="0" applyBorder="0" applyAlignment="0" applyProtection="0"/>
    <xf numFmtId="0" fontId="36" fillId="48" borderId="0" applyNumberFormat="0" applyBorder="0" applyAlignment="0" applyProtection="0"/>
    <xf numFmtId="0" fontId="35" fillId="49" borderId="0" applyNumberFormat="0" applyBorder="0" applyAlignment="0" applyProtection="0"/>
    <xf numFmtId="0" fontId="36" fillId="49" borderId="0" applyNumberFormat="0" applyBorder="0" applyAlignment="0" applyProtection="0"/>
    <xf numFmtId="0" fontId="35" fillId="50" borderId="0" applyNumberFormat="0" applyBorder="0" applyAlignment="0" applyProtection="0"/>
    <xf numFmtId="0" fontId="36" fillId="50" borderId="0" applyNumberFormat="0" applyBorder="0" applyAlignment="0" applyProtection="0"/>
    <xf numFmtId="0" fontId="35" fillId="51" borderId="0" applyNumberFormat="0" applyBorder="0" applyAlignment="0" applyProtection="0"/>
    <xf numFmtId="0" fontId="36" fillId="51" borderId="0" applyNumberFormat="0" applyBorder="0" applyAlignment="0" applyProtection="0"/>
    <xf numFmtId="0" fontId="35" fillId="52" borderId="0" applyNumberFormat="0" applyBorder="0" applyAlignment="0" applyProtection="0"/>
    <xf numFmtId="0" fontId="36" fillId="52" borderId="0" applyNumberFormat="0" applyBorder="0" applyAlignment="0" applyProtection="0"/>
    <xf numFmtId="0" fontId="35" fillId="53" borderId="0" applyNumberFormat="0" applyBorder="0" applyAlignment="0" applyProtection="0"/>
    <xf numFmtId="0" fontId="36" fillId="53" borderId="0" applyNumberFormat="0" applyBorder="0" applyAlignment="0" applyProtection="0"/>
    <xf numFmtId="0" fontId="35" fillId="54" borderId="0" applyNumberFormat="0" applyBorder="0" applyAlignment="0" applyProtection="0"/>
    <xf numFmtId="0" fontId="36" fillId="54" borderId="0" applyNumberFormat="0" applyBorder="0" applyAlignment="0" applyProtection="0"/>
    <xf numFmtId="0" fontId="35" fillId="55" borderId="0" applyNumberFormat="0" applyBorder="0" applyAlignment="0" applyProtection="0"/>
    <xf numFmtId="0" fontId="36" fillId="55" borderId="0" applyNumberFormat="0" applyBorder="0" applyAlignment="0" applyProtection="0"/>
    <xf numFmtId="0" fontId="35" fillId="56" borderId="0" applyNumberFormat="0" applyBorder="0" applyAlignment="0" applyProtection="0"/>
    <xf numFmtId="0" fontId="36" fillId="56" borderId="0" applyNumberFormat="0" applyBorder="0" applyAlignment="0" applyProtection="0"/>
    <xf numFmtId="0" fontId="35" fillId="51" borderId="0" applyNumberFormat="0" applyBorder="0" applyAlignment="0" applyProtection="0"/>
    <xf numFmtId="0" fontId="36" fillId="51" borderId="0" applyNumberFormat="0" applyBorder="0" applyAlignment="0" applyProtection="0"/>
    <xf numFmtId="0" fontId="35" fillId="54" borderId="0" applyNumberFormat="0" applyBorder="0" applyAlignment="0" applyProtection="0"/>
    <xf numFmtId="0" fontId="36" fillId="54" borderId="0" applyNumberFormat="0" applyBorder="0" applyAlignment="0" applyProtection="0"/>
    <xf numFmtId="0" fontId="35" fillId="57" borderId="0" applyNumberFormat="0" applyBorder="0" applyAlignment="0" applyProtection="0"/>
    <xf numFmtId="0" fontId="36" fillId="57" borderId="0" applyNumberFormat="0" applyBorder="0" applyAlignment="0" applyProtection="0"/>
    <xf numFmtId="0" fontId="37" fillId="58" borderId="0" applyNumberFormat="0" applyBorder="0" applyAlignment="0" applyProtection="0"/>
    <xf numFmtId="0" fontId="38" fillId="58" borderId="0" applyNumberFormat="0" applyBorder="0" applyAlignment="0" applyProtection="0"/>
    <xf numFmtId="0" fontId="37" fillId="55" borderId="0" applyNumberFormat="0" applyBorder="0" applyAlignment="0" applyProtection="0"/>
    <xf numFmtId="0" fontId="38" fillId="55" borderId="0" applyNumberFormat="0" applyBorder="0" applyAlignment="0" applyProtection="0"/>
    <xf numFmtId="0" fontId="37" fillId="56" borderId="0" applyNumberFormat="0" applyBorder="0" applyAlignment="0" applyProtection="0"/>
    <xf numFmtId="0" fontId="38" fillId="56" borderId="0" applyNumberFormat="0" applyBorder="0" applyAlignment="0" applyProtection="0"/>
    <xf numFmtId="0" fontId="37" fillId="59" borderId="0" applyNumberFormat="0" applyBorder="0" applyAlignment="0" applyProtection="0"/>
    <xf numFmtId="0" fontId="38" fillId="59" borderId="0" applyNumberFormat="0" applyBorder="0" applyAlignment="0" applyProtection="0"/>
    <xf numFmtId="0" fontId="37" fillId="60" borderId="0" applyNumberFormat="0" applyBorder="0" applyAlignment="0" applyProtection="0"/>
    <xf numFmtId="0" fontId="38" fillId="60" borderId="0" applyNumberFormat="0" applyBorder="0" applyAlignment="0" applyProtection="0"/>
    <xf numFmtId="0" fontId="37" fillId="61" borderId="0" applyNumberFormat="0" applyBorder="0" applyAlignment="0" applyProtection="0"/>
    <xf numFmtId="0" fontId="38" fillId="61" borderId="0" applyNumberFormat="0" applyBorder="0" applyAlignment="0" applyProtection="0"/>
    <xf numFmtId="0" fontId="37" fillId="62" borderId="0" applyNumberFormat="0" applyBorder="0" applyAlignment="0" applyProtection="0"/>
    <xf numFmtId="0" fontId="38" fillId="62" borderId="0" applyNumberFormat="0" applyBorder="0" applyAlignment="0" applyProtection="0"/>
    <xf numFmtId="0" fontId="37" fillId="63" borderId="0" applyNumberFormat="0" applyBorder="0" applyAlignment="0" applyProtection="0"/>
    <xf numFmtId="0" fontId="38" fillId="63" borderId="0" applyNumberFormat="0" applyBorder="0" applyAlignment="0" applyProtection="0"/>
    <xf numFmtId="0" fontId="37" fillId="64" borderId="0" applyNumberFormat="0" applyBorder="0" applyAlignment="0" applyProtection="0"/>
    <xf numFmtId="0" fontId="38" fillId="64" borderId="0" applyNumberFormat="0" applyBorder="0" applyAlignment="0" applyProtection="0"/>
    <xf numFmtId="0" fontId="37" fillId="59" borderId="0" applyNumberFormat="0" applyBorder="0" applyAlignment="0" applyProtection="0"/>
    <xf numFmtId="0" fontId="38" fillId="59" borderId="0" applyNumberFormat="0" applyBorder="0" applyAlignment="0" applyProtection="0"/>
    <xf numFmtId="0" fontId="37" fillId="60" borderId="0" applyNumberFormat="0" applyBorder="0" applyAlignment="0" applyProtection="0"/>
    <xf numFmtId="0" fontId="38" fillId="60" borderId="0" applyNumberFormat="0" applyBorder="0" applyAlignment="0" applyProtection="0"/>
    <xf numFmtId="0" fontId="37" fillId="65" borderId="0" applyNumberFormat="0" applyBorder="0" applyAlignment="0" applyProtection="0"/>
    <xf numFmtId="0" fontId="38" fillId="65" borderId="0" applyNumberFormat="0" applyBorder="0" applyAlignment="0" applyProtection="0"/>
    <xf numFmtId="0" fontId="39" fillId="49" borderId="0" applyNumberFormat="0" applyBorder="0" applyAlignment="0" applyProtection="0"/>
    <xf numFmtId="0" fontId="40" fillId="49" borderId="0" applyNumberFormat="0" applyBorder="0" applyAlignment="0" applyProtection="0"/>
    <xf numFmtId="0" fontId="41" fillId="66" borderId="12" applyNumberFormat="0" applyAlignment="0" applyProtection="0"/>
    <xf numFmtId="0" fontId="41" fillId="66" borderId="12" applyNumberFormat="0" applyAlignment="0" applyProtection="0"/>
    <xf numFmtId="0" fontId="42" fillId="66" borderId="12" applyNumberFormat="0" applyAlignment="0" applyProtection="0"/>
    <xf numFmtId="0" fontId="43" fillId="67" borderId="13" applyNumberFormat="0" applyAlignment="0" applyProtection="0"/>
    <xf numFmtId="0" fontId="44" fillId="67" borderId="13" applyNumberFormat="0" applyAlignment="0" applyProtection="0"/>
    <xf numFmtId="172" fontId="32" fillId="0" borderId="0" applyFont="0" applyFill="0" applyBorder="0" applyAlignment="0" applyProtection="0"/>
    <xf numFmtId="164" fontId="45" fillId="0" borderId="0" applyFont="0" applyFill="0" applyBorder="0" applyAlignment="0" applyProtection="0"/>
    <xf numFmtId="0" fontId="43" fillId="67" borderId="13" applyNumberFormat="0" applyAlignment="0" applyProtection="0"/>
    <xf numFmtId="173" fontId="6" fillId="0" borderId="0" applyFont="0" applyFill="0" applyBorder="0" applyAlignment="0" applyProtection="0"/>
    <xf numFmtId="173" fontId="6"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14" applyNumberFormat="0" applyFill="0" applyAlignment="0" applyProtection="0"/>
    <xf numFmtId="0" fontId="49" fillId="50" borderId="0" applyNumberFormat="0" applyBorder="0" applyAlignment="0" applyProtection="0"/>
    <xf numFmtId="0" fontId="49" fillId="50" borderId="0" applyNumberFormat="0" applyBorder="0" applyAlignment="0" applyProtection="0"/>
    <xf numFmtId="0" fontId="50" fillId="50" borderId="0" applyNumberFormat="0" applyBorder="0" applyAlignment="0" applyProtection="0"/>
    <xf numFmtId="0" fontId="51" fillId="0" borderId="0"/>
    <xf numFmtId="0" fontId="52" fillId="0" borderId="15" applyNumberFormat="0" applyFill="0" applyAlignment="0" applyProtection="0"/>
    <xf numFmtId="0" fontId="53" fillId="0" borderId="15" applyNumberFormat="0" applyFill="0" applyAlignment="0" applyProtection="0"/>
    <xf numFmtId="0" fontId="54" fillId="0" borderId="16" applyNumberFormat="0" applyFill="0" applyAlignment="0" applyProtection="0"/>
    <xf numFmtId="0" fontId="55" fillId="0" borderId="16" applyNumberFormat="0" applyFill="0" applyAlignment="0" applyProtection="0"/>
    <xf numFmtId="0" fontId="56" fillId="0" borderId="17" applyNumberFormat="0" applyFill="0" applyAlignment="0" applyProtection="0"/>
    <xf numFmtId="0" fontId="57" fillId="0" borderId="17"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3" borderId="12" applyNumberFormat="0" applyAlignment="0" applyProtection="0"/>
    <xf numFmtId="0" fontId="59" fillId="53" borderId="12" applyNumberFormat="0" applyAlignment="0" applyProtection="0"/>
    <xf numFmtId="0" fontId="58" fillId="53" borderId="12" applyNumberFormat="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72" fontId="6" fillId="0" borderId="0" applyFont="0" applyFill="0" applyBorder="0" applyAlignment="0" applyProtection="0"/>
    <xf numFmtId="0" fontId="52" fillId="0" borderId="15" applyNumberFormat="0" applyFill="0" applyAlignment="0" applyProtection="0"/>
    <xf numFmtId="0" fontId="54" fillId="0" borderId="16" applyNumberFormat="0" applyFill="0" applyAlignment="0" applyProtection="0"/>
    <xf numFmtId="0" fontId="56" fillId="0" borderId="17" applyNumberFormat="0" applyFill="0" applyAlignment="0" applyProtection="0"/>
    <xf numFmtId="0" fontId="56" fillId="0" borderId="0" applyNumberFormat="0" applyFill="0" applyBorder="0" applyAlignment="0" applyProtection="0"/>
    <xf numFmtId="0" fontId="48" fillId="0" borderId="14" applyNumberFormat="0" applyFill="0" applyAlignment="0" applyProtection="0"/>
    <xf numFmtId="0" fontId="60" fillId="0" borderId="14" applyNumberFormat="0" applyFill="0" applyAlignment="0" applyProtection="0"/>
    <xf numFmtId="0" fontId="61" fillId="68" borderId="0" applyNumberFormat="0" applyBorder="0" applyAlignment="0" applyProtection="0"/>
    <xf numFmtId="0" fontId="61" fillId="68" borderId="0" applyNumberFormat="0" applyBorder="0" applyAlignment="0" applyProtection="0"/>
    <xf numFmtId="0" fontId="62" fillId="68" borderId="0" applyNumberFormat="0" applyBorder="0" applyAlignment="0" applyProtection="0"/>
    <xf numFmtId="0" fontId="6" fillId="0" borderId="0"/>
    <xf numFmtId="0" fontId="63" fillId="0" borderId="0"/>
    <xf numFmtId="0" fontId="45" fillId="0" borderId="0"/>
    <xf numFmtId="0" fontId="64" fillId="0" borderId="0"/>
    <xf numFmtId="0" fontId="6" fillId="69" borderId="18" applyNumberFormat="0" applyFont="0" applyAlignment="0" applyProtection="0"/>
    <xf numFmtId="0" fontId="32" fillId="69" borderId="18" applyNumberFormat="0" applyFont="0" applyAlignment="0" applyProtection="0"/>
    <xf numFmtId="0" fontId="6" fillId="69" borderId="18" applyNumberFormat="0" applyFont="0" applyAlignment="0" applyProtection="0"/>
    <xf numFmtId="0" fontId="39" fillId="49" borderId="0" applyNumberFormat="0" applyBorder="0" applyAlignment="0" applyProtection="0"/>
    <xf numFmtId="0" fontId="65" fillId="66" borderId="19" applyNumberFormat="0" applyAlignment="0" applyProtection="0"/>
    <xf numFmtId="0" fontId="66" fillId="66" borderId="19" applyNumberFormat="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33" fillId="0" borderId="0"/>
    <xf numFmtId="0" fontId="6" fillId="0" borderId="0"/>
    <xf numFmtId="0" fontId="6" fillId="0" borderId="0"/>
    <xf numFmtId="0" fontId="6" fillId="0" borderId="0"/>
    <xf numFmtId="0" fontId="6" fillId="0" borderId="0"/>
    <xf numFmtId="0" fontId="6" fillId="0" borderId="0" applyFill="0"/>
    <xf numFmtId="0" fontId="1" fillId="0" borderId="0"/>
    <xf numFmtId="0" fontId="6" fillId="0" borderId="0"/>
    <xf numFmtId="0" fontId="6" fillId="0" borderId="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20" applyNumberFormat="0" applyFill="0" applyAlignment="0" applyProtection="0"/>
    <xf numFmtId="0" fontId="68" fillId="0" borderId="20" applyNumberFormat="0" applyFill="0" applyAlignment="0" applyProtection="0"/>
    <xf numFmtId="0" fontId="69" fillId="0" borderId="20" applyNumberFormat="0" applyFill="0" applyAlignment="0" applyProtection="0"/>
    <xf numFmtId="0" fontId="65" fillId="66" borderId="19" applyNumberFormat="0" applyAlignment="0" applyProtection="0"/>
    <xf numFmtId="44" fontId="6" fillId="0" borderId="0" applyFont="0" applyFill="0" applyBorder="0" applyAlignment="0" applyProtection="0"/>
    <xf numFmtId="0" fontId="46"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on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1" fillId="0" borderId="0"/>
    <xf numFmtId="0" fontId="73" fillId="0" borderId="0"/>
    <xf numFmtId="10" fontId="6" fillId="0" borderId="0" applyFont="0" applyFill="0" applyBorder="0" applyAlignment="0" applyProtection="0">
      <alignment vertical="top"/>
    </xf>
  </cellStyleXfs>
  <cellXfs count="103">
    <xf numFmtId="0" fontId="0" fillId="0" borderId="0" xfId="0">
      <alignment vertical="top"/>
    </xf>
    <xf numFmtId="0" fontId="7" fillId="0" borderId="0" xfId="4" applyFont="1">
      <alignment vertical="top"/>
    </xf>
    <xf numFmtId="0" fontId="6" fillId="0" borderId="0" xfId="4">
      <alignment vertical="top"/>
    </xf>
    <xf numFmtId="0" fontId="8" fillId="0" borderId="0" xfId="4" applyFont="1">
      <alignment vertical="top"/>
    </xf>
    <xf numFmtId="0" fontId="10" fillId="6" borderId="1" xfId="4" applyFont="1" applyFill="1" applyBorder="1">
      <alignment vertical="top"/>
    </xf>
    <xf numFmtId="0" fontId="11" fillId="0" borderId="0" xfId="4" applyFont="1">
      <alignment vertical="top"/>
    </xf>
    <xf numFmtId="0" fontId="12" fillId="0" borderId="0" xfId="4" applyFont="1">
      <alignment vertical="top"/>
    </xf>
    <xf numFmtId="0" fontId="6" fillId="0" borderId="2" xfId="4" applyBorder="1">
      <alignment vertical="top"/>
    </xf>
    <xf numFmtId="49" fontId="10" fillId="5" borderId="1" xfId="5">
      <alignment vertical="top"/>
    </xf>
    <xf numFmtId="49" fontId="7" fillId="22" borderId="1" xfId="6">
      <alignment vertical="top"/>
    </xf>
    <xf numFmtId="0" fontId="6" fillId="0" borderId="0" xfId="4" applyFill="1">
      <alignment vertical="top"/>
    </xf>
    <xf numFmtId="0" fontId="8" fillId="0" borderId="2" xfId="4" applyFont="1" applyBorder="1" applyAlignment="1">
      <alignment horizontal="left" vertical="top" wrapText="1"/>
    </xf>
    <xf numFmtId="0" fontId="6" fillId="0" borderId="2" xfId="4" applyBorder="1" applyAlignment="1">
      <alignment horizontal="left" vertical="top" wrapText="1"/>
    </xf>
    <xf numFmtId="0" fontId="9" fillId="6" borderId="1" xfId="4" applyFont="1" applyFill="1" applyBorder="1">
      <alignment vertical="top"/>
    </xf>
    <xf numFmtId="0" fontId="12" fillId="0" borderId="0" xfId="4" applyFont="1" applyFill="1">
      <alignment vertical="top"/>
    </xf>
    <xf numFmtId="0" fontId="6" fillId="8" borderId="0" xfId="4" applyFill="1">
      <alignment vertical="top"/>
    </xf>
    <xf numFmtId="2" fontId="6" fillId="13" borderId="0" xfId="4" applyNumberFormat="1" applyFill="1">
      <alignment vertical="top"/>
    </xf>
    <xf numFmtId="1" fontId="6" fillId="0" borderId="0" xfId="4" applyNumberFormat="1" applyFill="1">
      <alignment vertical="top"/>
    </xf>
    <xf numFmtId="0" fontId="14" fillId="6" borderId="1" xfId="4" applyFont="1" applyFill="1" applyBorder="1">
      <alignment vertical="top"/>
    </xf>
    <xf numFmtId="49" fontId="8" fillId="22" borderId="2" xfId="6" applyFont="1" applyBorder="1">
      <alignment vertical="top"/>
    </xf>
    <xf numFmtId="0" fontId="10" fillId="5" borderId="1" xfId="5" applyNumberFormat="1">
      <alignment vertical="top"/>
    </xf>
    <xf numFmtId="0" fontId="15" fillId="0" borderId="0" xfId="4" applyFont="1">
      <alignment vertical="top"/>
    </xf>
    <xf numFmtId="0" fontId="8" fillId="10" borderId="0" xfId="4" applyFont="1" applyFill="1">
      <alignment vertical="top"/>
    </xf>
    <xf numFmtId="0" fontId="8" fillId="11" borderId="0" xfId="4" applyFont="1" applyFill="1">
      <alignment vertical="top"/>
    </xf>
    <xf numFmtId="0" fontId="6" fillId="17" borderId="0" xfId="4" applyFill="1">
      <alignment vertical="top"/>
    </xf>
    <xf numFmtId="49" fontId="8" fillId="22" borderId="0" xfId="6" applyFont="1" applyBorder="1">
      <alignment vertical="top"/>
    </xf>
    <xf numFmtId="0" fontId="6" fillId="0" borderId="0" xfId="4" applyFont="1">
      <alignment vertical="top"/>
    </xf>
    <xf numFmtId="49" fontId="6" fillId="22" borderId="2" xfId="6" applyFont="1" applyBorder="1">
      <alignment vertical="top"/>
    </xf>
    <xf numFmtId="0" fontId="6" fillId="0" borderId="0" xfId="4" quotePrefix="1">
      <alignment vertical="top"/>
    </xf>
    <xf numFmtId="0" fontId="6" fillId="0" borderId="0" xfId="4" quotePrefix="1" applyFont="1">
      <alignment vertical="top"/>
    </xf>
    <xf numFmtId="49" fontId="12" fillId="0" borderId="0" xfId="14">
      <alignment vertical="top"/>
    </xf>
    <xf numFmtId="49" fontId="7" fillId="0" borderId="0" xfId="7">
      <alignment vertical="top"/>
    </xf>
    <xf numFmtId="49" fontId="11" fillId="0" borderId="0" xfId="15">
      <alignment vertical="top"/>
    </xf>
    <xf numFmtId="0" fontId="6" fillId="0" borderId="2" xfId="4" applyFont="1" applyBorder="1" applyAlignment="1">
      <alignment horizontal="left" vertical="top" wrapText="1"/>
    </xf>
    <xf numFmtId="43" fontId="6" fillId="15" borderId="0" xfId="8">
      <alignment vertical="top"/>
    </xf>
    <xf numFmtId="0" fontId="8" fillId="14" borderId="0" xfId="4" applyFont="1" applyFill="1">
      <alignment vertical="top"/>
    </xf>
    <xf numFmtId="9" fontId="6" fillId="0" borderId="0" xfId="4" applyNumberFormat="1">
      <alignment vertical="top"/>
    </xf>
    <xf numFmtId="43" fontId="6" fillId="14" borderId="0" xfId="63" applyFill="1">
      <alignment vertical="top"/>
    </xf>
    <xf numFmtId="43" fontId="6" fillId="7" borderId="0" xfId="63" applyFill="1">
      <alignment vertical="top"/>
    </xf>
    <xf numFmtId="43" fontId="6" fillId="16" borderId="0" xfId="63" applyFill="1">
      <alignment vertical="top"/>
    </xf>
    <xf numFmtId="43" fontId="6" fillId="12" borderId="0" xfId="10">
      <alignment vertical="top"/>
    </xf>
    <xf numFmtId="43" fontId="6" fillId="9" borderId="0" xfId="12">
      <alignment vertical="top"/>
    </xf>
    <xf numFmtId="10" fontId="6" fillId="0" borderId="0" xfId="64">
      <alignment vertical="top"/>
    </xf>
    <xf numFmtId="165" fontId="6" fillId="14" borderId="0" xfId="9" applyNumberFormat="1">
      <alignment vertical="top"/>
    </xf>
    <xf numFmtId="165" fontId="6" fillId="15" borderId="0" xfId="8" applyNumberFormat="1">
      <alignment vertical="top"/>
    </xf>
    <xf numFmtId="49" fontId="7" fillId="22" borderId="1" xfId="6" applyAlignment="1">
      <alignment vertical="top" wrapText="1"/>
    </xf>
    <xf numFmtId="0" fontId="0" fillId="0" borderId="0" xfId="0" applyFont="1" applyAlignment="1"/>
    <xf numFmtId="165" fontId="6" fillId="7" borderId="0" xfId="11" applyNumberFormat="1">
      <alignment vertical="top"/>
    </xf>
    <xf numFmtId="10" fontId="6" fillId="7" borderId="0" xfId="64" applyFill="1">
      <alignment vertical="top"/>
    </xf>
    <xf numFmtId="0" fontId="0" fillId="0" borderId="0" xfId="0">
      <alignment vertical="top"/>
    </xf>
    <xf numFmtId="0" fontId="6" fillId="0" borderId="2" xfId="4" applyFont="1" applyBorder="1" applyAlignment="1">
      <alignment vertical="top" wrapText="1"/>
    </xf>
    <xf numFmtId="0" fontId="6" fillId="0" borderId="2" xfId="4" applyBorder="1" applyAlignment="1">
      <alignment vertical="top" wrapText="1"/>
    </xf>
    <xf numFmtId="0" fontId="0" fillId="0" borderId="2" xfId="0" applyBorder="1" applyAlignment="1">
      <alignment vertical="top" wrapText="1"/>
    </xf>
    <xf numFmtId="0" fontId="6" fillId="0" borderId="0" xfId="4" applyAlignment="1">
      <alignment vertical="top" wrapText="1"/>
    </xf>
    <xf numFmtId="166" fontId="6" fillId="7" borderId="0" xfId="11" applyNumberFormat="1">
      <alignment vertical="top"/>
    </xf>
    <xf numFmtId="165" fontId="6" fillId="16" borderId="0" xfId="13" applyNumberFormat="1">
      <alignment vertical="top"/>
    </xf>
    <xf numFmtId="10" fontId="6" fillId="16" borderId="0" xfId="13" applyNumberFormat="1">
      <alignment vertical="top"/>
    </xf>
    <xf numFmtId="166" fontId="6" fillId="16" borderId="0" xfId="13" applyNumberFormat="1">
      <alignment vertical="top"/>
    </xf>
    <xf numFmtId="165" fontId="6" fillId="0" borderId="0" xfId="4" applyNumberFormat="1">
      <alignment vertical="top"/>
    </xf>
    <xf numFmtId="10" fontId="6" fillId="16" borderId="0" xfId="64" applyNumberFormat="1" applyFill="1">
      <alignment vertical="top"/>
    </xf>
    <xf numFmtId="3" fontId="0" fillId="7" borderId="0" xfId="0" applyNumberFormat="1" applyFont="1" applyFill="1" applyBorder="1" applyAlignment="1"/>
    <xf numFmtId="168" fontId="0" fillId="7" borderId="0" xfId="0" applyNumberFormat="1" applyFont="1" applyFill="1" applyBorder="1" applyAlignment="1"/>
    <xf numFmtId="165" fontId="6" fillId="0" borderId="0" xfId="11" applyNumberFormat="1" applyFill="1">
      <alignment vertical="top"/>
    </xf>
    <xf numFmtId="49" fontId="12" fillId="0" borderId="0" xfId="14" quotePrefix="1">
      <alignment vertical="top"/>
    </xf>
    <xf numFmtId="165" fontId="6" fillId="12" borderId="0" xfId="10" applyNumberFormat="1">
      <alignment vertical="top"/>
    </xf>
    <xf numFmtId="9" fontId="6" fillId="12" borderId="0" xfId="64" applyNumberFormat="1" applyFill="1">
      <alignment vertical="top"/>
    </xf>
    <xf numFmtId="10" fontId="6" fillId="16" borderId="0" xfId="64" applyFill="1">
      <alignment vertical="top"/>
    </xf>
    <xf numFmtId="0" fontId="6" fillId="47" borderId="0" xfId="62" applyNumberFormat="1">
      <alignment vertical="top"/>
    </xf>
    <xf numFmtId="165" fontId="6" fillId="14" borderId="0" xfId="63" applyNumberFormat="1">
      <alignment vertical="top"/>
    </xf>
    <xf numFmtId="165" fontId="6" fillId="16" borderId="0" xfId="63" applyNumberFormat="1" applyFill="1">
      <alignment vertical="top"/>
    </xf>
    <xf numFmtId="165" fontId="6" fillId="47" borderId="0" xfId="63" applyNumberFormat="1" applyFill="1">
      <alignment vertical="top"/>
    </xf>
    <xf numFmtId="165" fontId="6" fillId="15" borderId="0" xfId="63" applyNumberFormat="1" applyFill="1">
      <alignment vertical="top"/>
    </xf>
    <xf numFmtId="43" fontId="6" fillId="0" borderId="0" xfId="12" applyFill="1">
      <alignment vertical="top"/>
    </xf>
    <xf numFmtId="17" fontId="6" fillId="0" borderId="0" xfId="4" quotePrefix="1" applyNumberFormat="1" applyFont="1">
      <alignment vertical="top"/>
    </xf>
    <xf numFmtId="169" fontId="6" fillId="16" borderId="0" xfId="13" applyNumberFormat="1">
      <alignment vertical="top"/>
    </xf>
    <xf numFmtId="10" fontId="6" fillId="14" borderId="0" xfId="64" applyFill="1">
      <alignment vertical="top"/>
    </xf>
    <xf numFmtId="166" fontId="6" fillId="14" borderId="0" xfId="13" applyNumberFormat="1" applyFill="1">
      <alignment vertical="top"/>
    </xf>
    <xf numFmtId="166" fontId="6" fillId="0" borderId="0" xfId="4" applyNumberFormat="1">
      <alignment vertical="top"/>
    </xf>
    <xf numFmtId="170" fontId="0" fillId="7" borderId="0" xfId="0" applyNumberFormat="1" applyFont="1" applyFill="1" applyAlignment="1"/>
    <xf numFmtId="165" fontId="6" fillId="0" borderId="0" xfId="13" applyNumberFormat="1" applyFill="1">
      <alignment vertical="top"/>
    </xf>
    <xf numFmtId="166" fontId="6" fillId="0" borderId="0" xfId="13" applyNumberFormat="1" applyFill="1">
      <alignment vertical="top"/>
    </xf>
    <xf numFmtId="0" fontId="6" fillId="0" borderId="0" xfId="4" applyFill="1" applyBorder="1">
      <alignment vertical="top"/>
    </xf>
    <xf numFmtId="167" fontId="0" fillId="0" borderId="0" xfId="63" applyNumberFormat="1" applyFont="1" applyFill="1" applyBorder="1" applyAlignment="1"/>
    <xf numFmtId="165" fontId="6" fillId="14" borderId="0" xfId="13" applyNumberFormat="1" applyFill="1">
      <alignment vertical="top"/>
    </xf>
    <xf numFmtId="165" fontId="6" fillId="14" borderId="0" xfId="4" applyNumberFormat="1" applyFill="1">
      <alignment vertical="top"/>
    </xf>
    <xf numFmtId="0" fontId="23" fillId="0" borderId="0" xfId="4" applyFont="1">
      <alignment vertical="top"/>
    </xf>
    <xf numFmtId="165" fontId="6" fillId="15" borderId="0" xfId="4" applyNumberFormat="1" applyFill="1">
      <alignment vertical="top"/>
    </xf>
    <xf numFmtId="43" fontId="6" fillId="22" borderId="0" xfId="12" applyFill="1">
      <alignment vertical="top"/>
    </xf>
    <xf numFmtId="166" fontId="6" fillId="14" borderId="0" xfId="9" applyNumberFormat="1">
      <alignment vertical="top"/>
    </xf>
    <xf numFmtId="165" fontId="6" fillId="0" borderId="0" xfId="63" applyNumberFormat="1" applyFill="1">
      <alignment vertical="top"/>
    </xf>
    <xf numFmtId="171" fontId="6" fillId="7" borderId="0" xfId="64" applyNumberFormat="1" applyFill="1">
      <alignment vertical="top"/>
    </xf>
    <xf numFmtId="0" fontId="6" fillId="0" borderId="0" xfId="4" applyBorder="1" applyAlignment="1">
      <alignment vertical="top" wrapText="1"/>
    </xf>
    <xf numFmtId="0" fontId="6" fillId="0" borderId="0" xfId="4" applyBorder="1">
      <alignment vertical="top"/>
    </xf>
    <xf numFmtId="0" fontId="15" fillId="0" borderId="2" xfId="4" applyFont="1" applyBorder="1" applyAlignment="1">
      <alignment vertical="top" wrapText="1"/>
    </xf>
    <xf numFmtId="0" fontId="6" fillId="0" borderId="2" xfId="4" applyBorder="1" applyAlignment="1">
      <alignment vertical="top" wrapText="1"/>
    </xf>
    <xf numFmtId="49" fontId="22" fillId="0" borderId="2" xfId="61" applyBorder="1" applyAlignment="1">
      <alignment vertical="top" wrapText="1"/>
    </xf>
    <xf numFmtId="0" fontId="6" fillId="0" borderId="2" xfId="4" applyBorder="1" applyAlignment="1">
      <alignment vertical="top" wrapText="1"/>
    </xf>
    <xf numFmtId="0" fontId="6" fillId="0" borderId="0" xfId="4" applyBorder="1" applyAlignment="1">
      <alignment vertical="top"/>
    </xf>
    <xf numFmtId="0" fontId="6" fillId="0" borderId="2" xfId="4" applyBorder="1" applyAlignment="1">
      <alignment vertical="top" wrapText="1"/>
    </xf>
    <xf numFmtId="0" fontId="6" fillId="0" borderId="0" xfId="4" applyBorder="1" applyAlignment="1">
      <alignment vertical="top"/>
    </xf>
    <xf numFmtId="0" fontId="6" fillId="0" borderId="2" xfId="4" applyFont="1" applyBorder="1" applyAlignment="1">
      <alignment vertical="top"/>
    </xf>
    <xf numFmtId="0" fontId="6" fillId="0" borderId="2" xfId="4" applyFont="1" applyBorder="1">
      <alignment vertical="top"/>
    </xf>
    <xf numFmtId="0" fontId="6" fillId="0" borderId="0" xfId="4" applyFont="1" applyFill="1" applyBorder="1" applyAlignment="1">
      <alignment horizontal="left" vertical="top" wrapText="1"/>
    </xf>
  </cellXfs>
  <cellStyles count="214">
    <cellStyle name="_x000d__x000a_JournalTemplate=C:\COMFO\CTALK\JOURSTD.TPL_x000d__x000a_LbStateAddress=3 3 0 251 1 89 2 311_x000d__x000a_LbStateJou" xfId="70"/>
    <cellStyle name="_x000d__x000a_JournalTemplate=C:\COMFO\CTALK\JOURSTD.TPL_x000d__x000a_LbStateAddress=3 3 0 251 1 89 2 311_x000d__x000a_LbStateJou 2" xfId="71"/>
    <cellStyle name="_x000d__x000a_JournalTemplate=C:\COMFO\CTALK\JOURSTD.TPL_x000d__x000a_LbStateAddress=3 3 0 251 1 89 2 311_x000d__x000a_LbStateJou 2 2" xfId="72"/>
    <cellStyle name="_x000d__x000a_JournalTemplate=C:\COMFO\CTALK\JOURSTD.TPL_x000d__x000a_LbStateAddress=3 3 0 251 1 89 2 311_x000d__x000a_LbStateJou 3" xfId="73"/>
    <cellStyle name="_x000d__x000a_JournalTemplate=C:\COMFO\CTALK\JOURSTD.TPL_x000d__x000a_LbStateAddress=3 3 0 251 1 89 2 311_x000d__x000a_LbStateJou 4" xfId="74"/>
    <cellStyle name="_x000d__x000a_JournalTemplate=C:\COMFO\CTALK\JOURSTD.TPL_x000d__x000a_LbStateAddress=3 3 0 251 1 89 2 311_x000d__x000a_LbStateJou_100720 berekening x-factoren NG4R v4.2" xfId="75"/>
    <cellStyle name="_kop1 Bladtitel" xfId="5"/>
    <cellStyle name="_kop2 Bloktitel" xfId="6"/>
    <cellStyle name="_kop2 Bloktitel 2" xfId="67"/>
    <cellStyle name="_kop3 Subkop" xfId="7"/>
    <cellStyle name="20% - Accent1" xfId="37" builtinId="30" hidden="1"/>
    <cellStyle name="20% - Accent1 2" xfId="76"/>
    <cellStyle name="20% - Accent1 3" xfId="77"/>
    <cellStyle name="20% - Accent2" xfId="41" builtinId="34" hidden="1"/>
    <cellStyle name="20% - Accent2 2" xfId="78"/>
    <cellStyle name="20% - Accent2 3" xfId="79"/>
    <cellStyle name="20% - Accent3" xfId="45" builtinId="38" hidden="1"/>
    <cellStyle name="20% - Accent3 2" xfId="80"/>
    <cellStyle name="20% - Accent3 3" xfId="81"/>
    <cellStyle name="20% - Accent4" xfId="49" builtinId="42" hidden="1"/>
    <cellStyle name="20% - Accent4 2" xfId="82"/>
    <cellStyle name="20% - Accent4 3" xfId="83"/>
    <cellStyle name="20% - Accent5" xfId="53" builtinId="46" hidden="1"/>
    <cellStyle name="20% - Accent5 2" xfId="84"/>
    <cellStyle name="20% - Accent5 3" xfId="85"/>
    <cellStyle name="20% - Accent6" xfId="57" builtinId="50" hidden="1"/>
    <cellStyle name="20% - Accent6 2" xfId="86"/>
    <cellStyle name="20% - Accent6 3" xfId="87"/>
    <cellStyle name="40% - Accent1" xfId="38" builtinId="31" hidden="1"/>
    <cellStyle name="40% - Accent1 2" xfId="88"/>
    <cellStyle name="40% - Accent1 3" xfId="89"/>
    <cellStyle name="40% - Accent2" xfId="42" builtinId="35" hidden="1"/>
    <cellStyle name="40% - Accent2 2" xfId="90"/>
    <cellStyle name="40% - Accent2 3" xfId="91"/>
    <cellStyle name="40% - Accent3" xfId="46" builtinId="39" hidden="1"/>
    <cellStyle name="40% - Accent3 2" xfId="92"/>
    <cellStyle name="40% - Accent3 3" xfId="93"/>
    <cellStyle name="40% - Accent4" xfId="50" builtinId="43" hidden="1"/>
    <cellStyle name="40% - Accent4 2" xfId="94"/>
    <cellStyle name="40% - Accent4 3" xfId="95"/>
    <cellStyle name="40% - Accent5" xfId="54" builtinId="47" hidden="1"/>
    <cellStyle name="40% - Accent5 2" xfId="96"/>
    <cellStyle name="40% - Accent5 3" xfId="97"/>
    <cellStyle name="40% - Accent6" xfId="58" builtinId="51" hidden="1"/>
    <cellStyle name="40% - Accent6 2" xfId="98"/>
    <cellStyle name="40% - Accent6 3" xfId="99"/>
    <cellStyle name="60% - Accent1" xfId="39" builtinId="32" hidden="1"/>
    <cellStyle name="60% - Accent1 2" xfId="100"/>
    <cellStyle name="60% - Accent1 3" xfId="101"/>
    <cellStyle name="60% - Accent2" xfId="43" builtinId="36" hidden="1"/>
    <cellStyle name="60% - Accent2 2" xfId="102"/>
    <cellStyle name="60% - Accent2 3" xfId="103"/>
    <cellStyle name="60% - Accent3" xfId="47" builtinId="40" hidden="1"/>
    <cellStyle name="60% - Accent3 2" xfId="104"/>
    <cellStyle name="60% - Accent3 3" xfId="105"/>
    <cellStyle name="60% - Accent4" xfId="51" builtinId="44" hidden="1"/>
    <cellStyle name="60% - Accent4 2" xfId="106"/>
    <cellStyle name="60% - Accent4 3" xfId="107"/>
    <cellStyle name="60% - Accent5" xfId="55" builtinId="48" hidden="1"/>
    <cellStyle name="60% - Accent5 2" xfId="108"/>
    <cellStyle name="60% - Accent5 3" xfId="109"/>
    <cellStyle name="60% - Accent6" xfId="59" builtinId="52" hidden="1"/>
    <cellStyle name="60% - Accent6 2" xfId="110"/>
    <cellStyle name="60% - Accent6 3" xfId="111"/>
    <cellStyle name="Accent1" xfId="36" builtinId="29" hidden="1"/>
    <cellStyle name="Accent1 2" xfId="112"/>
    <cellStyle name="Accent1 3" xfId="113"/>
    <cellStyle name="Accent2" xfId="40" builtinId="33" hidden="1"/>
    <cellStyle name="Accent2 2" xfId="114"/>
    <cellStyle name="Accent2 3" xfId="115"/>
    <cellStyle name="Accent3" xfId="44" builtinId="37" hidden="1"/>
    <cellStyle name="Accent3 2" xfId="116"/>
    <cellStyle name="Accent3 3" xfId="117"/>
    <cellStyle name="Accent4" xfId="48" builtinId="41" hidden="1"/>
    <cellStyle name="Accent4 2" xfId="118"/>
    <cellStyle name="Accent4 3" xfId="119"/>
    <cellStyle name="Accent5" xfId="52" builtinId="45" hidden="1"/>
    <cellStyle name="Accent5 2" xfId="120"/>
    <cellStyle name="Accent5 3" xfId="121"/>
    <cellStyle name="Accent6" xfId="56" builtinId="49" hidden="1"/>
    <cellStyle name="Accent6 2" xfId="122"/>
    <cellStyle name="Accent6 3" xfId="123"/>
    <cellStyle name="Bad" xfId="124"/>
    <cellStyle name="Bad 2" xfId="125"/>
    <cellStyle name="Berekening" xfId="18" builtinId="22" hidden="1"/>
    <cellStyle name="Berekening 2" xfId="126"/>
    <cellStyle name="Calculation" xfId="127"/>
    <cellStyle name="Calculation 2" xfId="128"/>
    <cellStyle name="Cel (tussen)resultaat" xfId="8"/>
    <cellStyle name="Cel Berekening" xfId="9"/>
    <cellStyle name="Cel Bijzonderheid" xfId="10"/>
    <cellStyle name="Cel Input" xfId="11"/>
    <cellStyle name="Cel n.v.t. (leeg)" xfId="62"/>
    <cellStyle name="Cel PM extern" xfId="12"/>
    <cellStyle name="Cel Verwijzing" xfId="13"/>
    <cellStyle name="Check Cell" xfId="129"/>
    <cellStyle name="Check Cell 2" xfId="130"/>
    <cellStyle name="Comma 2" xfId="131"/>
    <cellStyle name="Comma 3" xfId="132"/>
    <cellStyle name="Controlecel" xfId="20" builtinId="23" hidden="1"/>
    <cellStyle name="Controlecel 2" xfId="133"/>
    <cellStyle name="Euro" xfId="134"/>
    <cellStyle name="Euro 2" xfId="135"/>
    <cellStyle name="Explanatory Text" xfId="136"/>
    <cellStyle name="Explanatory Text 2" xfId="137"/>
    <cellStyle name="Gekoppelde cel" xfId="19" builtinId="24" hidden="1"/>
    <cellStyle name="Gekoppelde cel 2" xfId="138"/>
    <cellStyle name="Gevolgde hyperlink" xfId="60" builtinId="9" hidden="1"/>
    <cellStyle name="Goed" xfId="1" builtinId="26" hidden="1"/>
    <cellStyle name="Goed 2" xfId="139"/>
    <cellStyle name="Good" xfId="140"/>
    <cellStyle name="Good 2" xfId="141"/>
    <cellStyle name="Header" xfId="142"/>
    <cellStyle name="Heading 1" xfId="143"/>
    <cellStyle name="Heading 1 2" xfId="144"/>
    <cellStyle name="Heading 2" xfId="145"/>
    <cellStyle name="Heading 2 2" xfId="146"/>
    <cellStyle name="Heading 3" xfId="147"/>
    <cellStyle name="Heading 3 2" xfId="148"/>
    <cellStyle name="Heading 4" xfId="149"/>
    <cellStyle name="Heading 4 2" xfId="150"/>
    <cellStyle name="Hyperlink" xfId="22" builtinId="8" hidden="1"/>
    <cellStyle name="Hyperlink" xfId="61" builtinId="8" customBuiltin="1"/>
    <cellStyle name="Input" xfId="151"/>
    <cellStyle name="Input 2" xfId="152"/>
    <cellStyle name="Invoer" xfId="16" builtinId="20" hidden="1"/>
    <cellStyle name="Invoer 2" xfId="153"/>
    <cellStyle name="Komma" xfId="23" builtinId="3" hidden="1"/>
    <cellStyle name="Komma" xfId="63" builtinId="3"/>
    <cellStyle name="Komma [0]" xfId="24" builtinId="6" hidden="1"/>
    <cellStyle name="Komma 14 2" xfId="154"/>
    <cellStyle name="Komma 2" xfId="65"/>
    <cellStyle name="Komma 2 2" xfId="155"/>
    <cellStyle name="Komma 2 3" xfId="156"/>
    <cellStyle name="Komma 3" xfId="157"/>
    <cellStyle name="Komma 3 2" xfId="158"/>
    <cellStyle name="Komma 4" xfId="159"/>
    <cellStyle name="Komma 4 2" xfId="209"/>
    <cellStyle name="Komma 5" xfId="160"/>
    <cellStyle name="Komma 6" xfId="161"/>
    <cellStyle name="Komma 7" xfId="207"/>
    <cellStyle name="Kop 1" xfId="29" builtinId="16" hidden="1"/>
    <cellStyle name="Kop 1 2" xfId="162"/>
    <cellStyle name="Kop 2" xfId="30" builtinId="17" hidden="1"/>
    <cellStyle name="Kop 2 2" xfId="163"/>
    <cellStyle name="Kop 3" xfId="31" builtinId="18" hidden="1"/>
    <cellStyle name="Kop 3 2" xfId="164"/>
    <cellStyle name="Kop 4" xfId="32" builtinId="19" hidden="1"/>
    <cellStyle name="Kop 4 2" xfId="165"/>
    <cellStyle name="Linked Cell" xfId="166"/>
    <cellStyle name="Linked Cell 2" xfId="167"/>
    <cellStyle name="Neutraal" xfId="3" builtinId="28" hidden="1"/>
    <cellStyle name="Neutraal 2" xfId="168"/>
    <cellStyle name="Neutral" xfId="169"/>
    <cellStyle name="Neutral 2" xfId="170"/>
    <cellStyle name="Normal 14" xfId="171"/>
    <cellStyle name="Normal 2" xfId="172"/>
    <cellStyle name="Normal 3" xfId="173"/>
    <cellStyle name="Normal_# klanten" xfId="174"/>
    <cellStyle name="Note" xfId="175"/>
    <cellStyle name="Note 2" xfId="176"/>
    <cellStyle name="Notitie" xfId="21" builtinId="10" hidden="1"/>
    <cellStyle name="Notitie 2" xfId="177"/>
    <cellStyle name="Ongeldig" xfId="2" builtinId="27" hidden="1"/>
    <cellStyle name="Ongeldig 2" xfId="178"/>
    <cellStyle name="Opm. INTERN" xfId="14"/>
    <cellStyle name="Output" xfId="179"/>
    <cellStyle name="Output 2" xfId="180"/>
    <cellStyle name="Procent" xfId="27" builtinId="5" hidden="1"/>
    <cellStyle name="Procent" xfId="64" builtinId="5"/>
    <cellStyle name="Procent 2" xfId="181"/>
    <cellStyle name="Procent 3" xfId="182"/>
    <cellStyle name="Procent 3 2" xfId="210"/>
    <cellStyle name="Procent 4" xfId="183"/>
    <cellStyle name="Procent 5" xfId="208"/>
    <cellStyle name="Procent 6" xfId="213"/>
    <cellStyle name="Procent 7" xfId="69"/>
    <cellStyle name="Stand. 2" xfId="212"/>
    <cellStyle name="Standaard" xfId="0" builtinId="0" customBuiltin="1"/>
    <cellStyle name="Standaard 2" xfId="66"/>
    <cellStyle name="Standaard 2 2" xfId="184"/>
    <cellStyle name="Standaard 2 3" xfId="185"/>
    <cellStyle name="Standaard 2 4" xfId="186"/>
    <cellStyle name="Standaard 2 5" xfId="68"/>
    <cellStyle name="Standaard 3" xfId="187"/>
    <cellStyle name="Standaard 3 2" xfId="188"/>
    <cellStyle name="Standaard 4" xfId="189"/>
    <cellStyle name="Standaard 5" xfId="190"/>
    <cellStyle name="Standaard 5 2" xfId="211"/>
    <cellStyle name="Standaard 6" xfId="191"/>
    <cellStyle name="Standaard 7" xfId="192"/>
    <cellStyle name="Standaard 8" xfId="206"/>
    <cellStyle name="Standaard ACM-DE" xfId="4"/>
    <cellStyle name="Titel" xfId="28" builtinId="15" hidden="1"/>
    <cellStyle name="Titel 2" xfId="193"/>
    <cellStyle name="Title" xfId="194"/>
    <cellStyle name="Title 2" xfId="195"/>
    <cellStyle name="Toelichting" xfId="15"/>
    <cellStyle name="Totaal" xfId="35" builtinId="25" hidden="1"/>
    <cellStyle name="Totaal 2" xfId="196"/>
    <cellStyle name="Total" xfId="197"/>
    <cellStyle name="Total 2" xfId="198"/>
    <cellStyle name="Uitvoer" xfId="17" builtinId="21" hidden="1"/>
    <cellStyle name="Uitvoer 2" xfId="199"/>
    <cellStyle name="Valuta" xfId="25" builtinId="4" hidden="1"/>
    <cellStyle name="Valuta [0]" xfId="26" builtinId="7" hidden="1"/>
    <cellStyle name="Valuta 2" xfId="200"/>
    <cellStyle name="Verklarende tekst" xfId="34" builtinId="53" hidden="1"/>
    <cellStyle name="Verklarende tekst 2" xfId="201"/>
    <cellStyle name="Waarschuwingstekst" xfId="33" builtinId="11" hidden="1"/>
    <cellStyle name="Waarschuwingstekst 2" xfId="202"/>
    <cellStyle name="Warning Text" xfId="203"/>
    <cellStyle name="Warning Text 2" xfId="204"/>
    <cellStyle name="WIt" xfId="205"/>
  </cellStyles>
  <dxfs count="0"/>
  <tableStyles count="0" defaultTableStyle="TableStyleMedium2" defaultPivotStyle="PivotStyleLight16"/>
  <colors>
    <mruColors>
      <color rgb="FFCCC8D9"/>
      <color rgb="FFCCFFFF"/>
      <color rgb="FFFFFFCC"/>
      <color rgb="FFFF66FF"/>
      <color rgb="FFFFCCFF"/>
      <color rgb="FFCCFFCC"/>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cm.nl/sites/default/files/old_publication/publicaties/16601_wacc-determination-caribbean-netherlands.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C31"/>
  <sheetViews>
    <sheetView showGridLines="0" tabSelected="1" zoomScale="85" zoomScaleNormal="85" workbookViewId="0">
      <pane ySplit="3" topLeftCell="A4" activePane="bottomLeft" state="frozen"/>
      <selection activeCell="A4" sqref="A4"/>
      <selection pane="bottomLeft" activeCell="B33" sqref="B33"/>
    </sheetView>
  </sheetViews>
  <sheetFormatPr defaultRowHeight="12.75"/>
  <cols>
    <col min="1" max="1" width="2.85546875" style="2" customWidth="1"/>
    <col min="2" max="2" width="39.85546875" style="2" customWidth="1"/>
    <col min="3" max="3" width="91.85546875" style="2" customWidth="1"/>
    <col min="4" max="16384" width="9.140625" style="2"/>
  </cols>
  <sheetData>
    <row r="2" spans="2:3" s="8" customFormat="1" ht="18">
      <c r="B2" s="8" t="s">
        <v>0</v>
      </c>
    </row>
    <row r="6" spans="2:3">
      <c r="B6" s="3"/>
    </row>
    <row r="13" spans="2:3" s="9" customFormat="1">
      <c r="B13" s="9" t="s">
        <v>1</v>
      </c>
    </row>
    <row r="14" spans="2:3" s="10" customFormat="1"/>
    <row r="15" spans="2:3">
      <c r="B15" s="11" t="s">
        <v>2</v>
      </c>
      <c r="C15" s="12" t="s">
        <v>368</v>
      </c>
    </row>
    <row r="16" spans="2:3">
      <c r="B16" s="11" t="s">
        <v>3</v>
      </c>
      <c r="C16" s="12" t="s">
        <v>376</v>
      </c>
    </row>
    <row r="17" spans="2:3">
      <c r="B17" s="11" t="s">
        <v>4</v>
      </c>
      <c r="C17" s="12" t="s">
        <v>369</v>
      </c>
    </row>
    <row r="18" spans="2:3" ht="51">
      <c r="B18" s="11" t="s">
        <v>5</v>
      </c>
      <c r="C18" s="12" t="s">
        <v>379</v>
      </c>
    </row>
    <row r="19" spans="2:3">
      <c r="B19" s="11" t="s">
        <v>6</v>
      </c>
      <c r="C19" s="12" t="s">
        <v>372</v>
      </c>
    </row>
    <row r="22" spans="2:3" s="9" customFormat="1">
      <c r="B22" s="9" t="s">
        <v>8</v>
      </c>
    </row>
    <row r="24" spans="2:3">
      <c r="B24" s="11" t="s">
        <v>9</v>
      </c>
      <c r="C24" s="12" t="s">
        <v>370</v>
      </c>
    </row>
    <row r="25" spans="2:3">
      <c r="B25" s="11" t="s">
        <v>10</v>
      </c>
      <c r="C25" s="12" t="s">
        <v>370</v>
      </c>
    </row>
    <row r="26" spans="2:3" ht="25.5">
      <c r="B26" s="11" t="s">
        <v>11</v>
      </c>
      <c r="C26" s="12" t="s">
        <v>370</v>
      </c>
    </row>
    <row r="27" spans="2:3">
      <c r="B27" s="33" t="s">
        <v>64</v>
      </c>
      <c r="C27" s="12" t="s">
        <v>371</v>
      </c>
    </row>
    <row r="28" spans="2:3">
      <c r="B28" s="11" t="s">
        <v>7</v>
      </c>
      <c r="C28" s="12" t="s">
        <v>377</v>
      </c>
    </row>
    <row r="31" spans="2:3">
      <c r="B31" s="102" t="s">
        <v>378</v>
      </c>
      <c r="C31" s="102"/>
    </row>
  </sheetData>
  <mergeCells count="1">
    <mergeCell ref="B31:C31"/>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cols>
    <col min="1" max="16384" width="9.140625" style="24"/>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J60"/>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72" style="2" customWidth="1"/>
    <col min="3" max="5" width="4.5703125" style="2" customWidth="1"/>
    <col min="6" max="6" width="18.5703125" style="2" customWidth="1"/>
    <col min="7" max="7" width="2.7109375" style="2" customWidth="1"/>
    <col min="8" max="8" width="16" style="2" customWidth="1"/>
    <col min="9" max="9" width="2.7109375" style="2" customWidth="1"/>
    <col min="10" max="24" width="13.7109375" style="2" customWidth="1"/>
    <col min="25" max="16384" width="9.140625" style="2"/>
  </cols>
  <sheetData>
    <row r="2" spans="2:10" s="20" customFormat="1" ht="18">
      <c r="B2" s="20" t="s">
        <v>286</v>
      </c>
    </row>
    <row r="4" spans="2:10">
      <c r="B4" s="31" t="s">
        <v>54</v>
      </c>
      <c r="C4" s="1"/>
      <c r="D4" s="1"/>
    </row>
    <row r="5" spans="2:10">
      <c r="B5" s="26" t="s">
        <v>134</v>
      </c>
      <c r="C5" s="3"/>
      <c r="D5" s="3"/>
      <c r="H5" s="21"/>
    </row>
    <row r="6" spans="2:10">
      <c r="B6" s="2" t="s">
        <v>287</v>
      </c>
      <c r="C6" s="3"/>
      <c r="D6" s="3"/>
      <c r="H6" s="21"/>
    </row>
    <row r="8" spans="2:10" s="9" customFormat="1">
      <c r="B8" s="9" t="s">
        <v>43</v>
      </c>
      <c r="F8" s="9" t="s">
        <v>24</v>
      </c>
      <c r="H8" s="9" t="s">
        <v>25</v>
      </c>
      <c r="J8" s="9" t="s">
        <v>45</v>
      </c>
    </row>
    <row r="11" spans="2:10" s="9" customFormat="1">
      <c r="B11" s="9" t="s">
        <v>136</v>
      </c>
    </row>
    <row r="13" spans="2:10">
      <c r="B13" s="1" t="s">
        <v>139</v>
      </c>
    </row>
    <row r="14" spans="2:10">
      <c r="B14" s="2" t="s">
        <v>304</v>
      </c>
      <c r="F14" s="2" t="s">
        <v>84</v>
      </c>
      <c r="H14" s="56">
        <f>'CPI &amp; WACC'!L19</f>
        <v>6.0000000000000001E-3</v>
      </c>
    </row>
    <row r="16" spans="2:10">
      <c r="B16" s="1" t="s">
        <v>98</v>
      </c>
    </row>
    <row r="17" spans="2:10">
      <c r="B17" s="2" t="s">
        <v>100</v>
      </c>
      <c r="F17" s="2" t="s">
        <v>65</v>
      </c>
      <c r="H17" s="55">
        <f>'Schatting kosten 2017 E en DW'!L30</f>
        <v>229950</v>
      </c>
    </row>
    <row r="18" spans="2:10">
      <c r="B18" s="2" t="s">
        <v>99</v>
      </c>
      <c r="F18" s="2" t="s">
        <v>65</v>
      </c>
      <c r="H18" s="55">
        <f>'Schatting kosten 2017 E en DW'!L31</f>
        <v>4891530.53606926</v>
      </c>
    </row>
    <row r="19" spans="2:10">
      <c r="B19" s="2" t="s">
        <v>101</v>
      </c>
      <c r="F19" s="2" t="s">
        <v>65</v>
      </c>
      <c r="H19" s="43">
        <f>SUM(H17:H18)</f>
        <v>5121480.53606926</v>
      </c>
    </row>
    <row r="21" spans="2:10">
      <c r="B21" s="1" t="s">
        <v>122</v>
      </c>
    </row>
    <row r="22" spans="2:10">
      <c r="B22" s="2" t="s">
        <v>100</v>
      </c>
      <c r="F22" s="2" t="s">
        <v>65</v>
      </c>
      <c r="H22" s="55">
        <f>'Brandstofkosten en volume E'!L76</f>
        <v>328496</v>
      </c>
    </row>
    <row r="23" spans="2:10">
      <c r="B23" s="2" t="s">
        <v>123</v>
      </c>
      <c r="F23" s="2" t="s">
        <v>65</v>
      </c>
      <c r="H23" s="55">
        <f>'Brandstofkosten en volume E'!L59</f>
        <v>8648564.4100000001</v>
      </c>
    </row>
    <row r="24" spans="2:10">
      <c r="B24" s="2" t="s">
        <v>133</v>
      </c>
      <c r="F24" s="2" t="s">
        <v>65</v>
      </c>
      <c r="H24" s="43">
        <f>SUM(H22:H23)</f>
        <v>8977060.4100000001</v>
      </c>
    </row>
    <row r="26" spans="2:10">
      <c r="B26" s="1" t="s">
        <v>140</v>
      </c>
    </row>
    <row r="27" spans="2:10">
      <c r="B27" s="2" t="s">
        <v>143</v>
      </c>
      <c r="F27" s="2" t="s">
        <v>141</v>
      </c>
      <c r="H27" s="57">
        <f>'Schatting kosten 2017 E en DW'!L44</f>
        <v>0.80966020681168072</v>
      </c>
      <c r="J27" s="2" t="s">
        <v>142</v>
      </c>
    </row>
    <row r="28" spans="2:10">
      <c r="B28" s="2" t="s">
        <v>144</v>
      </c>
      <c r="F28" s="2" t="s">
        <v>138</v>
      </c>
      <c r="H28" s="57">
        <f>'Schatting kosten 2017 E en DW'!L24</f>
        <v>1.0500000000000001E-2</v>
      </c>
    </row>
    <row r="30" spans="2:10">
      <c r="B30" s="2" t="s">
        <v>150</v>
      </c>
      <c r="F30" s="2" t="s">
        <v>70</v>
      </c>
      <c r="H30" s="55">
        <f>'Realisatie kosten 2017 E en DW'!L57</f>
        <v>111950.21</v>
      </c>
    </row>
    <row r="32" spans="2:10">
      <c r="B32" s="1" t="s">
        <v>273</v>
      </c>
    </row>
    <row r="33" spans="2:10">
      <c r="B33" s="2" t="s">
        <v>274</v>
      </c>
      <c r="F33" s="2" t="s">
        <v>65</v>
      </c>
      <c r="H33" s="55">
        <f>'Schatting kosten 2017 E en DW'!H47</f>
        <v>105500000</v>
      </c>
    </row>
    <row r="34" spans="2:10">
      <c r="B34" s="2" t="s">
        <v>275</v>
      </c>
      <c r="F34" s="2" t="s">
        <v>65</v>
      </c>
      <c r="H34" s="55">
        <f>'Realisatie kosten 2017 E en DW'!L62</f>
        <v>104402923</v>
      </c>
    </row>
    <row r="35" spans="2:10">
      <c r="B35" s="2" t="s">
        <v>288</v>
      </c>
      <c r="F35" s="2" t="s">
        <v>70</v>
      </c>
      <c r="H35" s="57">
        <f>'Schatting kosten 2017 E en DW'!H48</f>
        <v>0.10879999999999999</v>
      </c>
    </row>
    <row r="38" spans="2:10" s="9" customFormat="1">
      <c r="B38" s="9" t="s">
        <v>278</v>
      </c>
    </row>
    <row r="40" spans="2:10">
      <c r="B40" s="31" t="s">
        <v>127</v>
      </c>
    </row>
    <row r="41" spans="2:10">
      <c r="B41" s="2" t="s">
        <v>126</v>
      </c>
      <c r="F41" s="2" t="s">
        <v>70</v>
      </c>
      <c r="H41" s="43">
        <f>H19*H27</f>
        <v>4146658.9900158346</v>
      </c>
    </row>
    <row r="42" spans="2:10">
      <c r="B42" s="2" t="s">
        <v>125</v>
      </c>
      <c r="F42" s="2" t="s">
        <v>70</v>
      </c>
      <c r="H42" s="43">
        <f>H24*H27</f>
        <v>7268368.5881215511</v>
      </c>
      <c r="J42" s="30"/>
    </row>
    <row r="43" spans="2:10">
      <c r="B43" s="2" t="s">
        <v>145</v>
      </c>
      <c r="F43" s="2" t="s">
        <v>70</v>
      </c>
      <c r="H43" s="43">
        <f>H18*H28*(1+H14)</f>
        <v>51669.2370524996</v>
      </c>
    </row>
    <row r="44" spans="2:10">
      <c r="B44" s="2" t="s">
        <v>146</v>
      </c>
      <c r="F44" s="2" t="s">
        <v>70</v>
      </c>
      <c r="H44" s="43">
        <f>H23*H28*(1+H14)</f>
        <v>91354.785862830002</v>
      </c>
    </row>
    <row r="45" spans="2:10">
      <c r="B45" s="2" t="s">
        <v>148</v>
      </c>
      <c r="F45" s="2" t="s">
        <v>70</v>
      </c>
      <c r="H45" s="43">
        <f>H30</f>
        <v>111950.21</v>
      </c>
      <c r="J45" s="2" t="s">
        <v>149</v>
      </c>
    </row>
    <row r="46" spans="2:10">
      <c r="B46" s="2" t="s">
        <v>154</v>
      </c>
      <c r="F46" s="2" t="s">
        <v>70</v>
      </c>
      <c r="H46" s="43">
        <f>(H42-H41)-(H44+H45-H43)</f>
        <v>2970073.8392953863</v>
      </c>
    </row>
    <row r="48" spans="2:10">
      <c r="B48" s="2" t="s">
        <v>155</v>
      </c>
      <c r="F48" s="2" t="s">
        <v>70</v>
      </c>
      <c r="H48" s="44">
        <f>-1*H46</f>
        <v>-2970073.8392953863</v>
      </c>
      <c r="J48" s="30"/>
    </row>
    <row r="51" spans="2:10">
      <c r="B51" s="1" t="s">
        <v>335</v>
      </c>
    </row>
    <row r="52" spans="2:10">
      <c r="B52" s="2" t="s">
        <v>282</v>
      </c>
      <c r="F52" s="2" t="s">
        <v>70</v>
      </c>
      <c r="H52" s="43">
        <f>H19*H27+H33*H35</f>
        <v>15625058.990015835</v>
      </c>
    </row>
    <row r="53" spans="2:10">
      <c r="B53" s="2" t="s">
        <v>283</v>
      </c>
      <c r="F53" s="2" t="s">
        <v>70</v>
      </c>
      <c r="H53" s="43">
        <f>H19+H33</f>
        <v>110621480.53606926</v>
      </c>
      <c r="J53" s="2" t="s">
        <v>280</v>
      </c>
    </row>
    <row r="54" spans="2:10">
      <c r="B54" s="2" t="s">
        <v>289</v>
      </c>
      <c r="F54" s="2" t="s">
        <v>70</v>
      </c>
      <c r="H54" s="88">
        <f>H52/H53</f>
        <v>0.14124796481024429</v>
      </c>
    </row>
    <row r="55" spans="2:10">
      <c r="B55" s="1"/>
    </row>
    <row r="56" spans="2:10">
      <c r="B56" s="2" t="s">
        <v>279</v>
      </c>
      <c r="F56" s="2" t="s">
        <v>70</v>
      </c>
      <c r="H56" s="43">
        <f>H24*H27+H34*H35</f>
        <v>18627406.610521551</v>
      </c>
    </row>
    <row r="57" spans="2:10">
      <c r="B57" s="2" t="s">
        <v>284</v>
      </c>
      <c r="F57" s="2" t="s">
        <v>70</v>
      </c>
      <c r="H57" s="43">
        <f>H24+H34</f>
        <v>113379983.41</v>
      </c>
    </row>
    <row r="58" spans="2:10">
      <c r="B58" s="2" t="s">
        <v>281</v>
      </c>
      <c r="F58" s="2" t="s">
        <v>70</v>
      </c>
      <c r="H58" s="88">
        <f>H56/H57</f>
        <v>0.1642918445592102</v>
      </c>
    </row>
    <row r="60" spans="2:10">
      <c r="B60" s="2" t="s">
        <v>285</v>
      </c>
      <c r="F60" s="2" t="s">
        <v>70</v>
      </c>
      <c r="H60" s="44">
        <f>(H58-H54)*H57</f>
        <v>2612714.7036397895</v>
      </c>
      <c r="J60" s="2" t="s">
        <v>333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K28"/>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72" style="2" customWidth="1"/>
    <col min="3" max="5" width="4.5703125" style="2" customWidth="1"/>
    <col min="6" max="6" width="18.5703125" style="2" customWidth="1"/>
    <col min="7" max="7" width="2.7109375" style="2" customWidth="1"/>
    <col min="8" max="8" width="13.7109375" style="2" customWidth="1"/>
    <col min="9" max="9" width="2.7109375" style="2" customWidth="1"/>
    <col min="10" max="10" width="25.140625" style="2" customWidth="1"/>
    <col min="11" max="24" width="13.7109375" style="2" customWidth="1"/>
    <col min="25" max="16384" width="9.140625" style="2"/>
  </cols>
  <sheetData>
    <row r="2" spans="2:10" s="20" customFormat="1" ht="18">
      <c r="B2" s="20" t="s">
        <v>176</v>
      </c>
    </row>
    <row r="4" spans="2:10">
      <c r="B4" s="31" t="s">
        <v>54</v>
      </c>
      <c r="C4" s="1"/>
      <c r="D4" s="1"/>
    </row>
    <row r="5" spans="2:10">
      <c r="B5" s="26" t="s">
        <v>134</v>
      </c>
      <c r="C5" s="3"/>
      <c r="D5" s="3"/>
      <c r="H5" s="21"/>
    </row>
    <row r="6" spans="2:10">
      <c r="B6" s="26"/>
      <c r="C6" s="3"/>
      <c r="D6" s="3"/>
      <c r="H6" s="21"/>
    </row>
    <row r="8" spans="2:10" s="9" customFormat="1">
      <c r="B8" s="9" t="s">
        <v>43</v>
      </c>
      <c r="F8" s="9" t="s">
        <v>24</v>
      </c>
      <c r="H8" s="9" t="s">
        <v>25</v>
      </c>
      <c r="J8" s="9" t="s">
        <v>45</v>
      </c>
    </row>
    <row r="11" spans="2:10" s="9" customFormat="1">
      <c r="B11" s="9" t="s">
        <v>136</v>
      </c>
    </row>
    <row r="13" spans="2:10">
      <c r="B13" s="1" t="s">
        <v>334</v>
      </c>
    </row>
    <row r="14" spans="2:10">
      <c r="B14" s="2" t="s">
        <v>101</v>
      </c>
      <c r="F14" s="2" t="s">
        <v>170</v>
      </c>
      <c r="H14" s="55">
        <f>'Schatting kosten 2017 E en DW'!M37</f>
        <v>1703649.1191602575</v>
      </c>
    </row>
    <row r="15" spans="2:10">
      <c r="B15" s="2" t="s">
        <v>133</v>
      </c>
      <c r="F15" s="2" t="s">
        <v>170</v>
      </c>
      <c r="H15" s="55">
        <f>'Realisatie kosten 2017 E en DW'!M67</f>
        <v>1633882</v>
      </c>
    </row>
    <row r="17" spans="2:11">
      <c r="B17" s="1" t="s">
        <v>140</v>
      </c>
    </row>
    <row r="18" spans="2:11">
      <c r="B18" s="2" t="s">
        <v>208</v>
      </c>
      <c r="F18" s="2" t="s">
        <v>178</v>
      </c>
      <c r="H18" s="57">
        <f>'Schatting kosten 2017 E en DW'!M52</f>
        <v>1.9234586338956725</v>
      </c>
      <c r="K18" s="6"/>
    </row>
    <row r="19" spans="2:11">
      <c r="K19" s="6"/>
    </row>
    <row r="21" spans="2:11" s="9" customFormat="1">
      <c r="B21" s="9" t="s">
        <v>147</v>
      </c>
    </row>
    <row r="23" spans="2:11">
      <c r="B23" s="31" t="s">
        <v>127</v>
      </c>
    </row>
    <row r="24" spans="2:11">
      <c r="B24" s="2" t="s">
        <v>179</v>
      </c>
      <c r="F24" s="2" t="s">
        <v>70</v>
      </c>
      <c r="H24" s="43">
        <f>H14*H18</f>
        <v>3276898.6073775548</v>
      </c>
      <c r="K24" s="30"/>
    </row>
    <row r="25" spans="2:11">
      <c r="B25" s="2" t="s">
        <v>180</v>
      </c>
      <c r="F25" s="2" t="s">
        <v>70</v>
      </c>
      <c r="H25" s="43">
        <f>H15*H18</f>
        <v>3142704.4396667294</v>
      </c>
      <c r="K25" s="30"/>
    </row>
    <row r="26" spans="2:11">
      <c r="B26" s="2" t="s">
        <v>154</v>
      </c>
      <c r="F26" s="2" t="s">
        <v>70</v>
      </c>
      <c r="H26" s="43">
        <f>H25-H24</f>
        <v>-134194.16771082534</v>
      </c>
      <c r="K26" s="30"/>
    </row>
    <row r="27" spans="2:11">
      <c r="K27" s="30"/>
    </row>
    <row r="28" spans="2:11">
      <c r="B28" s="2" t="s">
        <v>155</v>
      </c>
      <c r="F28" s="2" t="s">
        <v>70</v>
      </c>
      <c r="H28" s="44">
        <f>-1*H26</f>
        <v>134194.16771082534</v>
      </c>
      <c r="J28" s="2" t="s">
        <v>156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CC"/>
  </sheetPr>
  <dimension ref="B2:O71"/>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66.710937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0.42578125" style="2" customWidth="1"/>
    <col min="14" max="14" width="2.7109375" style="2" customWidth="1"/>
    <col min="15" max="29" width="13.7109375" style="2" customWidth="1"/>
    <col min="30" max="16384" width="9.140625" style="2"/>
  </cols>
  <sheetData>
    <row r="2" spans="2:15" s="20" customFormat="1" ht="18">
      <c r="B2" s="20" t="s">
        <v>135</v>
      </c>
    </row>
    <row r="4" spans="2:15">
      <c r="B4" s="31" t="s">
        <v>54</v>
      </c>
      <c r="C4" s="1"/>
      <c r="D4" s="1"/>
    </row>
    <row r="5" spans="2:15">
      <c r="B5" s="26" t="s">
        <v>165</v>
      </c>
      <c r="C5" s="3"/>
      <c r="D5" s="3"/>
      <c r="H5" s="21"/>
    </row>
    <row r="6" spans="2:15">
      <c r="B6" s="26"/>
      <c r="C6" s="3"/>
      <c r="D6" s="3"/>
      <c r="H6" s="21"/>
    </row>
    <row r="8" spans="2:15" s="9" customFormat="1" ht="28.5" customHeight="1">
      <c r="B8" s="9" t="s">
        <v>43</v>
      </c>
      <c r="F8" s="9" t="s">
        <v>24</v>
      </c>
      <c r="H8" s="9" t="s">
        <v>25</v>
      </c>
      <c r="J8" s="9" t="s">
        <v>47</v>
      </c>
      <c r="L8" s="45" t="s">
        <v>68</v>
      </c>
      <c r="M8" s="45" t="s">
        <v>106</v>
      </c>
      <c r="O8" s="9" t="s">
        <v>45</v>
      </c>
    </row>
    <row r="11" spans="2:15" s="9" customFormat="1">
      <c r="B11" s="9" t="s">
        <v>46</v>
      </c>
    </row>
    <row r="13" spans="2:15">
      <c r="B13" s="2" t="s">
        <v>79</v>
      </c>
      <c r="F13" s="2" t="s">
        <v>84</v>
      </c>
      <c r="H13" s="65">
        <v>0.5</v>
      </c>
    </row>
    <row r="14" spans="2:15">
      <c r="B14" s="2" t="s">
        <v>302</v>
      </c>
      <c r="F14" s="2" t="s">
        <v>84</v>
      </c>
      <c r="H14" s="66">
        <f>'CPI &amp; WACC'!L18</f>
        <v>-9.0000000000000011E-3</v>
      </c>
    </row>
    <row r="15" spans="2:15">
      <c r="B15" s="2" t="s">
        <v>304</v>
      </c>
      <c r="F15" s="2" t="s">
        <v>84</v>
      </c>
      <c r="H15" s="66">
        <f>'CPI &amp; WACC'!L19</f>
        <v>6.0000000000000001E-3</v>
      </c>
    </row>
    <row r="17" spans="2:13">
      <c r="B17" s="31" t="s">
        <v>153</v>
      </c>
    </row>
    <row r="19" spans="2:13">
      <c r="B19" s="5" t="s">
        <v>82</v>
      </c>
    </row>
    <row r="20" spans="2:13">
      <c r="B20" s="2" t="s">
        <v>200</v>
      </c>
      <c r="F20" s="2" t="s">
        <v>94</v>
      </c>
      <c r="L20" s="55">
        <f>'Schatting kosten 2017 E en DW'!L14</f>
        <v>1555941.0766024489</v>
      </c>
      <c r="M20" s="55">
        <f>'Schatting kosten 2017 E en DW'!M14</f>
        <v>441165.88132888317</v>
      </c>
    </row>
    <row r="21" spans="2:13">
      <c r="B21" s="2" t="s">
        <v>201</v>
      </c>
      <c r="F21" s="2" t="s">
        <v>94</v>
      </c>
      <c r="L21" s="55">
        <f>'Schatting kosten 2017 E en DW'!L15</f>
        <v>43914.216520049813</v>
      </c>
      <c r="M21" s="55">
        <f>'Schatting kosten 2017 E en DW'!M15</f>
        <v>25266.24505345642</v>
      </c>
    </row>
    <row r="22" spans="2:13">
      <c r="B22" s="2" t="s">
        <v>83</v>
      </c>
      <c r="F22" s="2" t="s">
        <v>84</v>
      </c>
      <c r="H22" s="59">
        <f>'CPI &amp; WACC'!N26</f>
        <v>6.7400000000000002E-2</v>
      </c>
    </row>
    <row r="23" spans="2:13">
      <c r="H23" s="58"/>
    </row>
    <row r="24" spans="2:13">
      <c r="B24" s="2" t="s">
        <v>109</v>
      </c>
      <c r="F24" s="2" t="s">
        <v>94</v>
      </c>
      <c r="L24" s="55">
        <f>'Schatting kosten 2017 E en DW'!L18</f>
        <v>1285188.4274036547</v>
      </c>
      <c r="M24" s="55">
        <f>'Schatting kosten 2017 E en DW'!M18</f>
        <v>1288192.0827165882</v>
      </c>
    </row>
    <row r="25" spans="2:13">
      <c r="H25" s="58"/>
    </row>
    <row r="26" spans="2:13">
      <c r="B26" s="5" t="s">
        <v>96</v>
      </c>
      <c r="H26" s="58"/>
    </row>
    <row r="27" spans="2:13">
      <c r="B27" s="2" t="s">
        <v>72</v>
      </c>
      <c r="F27" s="2" t="s">
        <v>137</v>
      </c>
      <c r="L27" s="55">
        <f>'Schatting kosten 2017 E en DW'!L21</f>
        <v>2525432</v>
      </c>
    </row>
    <row r="28" spans="2:13">
      <c r="B28" s="2" t="s">
        <v>73</v>
      </c>
      <c r="F28" s="2" t="s">
        <v>137</v>
      </c>
      <c r="L28" s="55">
        <f>'Schatting kosten 2017 E en DW'!L22</f>
        <v>118067.04</v>
      </c>
    </row>
    <row r="29" spans="2:13">
      <c r="B29" s="2" t="s">
        <v>74</v>
      </c>
      <c r="F29" s="2" t="s">
        <v>137</v>
      </c>
      <c r="L29" s="55">
        <f>'Schatting kosten 2017 E en DW'!L23</f>
        <v>6000</v>
      </c>
    </row>
    <row r="30" spans="2:13">
      <c r="H30" s="58"/>
    </row>
    <row r="31" spans="2:13">
      <c r="H31" s="58"/>
    </row>
    <row r="32" spans="2:13">
      <c r="B32" s="31" t="s">
        <v>160</v>
      </c>
      <c r="H32" s="58"/>
    </row>
    <row r="33" spans="2:15">
      <c r="H33" s="58"/>
    </row>
    <row r="34" spans="2:15">
      <c r="B34" s="2" t="s">
        <v>69</v>
      </c>
      <c r="F34" s="2" t="s">
        <v>70</v>
      </c>
      <c r="L34" s="55">
        <f>'Realisatie kosten 2017 E en DW'!L29</f>
        <v>1487610.2677023085</v>
      </c>
      <c r="M34" s="55">
        <f>'Realisatie kosten 2017 E en DW'!M29</f>
        <v>3362215.2031275886</v>
      </c>
    </row>
    <row r="35" spans="2:15">
      <c r="B35" s="2" t="s">
        <v>71</v>
      </c>
      <c r="F35" s="2" t="s">
        <v>70</v>
      </c>
      <c r="L35" s="55">
        <f>'Realisatie kosten 2017 E en DW'!L30</f>
        <v>112117.76397272</v>
      </c>
      <c r="M35" s="55">
        <f>'Realisatie kosten 2017 E en DW'!M30</f>
        <v>252245.4529714185</v>
      </c>
    </row>
    <row r="36" spans="2:15">
      <c r="B36" s="2" t="s">
        <v>204</v>
      </c>
      <c r="F36" s="2" t="s">
        <v>70</v>
      </c>
      <c r="L36" s="55">
        <f>'Realisatie kosten 2017 E en DW'!L35</f>
        <v>45068.408254808804</v>
      </c>
      <c r="M36" s="55">
        <f>'Realisatie kosten 2017 E en DW'!M35</f>
        <v>25525.284158413888</v>
      </c>
    </row>
    <row r="37" spans="2:15">
      <c r="L37" s="58"/>
    </row>
    <row r="38" spans="2:15">
      <c r="B38" s="2" t="s">
        <v>109</v>
      </c>
      <c r="F38" s="2" t="s">
        <v>70</v>
      </c>
      <c r="L38" s="55">
        <f>'Realisatie kosten 2017 E en DW'!L23</f>
        <v>1035694.9730771444</v>
      </c>
      <c r="M38" s="55">
        <f>'Realisatie kosten 2017 E en DW'!M23</f>
        <v>1282797.8486333292</v>
      </c>
      <c r="O38" s="2" t="s">
        <v>161</v>
      </c>
    </row>
    <row r="39" spans="2:15">
      <c r="L39" s="58"/>
    </row>
    <row r="40" spans="2:15">
      <c r="B40" s="2" t="s">
        <v>151</v>
      </c>
      <c r="F40" s="2" t="s">
        <v>70</v>
      </c>
      <c r="L40" s="55">
        <f>'Realisatie kosten 2017 E en DW'!L54</f>
        <v>1659242.6200000006</v>
      </c>
    </row>
    <row r="43" spans="2:15" s="9" customFormat="1">
      <c r="B43" s="9" t="s">
        <v>110</v>
      </c>
    </row>
    <row r="45" spans="2:15">
      <c r="B45" s="31" t="s">
        <v>205</v>
      </c>
    </row>
    <row r="46" spans="2:15">
      <c r="B46" s="2" t="s">
        <v>260</v>
      </c>
      <c r="F46" s="2" t="s">
        <v>70</v>
      </c>
      <c r="L46" s="55">
        <f>'Realisatie kosten 2017 E en DW'!L38</f>
        <v>15781.311569860231</v>
      </c>
      <c r="M46" s="55">
        <f>'Realisatie kosten 2017 E en DW'!M38</f>
        <v>20568.805824835341</v>
      </c>
      <c r="O46" s="2" t="s">
        <v>336</v>
      </c>
    </row>
    <row r="48" spans="2:15">
      <c r="B48" s="1" t="s">
        <v>152</v>
      </c>
    </row>
    <row r="49" spans="2:15">
      <c r="B49" s="2" t="s">
        <v>271</v>
      </c>
      <c r="F49" s="2" t="s">
        <v>70</v>
      </c>
      <c r="L49" s="43">
        <f>(L20*$H$22+L21)*(1+$H$14)*(1+$H$15)+L46</f>
        <v>164111.56834683145</v>
      </c>
      <c r="M49" s="43">
        <f>(M20*$H$22+M21)*(1+$H$14)*(1+$H$15)+M46</f>
        <v>75401.658758918842</v>
      </c>
      <c r="O49" s="2" t="s">
        <v>337</v>
      </c>
    </row>
    <row r="50" spans="2:15">
      <c r="B50" s="2" t="s">
        <v>158</v>
      </c>
      <c r="F50" s="2" t="s">
        <v>70</v>
      </c>
      <c r="L50" s="43">
        <f>L24*(1+$H$14)*(1+$H$15)</f>
        <v>1281263.461946364</v>
      </c>
      <c r="M50" s="43">
        <f>M24*(1+$H$14)*(1+$H$15)</f>
        <v>1284257.9440959718</v>
      </c>
    </row>
    <row r="51" spans="2:15">
      <c r="B51" s="2" t="s">
        <v>159</v>
      </c>
      <c r="F51" s="2" t="s">
        <v>70</v>
      </c>
      <c r="L51" s="43">
        <f>(L27+L28+L29)*(1+$H$15)</f>
        <v>2665396.0342399999</v>
      </c>
      <c r="M51" s="67"/>
    </row>
    <row r="52" spans="2:15">
      <c r="B52" s="2" t="s">
        <v>162</v>
      </c>
      <c r="F52" s="2" t="s">
        <v>70</v>
      </c>
      <c r="L52" s="43">
        <f>SUM(L49:L51)</f>
        <v>4110771.0645331955</v>
      </c>
      <c r="M52" s="43">
        <f>SUM(M49:M51)</f>
        <v>1359659.6028548905</v>
      </c>
    </row>
    <row r="55" spans="2:15" s="9" customFormat="1">
      <c r="B55" s="9" t="s">
        <v>163</v>
      </c>
    </row>
    <row r="57" spans="2:15">
      <c r="B57" s="1" t="s">
        <v>166</v>
      </c>
    </row>
    <row r="58" spans="2:15">
      <c r="B58" s="2" t="s">
        <v>157</v>
      </c>
      <c r="F58" s="2" t="s">
        <v>70</v>
      </c>
      <c r="L58" s="68">
        <f>L34*$H$22+L35</f>
        <v>212382.69601585559</v>
      </c>
      <c r="M58" s="68">
        <f>M34*$H$22+M35</f>
        <v>478858.75766221795</v>
      </c>
    </row>
    <row r="59" spans="2:15">
      <c r="B59" s="2" t="s">
        <v>158</v>
      </c>
      <c r="F59" s="2" t="s">
        <v>70</v>
      </c>
      <c r="L59" s="69">
        <f>L38</f>
        <v>1035694.9730771444</v>
      </c>
      <c r="M59" s="69">
        <f>M38</f>
        <v>1282797.8486333292</v>
      </c>
      <c r="O59" s="2" t="s">
        <v>206</v>
      </c>
    </row>
    <row r="60" spans="2:15">
      <c r="B60" s="2" t="s">
        <v>159</v>
      </c>
      <c r="F60" s="2" t="s">
        <v>70</v>
      </c>
      <c r="L60" s="69">
        <f>L40</f>
        <v>1659242.6200000006</v>
      </c>
      <c r="M60" s="70"/>
    </row>
    <row r="61" spans="2:15">
      <c r="B61" s="2" t="s">
        <v>168</v>
      </c>
      <c r="F61" s="2" t="s">
        <v>70</v>
      </c>
      <c r="L61" s="69">
        <f>L36</f>
        <v>45068.408254808804</v>
      </c>
      <c r="M61" s="69">
        <f>M36</f>
        <v>25525.284158413888</v>
      </c>
      <c r="O61" s="30"/>
    </row>
    <row r="62" spans="2:15">
      <c r="B62" s="2" t="s">
        <v>167</v>
      </c>
      <c r="F62" s="2" t="s">
        <v>70</v>
      </c>
      <c r="L62" s="43">
        <f>SUM(L58:L61)</f>
        <v>2952388.6973478096</v>
      </c>
      <c r="M62" s="43">
        <f>SUM(M58:M61)</f>
        <v>1787181.890453961</v>
      </c>
    </row>
    <row r="65" spans="2:15" s="9" customFormat="1">
      <c r="B65" s="9" t="s">
        <v>77</v>
      </c>
    </row>
    <row r="67" spans="2:15">
      <c r="B67" s="31" t="s">
        <v>77</v>
      </c>
    </row>
    <row r="68" spans="2:15">
      <c r="B68" s="2" t="s">
        <v>207</v>
      </c>
      <c r="F68" s="2" t="s">
        <v>70</v>
      </c>
      <c r="L68" s="55">
        <f>L52</f>
        <v>4110771.0645331955</v>
      </c>
      <c r="M68" s="55">
        <f>M52</f>
        <v>1359659.6028548905</v>
      </c>
      <c r="O68" s="2" t="s">
        <v>272</v>
      </c>
    </row>
    <row r="69" spans="2:15">
      <c r="B69" s="2" t="s">
        <v>164</v>
      </c>
      <c r="F69" s="2" t="s">
        <v>70</v>
      </c>
      <c r="L69" s="55">
        <f>L62</f>
        <v>2952388.6973478096</v>
      </c>
      <c r="M69" s="55">
        <f>M62</f>
        <v>1787181.890453961</v>
      </c>
    </row>
    <row r="70" spans="2:15">
      <c r="B70" s="2" t="s">
        <v>78</v>
      </c>
      <c r="F70" s="2" t="s">
        <v>70</v>
      </c>
      <c r="L70" s="43">
        <f>L69-L68</f>
        <v>-1158382.3671853859</v>
      </c>
      <c r="M70" s="43">
        <f>M69-M68</f>
        <v>427522.28759907046</v>
      </c>
    </row>
    <row r="71" spans="2:15">
      <c r="B71" s="2" t="s">
        <v>80</v>
      </c>
      <c r="F71" s="2" t="s">
        <v>70</v>
      </c>
      <c r="L71" s="44">
        <f>$H$13*L70</f>
        <v>-579191.18359269295</v>
      </c>
      <c r="M71" s="44">
        <f>$H$13*M70</f>
        <v>213761.14379953523</v>
      </c>
    </row>
  </sheetData>
  <pageMargins left="0.7" right="0.7" top="0.75" bottom="0.75" header="0.3" footer="0.3"/>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B2:L124"/>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75.85546875" style="2" customWidth="1"/>
    <col min="3" max="5" width="4.5703125" style="2" customWidth="1"/>
    <col min="6" max="6" width="13.7109375" style="2" customWidth="1"/>
    <col min="7" max="7" width="2.7109375" style="2" customWidth="1"/>
    <col min="8" max="8" width="20.42578125" style="2" customWidth="1"/>
    <col min="9" max="9" width="2.7109375" style="2" customWidth="1"/>
    <col min="10" max="24" width="13.7109375" style="2" customWidth="1"/>
    <col min="25" max="16384" width="9.140625" style="2"/>
  </cols>
  <sheetData>
    <row r="2" spans="2:10" s="20" customFormat="1" ht="18">
      <c r="B2" s="20" t="s">
        <v>256</v>
      </c>
    </row>
    <row r="4" spans="2:10">
      <c r="B4" s="31" t="s">
        <v>54</v>
      </c>
      <c r="C4" s="1"/>
      <c r="D4" s="1"/>
    </row>
    <row r="5" spans="2:10">
      <c r="B5" s="26" t="s">
        <v>228</v>
      </c>
      <c r="C5" s="3"/>
      <c r="D5" s="3"/>
    </row>
    <row r="6" spans="2:10">
      <c r="B6" s="26"/>
      <c r="C6" s="3"/>
      <c r="D6" s="3"/>
    </row>
    <row r="8" spans="2:10" s="9" customFormat="1">
      <c r="B8" s="9" t="s">
        <v>43</v>
      </c>
      <c r="F8" s="9" t="s">
        <v>24</v>
      </c>
      <c r="H8" s="9" t="s">
        <v>25</v>
      </c>
      <c r="J8" s="9" t="s">
        <v>45</v>
      </c>
    </row>
    <row r="11" spans="2:10" s="9" customFormat="1">
      <c r="B11" s="9" t="s">
        <v>46</v>
      </c>
    </row>
    <row r="13" spans="2:10">
      <c r="B13" s="31" t="s">
        <v>231</v>
      </c>
    </row>
    <row r="14" spans="2:10">
      <c r="B14" s="2" t="s">
        <v>103</v>
      </c>
      <c r="F14" s="2" t="s">
        <v>104</v>
      </c>
      <c r="H14" s="74">
        <f>'Schatting kosten 2017 E en DW'!L43</f>
        <v>0.27500000000000002</v>
      </c>
    </row>
    <row r="15" spans="2:10">
      <c r="B15" s="2" t="s">
        <v>234</v>
      </c>
      <c r="F15" s="2" t="s">
        <v>65</v>
      </c>
      <c r="H15" s="55">
        <f>'Schatting kosten 2017 E en DW'!L30</f>
        <v>229950</v>
      </c>
    </row>
    <row r="16" spans="2:10">
      <c r="B16" s="2" t="s">
        <v>258</v>
      </c>
      <c r="F16" s="2" t="s">
        <v>65</v>
      </c>
      <c r="H16" s="55">
        <f>'Schatting kosten 2017 E en DW'!L31</f>
        <v>4891530.53606926</v>
      </c>
    </row>
    <row r="17" spans="2:12">
      <c r="B17" s="2" t="s">
        <v>101</v>
      </c>
      <c r="F17" s="2" t="s">
        <v>65</v>
      </c>
      <c r="H17" s="43">
        <f>H15+H16</f>
        <v>5121480.53606926</v>
      </c>
    </row>
    <row r="18" spans="2:12">
      <c r="B18" s="2" t="s">
        <v>238</v>
      </c>
      <c r="F18" s="42" t="s">
        <v>84</v>
      </c>
      <c r="H18" s="75">
        <f>H16/H17</f>
        <v>0.95510087397959986</v>
      </c>
    </row>
    <row r="19" spans="2:12">
      <c r="B19" s="31"/>
    </row>
    <row r="20" spans="2:12">
      <c r="B20" s="31" t="s">
        <v>235</v>
      </c>
      <c r="I20" s="10"/>
      <c r="J20" s="10"/>
      <c r="K20" s="10"/>
      <c r="L20" s="10"/>
    </row>
    <row r="21" spans="2:12">
      <c r="B21" s="73" t="s">
        <v>232</v>
      </c>
      <c r="F21" s="2" t="s">
        <v>236</v>
      </c>
      <c r="H21" s="57">
        <f>'Brandstofkosten en volume E'!L29</f>
        <v>0.58799999999999997</v>
      </c>
      <c r="I21" s="10"/>
      <c r="J21" s="10"/>
      <c r="K21" s="79"/>
      <c r="L21" s="10"/>
    </row>
    <row r="22" spans="2:12">
      <c r="B22" s="29" t="s">
        <v>233</v>
      </c>
      <c r="F22" s="2" t="s">
        <v>236</v>
      </c>
      <c r="H22" s="57">
        <f>'Brandstofkosten en volume E'!L30</f>
        <v>0.58099999999999996</v>
      </c>
      <c r="I22" s="10"/>
      <c r="J22" s="10"/>
      <c r="K22" s="79"/>
      <c r="L22" s="10"/>
    </row>
    <row r="23" spans="2:12">
      <c r="B23" s="2" t="s">
        <v>211</v>
      </c>
      <c r="F23" s="2" t="s">
        <v>236</v>
      </c>
      <c r="H23" s="57">
        <f>'Brandstofkosten en volume E'!L31</f>
        <v>0.59</v>
      </c>
      <c r="I23" s="10"/>
      <c r="J23" s="10"/>
      <c r="K23" s="80"/>
      <c r="L23" s="10"/>
    </row>
    <row r="24" spans="2:12">
      <c r="B24" s="2" t="s">
        <v>212</v>
      </c>
      <c r="F24" s="2" t="s">
        <v>236</v>
      </c>
      <c r="H24" s="57">
        <f>'Brandstofkosten en volume E'!L32</f>
        <v>0.65060000000000007</v>
      </c>
      <c r="I24" s="10"/>
      <c r="J24" s="10"/>
      <c r="K24" s="79"/>
      <c r="L24" s="10"/>
    </row>
    <row r="25" spans="2:12">
      <c r="B25" s="2" t="s">
        <v>213</v>
      </c>
      <c r="F25" s="2" t="s">
        <v>236</v>
      </c>
      <c r="H25" s="57">
        <f>'Brandstofkosten en volume E'!L33</f>
        <v>0.624</v>
      </c>
      <c r="I25" s="10"/>
      <c r="J25" s="10"/>
      <c r="K25" s="80"/>
      <c r="L25" s="10"/>
    </row>
    <row r="26" spans="2:12">
      <c r="B26" s="2" t="s">
        <v>214</v>
      </c>
      <c r="F26" s="2" t="s">
        <v>236</v>
      </c>
      <c r="H26" s="57">
        <f>'Brandstofkosten en volume E'!L34</f>
        <v>0.65</v>
      </c>
      <c r="I26" s="10"/>
      <c r="J26" s="10"/>
      <c r="K26" s="80"/>
      <c r="L26" s="10"/>
    </row>
    <row r="27" spans="2:12">
      <c r="B27" s="2" t="s">
        <v>215</v>
      </c>
      <c r="F27" s="2" t="s">
        <v>236</v>
      </c>
      <c r="H27" s="57">
        <f>'Brandstofkosten en volume E'!L35</f>
        <v>0.66</v>
      </c>
      <c r="I27" s="10"/>
      <c r="J27" s="10"/>
      <c r="K27" s="10"/>
      <c r="L27" s="10"/>
    </row>
    <row r="28" spans="2:12">
      <c r="B28" s="2" t="s">
        <v>216</v>
      </c>
      <c r="F28" s="2" t="s">
        <v>236</v>
      </c>
      <c r="H28" s="57">
        <f>'Brandstofkosten en volume E'!L36</f>
        <v>0.65999999999999992</v>
      </c>
    </row>
    <row r="29" spans="2:12">
      <c r="B29" s="2" t="s">
        <v>217</v>
      </c>
      <c r="F29" s="2" t="s">
        <v>236</v>
      </c>
      <c r="H29" s="57">
        <f>'Brandstofkosten en volume E'!L37</f>
        <v>0.65999999999999992</v>
      </c>
    </row>
    <row r="30" spans="2:12">
      <c r="B30" s="2" t="s">
        <v>218</v>
      </c>
      <c r="F30" s="2" t="s">
        <v>236</v>
      </c>
      <c r="H30" s="57">
        <f>'Brandstofkosten en volume E'!L38</f>
        <v>0.66359999999999997</v>
      </c>
    </row>
    <row r="31" spans="2:12">
      <c r="B31" s="2" t="s">
        <v>219</v>
      </c>
      <c r="F31" s="2" t="s">
        <v>236</v>
      </c>
      <c r="H31" s="57">
        <f>'Brandstofkosten en volume E'!L39</f>
        <v>0.67879999999999996</v>
      </c>
    </row>
    <row r="32" spans="2:12">
      <c r="B32" s="2" t="s">
        <v>220</v>
      </c>
      <c r="F32" s="2" t="s">
        <v>236</v>
      </c>
      <c r="H32" s="57">
        <f>'Brandstofkosten en volume E'!L40</f>
        <v>0.71530000000000005</v>
      </c>
    </row>
    <row r="33" spans="2:8">
      <c r="B33" s="2" t="s">
        <v>221</v>
      </c>
      <c r="F33" s="2" t="s">
        <v>236</v>
      </c>
      <c r="H33" s="57">
        <f>'Brandstofkosten en volume E'!L41</f>
        <v>0.72499999999999998</v>
      </c>
    </row>
    <row r="34" spans="2:8">
      <c r="B34" s="2" t="s">
        <v>222</v>
      </c>
      <c r="F34" s="2" t="s">
        <v>236</v>
      </c>
      <c r="H34" s="57">
        <f>'Brandstofkosten en volume E'!L42</f>
        <v>0.70469999999999999</v>
      </c>
    </row>
    <row r="36" spans="2:8">
      <c r="B36" s="1" t="s">
        <v>239</v>
      </c>
    </row>
    <row r="37" spans="2:8">
      <c r="B37" s="2" t="s">
        <v>211</v>
      </c>
      <c r="F37" s="2" t="s">
        <v>65</v>
      </c>
      <c r="H37" s="55">
        <f>'Brandstofkosten en volume E'!L80</f>
        <v>283999</v>
      </c>
    </row>
    <row r="38" spans="2:8">
      <c r="B38" s="2" t="s">
        <v>212</v>
      </c>
      <c r="F38" s="2" t="s">
        <v>65</v>
      </c>
      <c r="H38" s="55">
        <f>'Brandstofkosten en volume E'!L81</f>
        <v>300347</v>
      </c>
    </row>
    <row r="39" spans="2:8">
      <c r="B39" s="2" t="s">
        <v>213</v>
      </c>
      <c r="F39" s="2" t="s">
        <v>65</v>
      </c>
      <c r="H39" s="55">
        <f>'Brandstofkosten en volume E'!L82</f>
        <v>373931</v>
      </c>
    </row>
    <row r="40" spans="2:8">
      <c r="B40" s="2" t="s">
        <v>214</v>
      </c>
      <c r="F40" s="2" t="s">
        <v>65</v>
      </c>
      <c r="H40" s="55">
        <f>'Brandstofkosten en volume E'!L83</f>
        <v>197410</v>
      </c>
    </row>
    <row r="41" spans="2:8">
      <c r="B41" s="2" t="s">
        <v>215</v>
      </c>
      <c r="F41" s="2" t="s">
        <v>65</v>
      </c>
      <c r="H41" s="55">
        <f>'Brandstofkosten en volume E'!L84</f>
        <v>366663</v>
      </c>
    </row>
    <row r="42" spans="2:8">
      <c r="B42" s="2" t="s">
        <v>216</v>
      </c>
      <c r="F42" s="2" t="s">
        <v>65</v>
      </c>
      <c r="H42" s="55">
        <f>'Brandstofkosten en volume E'!L85</f>
        <v>211662</v>
      </c>
    </row>
    <row r="43" spans="2:8">
      <c r="B43" s="2" t="s">
        <v>217</v>
      </c>
      <c r="F43" s="2" t="s">
        <v>65</v>
      </c>
      <c r="H43" s="55">
        <f>'Brandstofkosten en volume E'!L86</f>
        <v>751026.9999999993</v>
      </c>
    </row>
    <row r="44" spans="2:8">
      <c r="B44" s="2" t="s">
        <v>218</v>
      </c>
      <c r="F44" s="2" t="s">
        <v>65</v>
      </c>
      <c r="H44" s="55">
        <f>'Brandstofkosten en volume E'!L87</f>
        <v>1160484.2799999998</v>
      </c>
    </row>
    <row r="45" spans="2:8">
      <c r="B45" s="2" t="s">
        <v>219</v>
      </c>
      <c r="F45" s="2" t="s">
        <v>65</v>
      </c>
      <c r="H45" s="55">
        <f>'Brandstofkosten en volume E'!L88</f>
        <v>1767678.3200000003</v>
      </c>
    </row>
    <row r="46" spans="2:8">
      <c r="B46" s="2" t="s">
        <v>220</v>
      </c>
      <c r="F46" s="2" t="s">
        <v>65</v>
      </c>
      <c r="H46" s="55">
        <f>'Brandstofkosten en volume E'!L89</f>
        <v>1615181.32</v>
      </c>
    </row>
    <row r="47" spans="2:8">
      <c r="B47" s="2" t="s">
        <v>221</v>
      </c>
      <c r="F47" s="2" t="s">
        <v>65</v>
      </c>
      <c r="H47" s="55">
        <f>'Brandstofkosten en volume E'!L90</f>
        <v>1165990.0599999996</v>
      </c>
    </row>
    <row r="48" spans="2:8">
      <c r="B48" s="2" t="s">
        <v>222</v>
      </c>
      <c r="F48" s="2" t="s">
        <v>65</v>
      </c>
      <c r="H48" s="55">
        <f>'Brandstofkosten en volume E'!L91</f>
        <v>782687.43000000028</v>
      </c>
    </row>
    <row r="50" spans="2:8">
      <c r="B50" s="1" t="s">
        <v>248</v>
      </c>
    </row>
    <row r="51" spans="2:8">
      <c r="B51" s="2" t="s">
        <v>211</v>
      </c>
      <c r="F51" s="2" t="s">
        <v>65</v>
      </c>
      <c r="H51" s="55">
        <f>'Brandstofkosten en volume E'!L46</f>
        <v>256045</v>
      </c>
    </row>
    <row r="52" spans="2:8">
      <c r="B52" s="2" t="s">
        <v>212</v>
      </c>
      <c r="F52" s="2" t="s">
        <v>65</v>
      </c>
      <c r="H52" s="55">
        <f>'Brandstofkosten en volume E'!L47</f>
        <v>273069</v>
      </c>
    </row>
    <row r="53" spans="2:8">
      <c r="B53" s="2" t="s">
        <v>213</v>
      </c>
      <c r="F53" s="2" t="s">
        <v>65</v>
      </c>
      <c r="H53" s="55">
        <f>'Brandstofkosten en volume E'!L48</f>
        <v>346246</v>
      </c>
    </row>
    <row r="54" spans="2:8">
      <c r="B54" s="2" t="s">
        <v>214</v>
      </c>
      <c r="F54" s="2" t="s">
        <v>65</v>
      </c>
      <c r="H54" s="55">
        <f>'Brandstofkosten en volume E'!L49</f>
        <v>169290</v>
      </c>
    </row>
    <row r="55" spans="2:8">
      <c r="B55" s="2" t="s">
        <v>215</v>
      </c>
      <c r="F55" s="2" t="s">
        <v>65</v>
      </c>
      <c r="H55" s="55">
        <f>'Brandstofkosten en volume E'!L50</f>
        <v>339730</v>
      </c>
    </row>
    <row r="56" spans="2:8">
      <c r="B56" s="2" t="s">
        <v>216</v>
      </c>
      <c r="F56" s="2" t="s">
        <v>65</v>
      </c>
      <c r="H56" s="55">
        <f>'Brandstofkosten en volume E'!L51</f>
        <v>187520</v>
      </c>
    </row>
    <row r="57" spans="2:8">
      <c r="B57" s="2" t="s">
        <v>217</v>
      </c>
      <c r="F57" s="2" t="s">
        <v>65</v>
      </c>
      <c r="H57" s="55">
        <f>'Brandstofkosten en volume E'!L52</f>
        <v>721549.9999999993</v>
      </c>
    </row>
    <row r="58" spans="2:8">
      <c r="B58" s="2" t="s">
        <v>218</v>
      </c>
      <c r="F58" s="2" t="s">
        <v>65</v>
      </c>
      <c r="H58" s="55">
        <f>'Brandstofkosten en volume E'!L53</f>
        <v>1131977.2799999998</v>
      </c>
    </row>
    <row r="59" spans="2:8">
      <c r="B59" s="2" t="s">
        <v>219</v>
      </c>
      <c r="F59" s="2" t="s">
        <v>65</v>
      </c>
      <c r="H59" s="55">
        <f>'Brandstofkosten en volume E'!L54</f>
        <v>1738280.3200000003</v>
      </c>
    </row>
    <row r="60" spans="2:8">
      <c r="B60" s="2" t="s">
        <v>220</v>
      </c>
      <c r="F60" s="2" t="s">
        <v>65</v>
      </c>
      <c r="H60" s="55">
        <f>'Brandstofkosten en volume E'!L55</f>
        <v>1587160.32</v>
      </c>
    </row>
    <row r="61" spans="2:8">
      <c r="B61" s="2" t="s">
        <v>221</v>
      </c>
      <c r="F61" s="2" t="s">
        <v>65</v>
      </c>
      <c r="H61" s="55">
        <f>'Brandstofkosten en volume E'!L56</f>
        <v>1139650.0599999996</v>
      </c>
    </row>
    <row r="62" spans="2:8">
      <c r="B62" s="2" t="s">
        <v>222</v>
      </c>
      <c r="F62" s="2" t="s">
        <v>65</v>
      </c>
      <c r="H62" s="55">
        <f>'Brandstofkosten en volume E'!L57</f>
        <v>758046.43000000028</v>
      </c>
    </row>
    <row r="65" spans="2:8" s="9" customFormat="1">
      <c r="B65" s="9" t="s">
        <v>229</v>
      </c>
    </row>
    <row r="67" spans="2:8">
      <c r="B67" s="1" t="s">
        <v>230</v>
      </c>
    </row>
    <row r="68" spans="2:8">
      <c r="B68" s="2" t="s">
        <v>237</v>
      </c>
    </row>
    <row r="70" spans="2:8">
      <c r="B70" s="2" t="s">
        <v>211</v>
      </c>
      <c r="F70" s="2" t="s">
        <v>66</v>
      </c>
      <c r="H70" s="76">
        <f>$H$14*H21*$H$18</f>
        <v>0.15443981132250131</v>
      </c>
    </row>
    <row r="71" spans="2:8">
      <c r="B71" s="2" t="s">
        <v>212</v>
      </c>
      <c r="F71" s="2" t="s">
        <v>66</v>
      </c>
      <c r="H71" s="76">
        <f t="shared" ref="H71:H81" si="0">$H$14*H22*$H$18</f>
        <v>0.15260124214009058</v>
      </c>
    </row>
    <row r="72" spans="2:8">
      <c r="B72" s="2" t="s">
        <v>213</v>
      </c>
      <c r="F72" s="2" t="s">
        <v>66</v>
      </c>
      <c r="H72" s="76">
        <f t="shared" si="0"/>
        <v>0.15496511680319008</v>
      </c>
    </row>
    <row r="73" spans="2:8">
      <c r="B73" s="2" t="s">
        <v>214</v>
      </c>
      <c r="F73" s="2" t="s">
        <v>66</v>
      </c>
      <c r="H73" s="76">
        <f t="shared" si="0"/>
        <v>0.17088187286806014</v>
      </c>
    </row>
    <row r="74" spans="2:8">
      <c r="B74" s="2" t="s">
        <v>215</v>
      </c>
      <c r="F74" s="2" t="s">
        <v>66</v>
      </c>
      <c r="H74" s="76">
        <f t="shared" si="0"/>
        <v>0.16389530997489934</v>
      </c>
    </row>
    <row r="75" spans="2:8">
      <c r="B75" s="2" t="s">
        <v>216</v>
      </c>
      <c r="F75" s="2" t="s">
        <v>66</v>
      </c>
      <c r="H75" s="76">
        <f t="shared" si="0"/>
        <v>0.1707242812238535</v>
      </c>
    </row>
    <row r="76" spans="2:8">
      <c r="B76" s="2" t="s">
        <v>217</v>
      </c>
      <c r="F76" s="2" t="s">
        <v>66</v>
      </c>
      <c r="H76" s="76">
        <f t="shared" si="0"/>
        <v>0.1733508086272974</v>
      </c>
    </row>
    <row r="77" spans="2:8">
      <c r="B77" s="2" t="s">
        <v>218</v>
      </c>
      <c r="F77" s="2" t="s">
        <v>66</v>
      </c>
      <c r="H77" s="76">
        <f t="shared" si="0"/>
        <v>0.17335080862729738</v>
      </c>
    </row>
    <row r="78" spans="2:8">
      <c r="B78" s="2" t="s">
        <v>219</v>
      </c>
      <c r="F78" s="2" t="s">
        <v>66</v>
      </c>
      <c r="H78" s="76">
        <f t="shared" si="0"/>
        <v>0.17335080862729738</v>
      </c>
    </row>
    <row r="79" spans="2:8">
      <c r="B79" s="2" t="s">
        <v>220</v>
      </c>
      <c r="F79" s="2" t="s">
        <v>66</v>
      </c>
      <c r="H79" s="76">
        <f t="shared" si="0"/>
        <v>0.17429635849253719</v>
      </c>
    </row>
    <row r="80" spans="2:8">
      <c r="B80" s="2" t="s">
        <v>221</v>
      </c>
      <c r="F80" s="2" t="s">
        <v>66</v>
      </c>
      <c r="H80" s="76">
        <f t="shared" si="0"/>
        <v>0.1782886801457719</v>
      </c>
    </row>
    <row r="81" spans="2:8">
      <c r="B81" s="2" t="s">
        <v>222</v>
      </c>
      <c r="F81" s="2" t="s">
        <v>66</v>
      </c>
      <c r="H81" s="76">
        <f t="shared" si="0"/>
        <v>0.18787550516834217</v>
      </c>
    </row>
    <row r="83" spans="2:8">
      <c r="B83" s="1" t="s">
        <v>244</v>
      </c>
    </row>
    <row r="84" spans="2:8">
      <c r="B84" s="85" t="s">
        <v>246</v>
      </c>
    </row>
    <row r="85" spans="2:8">
      <c r="B85" s="2" t="s">
        <v>211</v>
      </c>
      <c r="F85" s="2" t="s">
        <v>70</v>
      </c>
      <c r="H85" s="83">
        <f>H37*H70</f>
        <v>43860.751975779051</v>
      </c>
    </row>
    <row r="86" spans="2:8">
      <c r="B86" s="2" t="s">
        <v>212</v>
      </c>
      <c r="F86" s="2" t="s">
        <v>70</v>
      </c>
      <c r="H86" s="83">
        <f t="shared" ref="H86:H96" si="1">H38*H71</f>
        <v>45833.325273049784</v>
      </c>
    </row>
    <row r="87" spans="2:8">
      <c r="B87" s="2" t="s">
        <v>213</v>
      </c>
      <c r="F87" s="2" t="s">
        <v>70</v>
      </c>
      <c r="H87" s="83">
        <f t="shared" si="1"/>
        <v>57946.261091333668</v>
      </c>
    </row>
    <row r="88" spans="2:8">
      <c r="B88" s="2" t="s">
        <v>214</v>
      </c>
      <c r="F88" s="2" t="s">
        <v>70</v>
      </c>
      <c r="H88" s="83">
        <f t="shared" si="1"/>
        <v>33733.790522883755</v>
      </c>
    </row>
    <row r="89" spans="2:8">
      <c r="B89" s="2" t="s">
        <v>215</v>
      </c>
      <c r="F89" s="2" t="s">
        <v>70</v>
      </c>
      <c r="H89" s="83">
        <f t="shared" si="1"/>
        <v>60094.34604132652</v>
      </c>
    </row>
    <row r="90" spans="2:8">
      <c r="B90" s="2" t="s">
        <v>216</v>
      </c>
      <c r="F90" s="2" t="s">
        <v>70</v>
      </c>
      <c r="H90" s="83">
        <f t="shared" si="1"/>
        <v>36135.84281240328</v>
      </c>
    </row>
    <row r="91" spans="2:8">
      <c r="B91" s="2" t="s">
        <v>217</v>
      </c>
      <c r="F91" s="2" t="s">
        <v>70</v>
      </c>
      <c r="H91" s="83">
        <f t="shared" si="1"/>
        <v>130191.13775093317</v>
      </c>
    </row>
    <row r="92" spans="2:8">
      <c r="B92" s="2" t="s">
        <v>218</v>
      </c>
      <c r="F92" s="2" t="s">
        <v>70</v>
      </c>
      <c r="H92" s="83">
        <f t="shared" si="1"/>
        <v>201170.88833726695</v>
      </c>
    </row>
    <row r="93" spans="2:8">
      <c r="B93" s="2" t="s">
        <v>219</v>
      </c>
      <c r="F93" s="2" t="s">
        <v>70</v>
      </c>
      <c r="H93" s="83">
        <f t="shared" si="1"/>
        <v>306428.4661649426</v>
      </c>
    </row>
    <row r="94" spans="2:8">
      <c r="B94" s="2" t="s">
        <v>220</v>
      </c>
      <c r="F94" s="2" t="s">
        <v>70</v>
      </c>
      <c r="H94" s="83">
        <f t="shared" si="1"/>
        <v>281520.22238116944</v>
      </c>
    </row>
    <row r="95" spans="2:8">
      <c r="B95" s="2" t="s">
        <v>221</v>
      </c>
      <c r="F95" s="2" t="s">
        <v>70</v>
      </c>
      <c r="H95" s="83">
        <f t="shared" si="1"/>
        <v>207882.8288604893</v>
      </c>
    </row>
    <row r="96" spans="2:8">
      <c r="B96" s="2" t="s">
        <v>222</v>
      </c>
      <c r="F96" s="2" t="s">
        <v>70</v>
      </c>
      <c r="H96" s="83">
        <f t="shared" si="1"/>
        <v>147047.79630016151</v>
      </c>
    </row>
    <row r="97" spans="2:8">
      <c r="B97" s="1" t="s">
        <v>245</v>
      </c>
      <c r="F97" s="2" t="s">
        <v>70</v>
      </c>
      <c r="H97" s="84">
        <f>SUM(H85:H96)</f>
        <v>1551845.6575117391</v>
      </c>
    </row>
    <row r="99" spans="2:8" s="9" customFormat="1">
      <c r="B99" s="9" t="s">
        <v>247</v>
      </c>
    </row>
    <row r="101" spans="2:8">
      <c r="B101" s="1" t="s">
        <v>249</v>
      </c>
    </row>
    <row r="102" spans="2:8">
      <c r="B102" s="5" t="s">
        <v>250</v>
      </c>
    </row>
    <row r="104" spans="2:8">
      <c r="B104" s="2" t="s">
        <v>211</v>
      </c>
      <c r="F104" s="2" t="s">
        <v>70</v>
      </c>
      <c r="H104" s="83">
        <f>$H$14*H23*H51</f>
        <v>41543.301250000004</v>
      </c>
    </row>
    <row r="105" spans="2:8">
      <c r="B105" s="2" t="s">
        <v>212</v>
      </c>
      <c r="F105" s="2" t="s">
        <v>70</v>
      </c>
      <c r="H105" s="83">
        <f t="shared" ref="H105:H115" si="2">$H$14*H24*H52</f>
        <v>48856.140135000016</v>
      </c>
    </row>
    <row r="106" spans="2:8">
      <c r="B106" s="2" t="s">
        <v>213</v>
      </c>
      <c r="F106" s="2" t="s">
        <v>70</v>
      </c>
      <c r="H106" s="83">
        <f t="shared" si="2"/>
        <v>59415.813600000001</v>
      </c>
    </row>
    <row r="107" spans="2:8">
      <c r="B107" s="2" t="s">
        <v>214</v>
      </c>
      <c r="F107" s="2" t="s">
        <v>70</v>
      </c>
      <c r="H107" s="83">
        <f t="shared" si="2"/>
        <v>30260.587500000005</v>
      </c>
    </row>
    <row r="108" spans="2:8">
      <c r="B108" s="2" t="s">
        <v>215</v>
      </c>
      <c r="F108" s="2" t="s">
        <v>70</v>
      </c>
      <c r="H108" s="83">
        <f t="shared" si="2"/>
        <v>61660.99500000001</v>
      </c>
    </row>
    <row r="109" spans="2:8">
      <c r="B109" s="2" t="s">
        <v>216</v>
      </c>
      <c r="F109" s="2" t="s">
        <v>70</v>
      </c>
      <c r="H109" s="83">
        <f t="shared" si="2"/>
        <v>34034.879999999997</v>
      </c>
    </row>
    <row r="110" spans="2:8">
      <c r="B110" s="2" t="s">
        <v>217</v>
      </c>
      <c r="F110" s="2" t="s">
        <v>70</v>
      </c>
      <c r="H110" s="83">
        <f t="shared" si="2"/>
        <v>130961.32499999987</v>
      </c>
    </row>
    <row r="111" spans="2:8">
      <c r="B111" s="2" t="s">
        <v>218</v>
      </c>
      <c r="F111" s="2" t="s">
        <v>70</v>
      </c>
      <c r="H111" s="83">
        <f t="shared" si="2"/>
        <v>206574.53382719998</v>
      </c>
    </row>
    <row r="112" spans="2:8">
      <c r="B112" s="2" t="s">
        <v>219</v>
      </c>
      <c r="F112" s="2" t="s">
        <v>70</v>
      </c>
      <c r="H112" s="83">
        <f t="shared" si="2"/>
        <v>324484.78733440005</v>
      </c>
    </row>
    <row r="113" spans="2:8">
      <c r="B113" s="2" t="s">
        <v>220</v>
      </c>
      <c r="F113" s="2" t="s">
        <v>70</v>
      </c>
      <c r="H113" s="83">
        <f t="shared" si="2"/>
        <v>312206.33864640008</v>
      </c>
    </row>
    <row r="114" spans="2:8">
      <c r="B114" s="2" t="s">
        <v>221</v>
      </c>
      <c r="F114" s="2" t="s">
        <v>70</v>
      </c>
      <c r="H114" s="83">
        <f t="shared" si="2"/>
        <v>227217.73071249991</v>
      </c>
    </row>
    <row r="115" spans="2:8">
      <c r="B115" s="2" t="s">
        <v>222</v>
      </c>
      <c r="F115" s="2" t="s">
        <v>70</v>
      </c>
      <c r="H115" s="83">
        <f t="shared" si="2"/>
        <v>146903.71278577505</v>
      </c>
    </row>
    <row r="116" spans="2:8">
      <c r="B116" s="1" t="s">
        <v>245</v>
      </c>
      <c r="F116" s="2" t="s">
        <v>70</v>
      </c>
      <c r="H116" s="84">
        <f>SUM(H104:H115)</f>
        <v>1624120.145791275</v>
      </c>
    </row>
    <row r="118" spans="2:8" s="9" customFormat="1">
      <c r="B118" s="9" t="s">
        <v>251</v>
      </c>
    </row>
    <row r="120" spans="2:8">
      <c r="B120" s="2" t="s">
        <v>252</v>
      </c>
      <c r="F120" s="2" t="s">
        <v>70</v>
      </c>
      <c r="H120" s="84">
        <f>H97</f>
        <v>1551845.6575117391</v>
      </c>
    </row>
    <row r="121" spans="2:8">
      <c r="B121" s="2" t="s">
        <v>253</v>
      </c>
      <c r="F121" s="2" t="s">
        <v>70</v>
      </c>
      <c r="H121" s="84">
        <f>H116</f>
        <v>1624120.145791275</v>
      </c>
    </row>
    <row r="122" spans="2:8">
      <c r="B122" s="2" t="s">
        <v>255</v>
      </c>
      <c r="F122" s="2" t="s">
        <v>70</v>
      </c>
      <c r="H122" s="84">
        <f>H120-H121</f>
        <v>-72274.488279535901</v>
      </c>
    </row>
    <row r="124" spans="2:8">
      <c r="B124" s="2" t="s">
        <v>254</v>
      </c>
      <c r="F124" s="2" t="s">
        <v>70</v>
      </c>
      <c r="H124" s="86">
        <f>-1*H122</f>
        <v>72274.488279535901</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C8D9"/>
  </sheetPr>
  <dimension ref="B2:H39"/>
  <sheetViews>
    <sheetView showGridLines="0" zoomScale="85" zoomScaleNormal="85" workbookViewId="0">
      <pane ySplit="3" topLeftCell="A4" activePane="bottomLeft" state="frozen"/>
      <selection activeCell="A4" sqref="A4"/>
      <selection pane="bottomLeft"/>
    </sheetView>
  </sheetViews>
  <sheetFormatPr defaultRowHeight="12.75"/>
  <cols>
    <col min="1" max="1" width="2.85546875" style="2" customWidth="1"/>
    <col min="2" max="2" width="19.140625" style="2" customWidth="1"/>
    <col min="3" max="3" width="20.7109375" style="2" customWidth="1"/>
    <col min="4" max="4" width="56.85546875" style="2" customWidth="1"/>
    <col min="5" max="5" width="29.85546875" style="2" customWidth="1"/>
    <col min="6" max="6" width="24.7109375" style="2" customWidth="1"/>
    <col min="7" max="7" width="37.28515625" style="2" customWidth="1"/>
    <col min="8" max="16384" width="9.140625" style="2"/>
  </cols>
  <sheetData>
    <row r="2" spans="2:8" s="8" customFormat="1" ht="18">
      <c r="B2" s="8" t="s">
        <v>48</v>
      </c>
    </row>
    <row r="4" spans="2:8" s="9" customFormat="1">
      <c r="B4" s="9" t="s">
        <v>12</v>
      </c>
    </row>
    <row r="6" spans="2:8">
      <c r="B6" s="26" t="s">
        <v>266</v>
      </c>
    </row>
    <row r="7" spans="2:8">
      <c r="B7" s="26" t="s">
        <v>261</v>
      </c>
      <c r="H7" s="36"/>
    </row>
    <row r="8" spans="2:8">
      <c r="B8" s="26" t="s">
        <v>262</v>
      </c>
    </row>
    <row r="9" spans="2:8">
      <c r="B9" s="26" t="s">
        <v>263</v>
      </c>
    </row>
    <row r="10" spans="2:8">
      <c r="B10" s="26" t="s">
        <v>265</v>
      </c>
    </row>
    <row r="14" spans="2:8" s="9" customFormat="1">
      <c r="B14" s="9" t="s">
        <v>13</v>
      </c>
    </row>
    <row r="15" spans="2:8">
      <c r="C15" s="10"/>
    </row>
    <row r="16" spans="2:8">
      <c r="B16" s="31" t="s">
        <v>36</v>
      </c>
      <c r="C16" s="10"/>
      <c r="D16" s="31" t="s">
        <v>14</v>
      </c>
      <c r="F16" s="14"/>
    </row>
    <row r="17" spans="2:6">
      <c r="C17" s="10"/>
    </row>
    <row r="18" spans="2:6">
      <c r="B18" s="38">
        <v>123</v>
      </c>
      <c r="C18" s="10"/>
      <c r="D18" s="26" t="s">
        <v>50</v>
      </c>
    </row>
    <row r="19" spans="2:6">
      <c r="B19" s="39">
        <f>B18</f>
        <v>123</v>
      </c>
      <c r="C19" s="10"/>
      <c r="D19" s="2" t="s">
        <v>15</v>
      </c>
    </row>
    <row r="20" spans="2:6">
      <c r="B20" s="37">
        <f>B19+B18</f>
        <v>246</v>
      </c>
      <c r="C20" s="10"/>
      <c r="D20" s="2" t="s">
        <v>16</v>
      </c>
    </row>
    <row r="21" spans="2:6">
      <c r="B21" s="34">
        <f>B19+B20</f>
        <v>369</v>
      </c>
      <c r="C21" s="10"/>
      <c r="D21" s="26" t="s">
        <v>49</v>
      </c>
      <c r="E21" s="14"/>
      <c r="F21" s="6"/>
    </row>
    <row r="22" spans="2:6">
      <c r="B22" s="15"/>
      <c r="C22" s="10"/>
      <c r="D22" s="3" t="s">
        <v>17</v>
      </c>
      <c r="E22" s="14"/>
    </row>
    <row r="23" spans="2:6">
      <c r="B23" s="10"/>
      <c r="C23" s="10"/>
    </row>
    <row r="24" spans="2:6">
      <c r="B24" s="32" t="s">
        <v>18</v>
      </c>
      <c r="C24" s="10"/>
    </row>
    <row r="25" spans="2:6">
      <c r="B25" s="40">
        <f>B21+16</f>
        <v>385</v>
      </c>
      <c r="C25" s="10"/>
      <c r="D25" s="2" t="s">
        <v>19</v>
      </c>
    </row>
    <row r="26" spans="2:6">
      <c r="B26" s="41">
        <f>B19*PI()</f>
        <v>386.41589639154455</v>
      </c>
      <c r="C26" s="17"/>
      <c r="D26" s="2" t="s">
        <v>20</v>
      </c>
    </row>
    <row r="27" spans="2:6">
      <c r="B27" s="17"/>
      <c r="C27" s="17"/>
    </row>
    <row r="29" spans="2:6">
      <c r="B29" s="31" t="s">
        <v>31</v>
      </c>
    </row>
    <row r="30" spans="2:6">
      <c r="B30" s="1"/>
    </row>
    <row r="31" spans="2:6">
      <c r="B31" s="32" t="s">
        <v>37</v>
      </c>
    </row>
    <row r="32" spans="2:6">
      <c r="B32" s="23" t="s">
        <v>30</v>
      </c>
      <c r="C32" s="10"/>
      <c r="D32" s="3" t="s">
        <v>40</v>
      </c>
    </row>
    <row r="33" spans="2:4">
      <c r="B33" s="22" t="s">
        <v>28</v>
      </c>
      <c r="C33" s="10"/>
      <c r="D33" s="3" t="s">
        <v>32</v>
      </c>
    </row>
    <row r="34" spans="2:4">
      <c r="B34" s="35" t="s">
        <v>29</v>
      </c>
      <c r="C34" s="10"/>
      <c r="D34" s="3" t="s">
        <v>33</v>
      </c>
    </row>
    <row r="35" spans="2:4">
      <c r="B35" s="16" t="s">
        <v>29</v>
      </c>
      <c r="C35" s="10"/>
      <c r="D35" s="3" t="s">
        <v>35</v>
      </c>
    </row>
    <row r="36" spans="2:4">
      <c r="C36" s="10"/>
      <c r="D36" s="3"/>
    </row>
    <row r="37" spans="2:4">
      <c r="B37" s="32" t="s">
        <v>39</v>
      </c>
      <c r="C37" s="10"/>
      <c r="D37" s="3"/>
    </row>
    <row r="38" spans="2:4">
      <c r="B38" s="24" t="s">
        <v>34</v>
      </c>
      <c r="C38" s="10"/>
      <c r="D38" s="3" t="s">
        <v>41</v>
      </c>
    </row>
    <row r="39" spans="2:4">
      <c r="B39" s="25" t="s">
        <v>38</v>
      </c>
      <c r="D39" s="26" t="s">
        <v>42</v>
      </c>
    </row>
  </sheetData>
  <pageMargins left="0.75" right="0.75" top="1" bottom="1" header="0.5" footer="0.5"/>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8D9"/>
  </sheetPr>
  <dimension ref="B2:F26"/>
  <sheetViews>
    <sheetView showGridLines="0" zoomScale="85" zoomScaleNormal="85" workbookViewId="0">
      <pane ySplit="3" topLeftCell="A4" activePane="bottomLeft" state="frozen"/>
      <selection activeCell="A4" sqref="A4"/>
      <selection pane="bottomLeft" activeCell="A4" sqref="A4"/>
    </sheetView>
  </sheetViews>
  <sheetFormatPr defaultRowHeight="12.75"/>
  <cols>
    <col min="1" max="1" width="2.85546875" style="2" customWidth="1"/>
    <col min="2" max="2" width="7.5703125" style="2" customWidth="1"/>
    <col min="3" max="3" width="35.140625" style="2" customWidth="1"/>
    <col min="4" max="4" width="47.140625" style="2" customWidth="1"/>
    <col min="5" max="5" width="36.28515625" style="2" customWidth="1"/>
    <col min="6" max="6" width="70.140625" style="2" customWidth="1"/>
    <col min="7" max="7" width="4.5703125" style="2" customWidth="1"/>
    <col min="8" max="16384" width="9.140625" style="2"/>
  </cols>
  <sheetData>
    <row r="2" spans="2:6" s="13" customFormat="1" ht="18">
      <c r="B2" s="4" t="s">
        <v>21</v>
      </c>
    </row>
    <row r="4" spans="2:6" s="9" customFormat="1">
      <c r="B4" s="9" t="s">
        <v>22</v>
      </c>
    </row>
    <row r="6" spans="2:6">
      <c r="B6" s="32" t="s">
        <v>61</v>
      </c>
    </row>
    <row r="7" spans="2:6">
      <c r="B7" s="32" t="s">
        <v>62</v>
      </c>
    </row>
    <row r="9" spans="2:6">
      <c r="B9" s="18" t="s">
        <v>51</v>
      </c>
      <c r="C9" s="18" t="s">
        <v>52</v>
      </c>
      <c r="D9" s="18" t="s">
        <v>53</v>
      </c>
      <c r="E9" s="18" t="s">
        <v>60</v>
      </c>
      <c r="F9" s="18" t="s">
        <v>56</v>
      </c>
    </row>
    <row r="10" spans="2:6">
      <c r="B10" s="19"/>
      <c r="C10" s="27" t="s">
        <v>58</v>
      </c>
      <c r="D10" s="27" t="s">
        <v>23</v>
      </c>
      <c r="E10" s="27" t="s">
        <v>63</v>
      </c>
      <c r="F10" s="27" t="s">
        <v>57</v>
      </c>
    </row>
    <row r="11" spans="2:6" s="53" customFormat="1" ht="38.25">
      <c r="B11" s="50">
        <v>1</v>
      </c>
      <c r="C11" s="51" t="s">
        <v>86</v>
      </c>
      <c r="D11" s="51" t="s">
        <v>87</v>
      </c>
      <c r="E11" s="49" t="s">
        <v>89</v>
      </c>
      <c r="F11" s="52" t="s">
        <v>88</v>
      </c>
    </row>
    <row r="12" spans="2:6" s="53" customFormat="1" ht="38.25">
      <c r="B12" s="51">
        <v>2</v>
      </c>
      <c r="C12" s="51" t="s">
        <v>92</v>
      </c>
      <c r="D12" s="51" t="s">
        <v>93</v>
      </c>
      <c r="E12" s="51" t="s">
        <v>90</v>
      </c>
      <c r="F12" s="51" t="s">
        <v>91</v>
      </c>
    </row>
    <row r="13" spans="2:6" s="53" customFormat="1" ht="25.5">
      <c r="B13" s="51">
        <v>3</v>
      </c>
      <c r="C13" s="51" t="s">
        <v>345</v>
      </c>
      <c r="D13" s="51" t="s">
        <v>121</v>
      </c>
      <c r="E13" s="51"/>
      <c r="F13" s="51" t="s">
        <v>131</v>
      </c>
    </row>
    <row r="14" spans="2:6" s="53" customFormat="1">
      <c r="B14" s="51">
        <v>4</v>
      </c>
      <c r="C14" s="51" t="s">
        <v>129</v>
      </c>
      <c r="D14" s="51" t="s">
        <v>128</v>
      </c>
      <c r="E14" s="51"/>
      <c r="F14" s="51" t="s">
        <v>130</v>
      </c>
    </row>
    <row r="15" spans="2:6" s="53" customFormat="1">
      <c r="B15" s="51">
        <v>5</v>
      </c>
      <c r="C15" s="51" t="s">
        <v>344</v>
      </c>
      <c r="D15" s="51" t="s">
        <v>365</v>
      </c>
      <c r="E15" s="12" t="s">
        <v>368</v>
      </c>
      <c r="F15" s="51"/>
    </row>
    <row r="16" spans="2:6" s="53" customFormat="1">
      <c r="B16" s="51">
        <v>6</v>
      </c>
      <c r="C16" s="51" t="s">
        <v>364</v>
      </c>
      <c r="D16" s="51" t="s">
        <v>366</v>
      </c>
      <c r="E16" s="12" t="s">
        <v>368</v>
      </c>
      <c r="F16" s="51"/>
    </row>
    <row r="17" spans="2:6" s="53" customFormat="1">
      <c r="B17" s="51">
        <v>7</v>
      </c>
      <c r="C17" s="51" t="s">
        <v>342</v>
      </c>
      <c r="D17" s="51" t="s">
        <v>367</v>
      </c>
      <c r="E17" s="12" t="s">
        <v>368</v>
      </c>
      <c r="F17" s="51" t="s">
        <v>350</v>
      </c>
    </row>
    <row r="18" spans="2:6" s="53" customFormat="1" ht="25.5">
      <c r="B18" s="51">
        <v>8</v>
      </c>
      <c r="C18" s="2" t="s">
        <v>277</v>
      </c>
      <c r="D18" s="51" t="s">
        <v>355</v>
      </c>
      <c r="E18" s="51" t="s">
        <v>374</v>
      </c>
      <c r="F18" s="51"/>
    </row>
    <row r="19" spans="2:6" s="53" customFormat="1">
      <c r="B19" s="51">
        <v>9</v>
      </c>
      <c r="C19" s="101" t="s">
        <v>361</v>
      </c>
      <c r="D19" s="50" t="s">
        <v>373</v>
      </c>
      <c r="E19" s="50" t="s">
        <v>375</v>
      </c>
      <c r="F19" s="100" t="s">
        <v>362</v>
      </c>
    </row>
    <row r="20" spans="2:6" s="53" customFormat="1" ht="25.5">
      <c r="B20" s="51">
        <v>10</v>
      </c>
      <c r="C20" s="7" t="s">
        <v>177</v>
      </c>
      <c r="D20" s="51" t="s">
        <v>352</v>
      </c>
      <c r="E20" s="51"/>
      <c r="F20" s="51"/>
    </row>
    <row r="21" spans="2:6" s="53" customFormat="1" ht="25.5">
      <c r="B21" s="98">
        <v>11</v>
      </c>
      <c r="C21" s="7" t="s">
        <v>124</v>
      </c>
      <c r="D21" s="51" t="s">
        <v>356</v>
      </c>
      <c r="E21" s="51"/>
      <c r="F21" s="93"/>
    </row>
    <row r="22" spans="2:6" s="53" customFormat="1" ht="25.5">
      <c r="B22" s="98">
        <v>12</v>
      </c>
      <c r="C22" s="94" t="s">
        <v>357</v>
      </c>
      <c r="D22" s="51"/>
      <c r="E22" s="51"/>
      <c r="F22" s="51" t="s">
        <v>303</v>
      </c>
    </row>
    <row r="23" spans="2:6" ht="25.5">
      <c r="B23" s="98">
        <v>13</v>
      </c>
      <c r="C23" s="96" t="s">
        <v>358</v>
      </c>
      <c r="D23" s="51"/>
      <c r="E23" s="51"/>
      <c r="F23" s="51" t="s">
        <v>307</v>
      </c>
    </row>
    <row r="24" spans="2:6" ht="38.25">
      <c r="B24" s="98">
        <v>14</v>
      </c>
      <c r="C24" s="98" t="s">
        <v>359</v>
      </c>
      <c r="D24" s="51" t="s">
        <v>349</v>
      </c>
      <c r="E24" s="51"/>
      <c r="F24" s="95" t="s">
        <v>360</v>
      </c>
    </row>
    <row r="25" spans="2:6">
      <c r="B25" s="98">
        <v>15</v>
      </c>
      <c r="C25" s="7" t="s">
        <v>353</v>
      </c>
      <c r="D25" s="51" t="s">
        <v>354</v>
      </c>
      <c r="E25" s="51"/>
      <c r="F25" s="51"/>
    </row>
    <row r="26" spans="2:6">
      <c r="B26" s="91"/>
      <c r="C26" s="92"/>
      <c r="D26" s="91"/>
      <c r="E26" s="91"/>
      <c r="F26" s="91"/>
    </row>
  </sheetData>
  <hyperlinks>
    <hyperlink ref="F24" r:id="rId1"/>
  </hyperlinks>
  <pageMargins left="0.75" right="0.75" top="1" bottom="1" header="0.5" footer="0.5"/>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B2:Q29"/>
  <sheetViews>
    <sheetView showGridLines="0" zoomScale="85" zoomScaleNormal="85" workbookViewId="0">
      <pane xSplit="6" ySplit="17" topLeftCell="G18"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45.5703125" style="2" customWidth="1"/>
    <col min="3" max="5" width="4.5703125" style="2" customWidth="1"/>
    <col min="6" max="6" width="16.14062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27" style="2" customWidth="1"/>
    <col min="14" max="16" width="2.7109375" style="2" customWidth="1"/>
    <col min="17" max="31" width="13.7109375" style="2" customWidth="1"/>
    <col min="32" max="16384" width="9.140625" style="2"/>
  </cols>
  <sheetData>
    <row r="2" spans="2:17" s="20" customFormat="1" ht="18">
      <c r="B2" s="20" t="s">
        <v>30</v>
      </c>
    </row>
    <row r="4" spans="2:17">
      <c r="B4" s="31" t="s">
        <v>55</v>
      </c>
      <c r="C4" s="1"/>
      <c r="D4" s="1"/>
    </row>
    <row r="5" spans="2:17">
      <c r="B5" s="26" t="s">
        <v>315</v>
      </c>
      <c r="C5" s="3"/>
      <c r="D5" s="3"/>
      <c r="H5" s="21"/>
    </row>
    <row r="6" spans="2:17">
      <c r="B6" s="26" t="s">
        <v>316</v>
      </c>
      <c r="C6" s="3"/>
      <c r="D6" s="3"/>
      <c r="H6" s="21"/>
    </row>
    <row r="7" spans="2:17">
      <c r="B7" s="2" t="s">
        <v>317</v>
      </c>
      <c r="C7" s="3"/>
      <c r="D7" s="3"/>
      <c r="H7" s="21"/>
    </row>
    <row r="8" spans="2:17">
      <c r="B8" s="26" t="s">
        <v>318</v>
      </c>
      <c r="C8" s="3"/>
      <c r="D8" s="3"/>
      <c r="H8" s="21"/>
    </row>
    <row r="9" spans="2:17">
      <c r="B9" s="26" t="s">
        <v>269</v>
      </c>
      <c r="C9" s="3"/>
      <c r="D9" s="3"/>
      <c r="H9" s="21"/>
    </row>
    <row r="10" spans="2:17">
      <c r="B10" s="26" t="s">
        <v>265</v>
      </c>
      <c r="C10" s="3"/>
      <c r="D10" s="3"/>
      <c r="H10" s="21"/>
    </row>
    <row r="11" spans="2:17">
      <c r="B11" s="26"/>
      <c r="C11" s="3"/>
      <c r="D11" s="3"/>
      <c r="H11" s="21"/>
    </row>
    <row r="12" spans="2:17">
      <c r="B12" s="32" t="s">
        <v>27</v>
      </c>
      <c r="C12" s="3"/>
      <c r="D12" s="3"/>
      <c r="H12" s="21"/>
    </row>
    <row r="13" spans="2:17">
      <c r="B13" s="5" t="s">
        <v>264</v>
      </c>
      <c r="C13" s="3"/>
      <c r="D13" s="3"/>
    </row>
    <row r="14" spans="2:17">
      <c r="B14" s="5"/>
      <c r="C14" s="3"/>
      <c r="D14" s="3"/>
    </row>
    <row r="16" spans="2:17" s="9" customFormat="1">
      <c r="B16" s="9" t="s">
        <v>43</v>
      </c>
      <c r="F16" s="9" t="s">
        <v>24</v>
      </c>
      <c r="H16" s="9" t="s">
        <v>25</v>
      </c>
      <c r="J16" s="9" t="s">
        <v>47</v>
      </c>
      <c r="L16" s="9" t="s">
        <v>68</v>
      </c>
      <c r="M16" s="9" t="s">
        <v>182</v>
      </c>
      <c r="Q16" s="9" t="s">
        <v>45</v>
      </c>
    </row>
    <row r="19" spans="2:13" s="9" customFormat="1">
      <c r="B19" s="9" t="s">
        <v>59</v>
      </c>
    </row>
    <row r="21" spans="2:13">
      <c r="B21" s="31" t="s">
        <v>181</v>
      </c>
    </row>
    <row r="22" spans="2:13">
      <c r="B22" s="2" t="s">
        <v>267</v>
      </c>
      <c r="F22" s="2" t="s">
        <v>67</v>
      </c>
      <c r="J22" s="68">
        <f>SUM(L22:M22)</f>
        <v>-2835879.671584561</v>
      </c>
      <c r="L22" s="71">
        <f>'Berekening volume-effect E'!H48</f>
        <v>-2970073.8392953863</v>
      </c>
      <c r="M22" s="71">
        <f>'Berekening volume-effect DW'!H28</f>
        <v>134194.16771082534</v>
      </c>
    </row>
    <row r="23" spans="2:13">
      <c r="B23" s="2" t="s">
        <v>268</v>
      </c>
      <c r="F23" s="2" t="s">
        <v>67</v>
      </c>
      <c r="J23" s="68">
        <f t="shared" ref="J23:J25" si="0">SUM(L23:M23)</f>
        <v>2612714.7036397895</v>
      </c>
      <c r="L23" s="71">
        <f>'Berekening volume-effect E'!H60</f>
        <v>2612714.7036397895</v>
      </c>
      <c r="M23" s="87"/>
    </row>
    <row r="24" spans="2:13">
      <c r="B24" s="2" t="s">
        <v>183</v>
      </c>
      <c r="F24" s="2" t="s">
        <v>67</v>
      </c>
      <c r="J24" s="68">
        <f t="shared" si="0"/>
        <v>-365430.03979315772</v>
      </c>
      <c r="L24" s="71">
        <f>'Berekening profit sharing'!L71</f>
        <v>-579191.18359269295</v>
      </c>
      <c r="M24" s="71">
        <f>'Berekening profit sharing'!M71</f>
        <v>213761.14379953523</v>
      </c>
    </row>
    <row r="25" spans="2:13">
      <c r="B25" s="2" t="s">
        <v>184</v>
      </c>
      <c r="F25" s="2" t="s">
        <v>67</v>
      </c>
      <c r="J25" s="68">
        <f t="shared" si="0"/>
        <v>72274.488279535901</v>
      </c>
      <c r="L25" s="71">
        <f>'Berekening brandstofverschil E'!H124</f>
        <v>72274.488279535901</v>
      </c>
      <c r="M25" s="87"/>
    </row>
    <row r="29" spans="2:13">
      <c r="B29" s="6"/>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
  <sheetViews>
    <sheetView showGridLines="0" zoomScale="85" zoomScaleNormal="85" workbookViewId="0"/>
  </sheetViews>
  <sheetFormatPr defaultRowHeight="12.75"/>
  <cols>
    <col min="1" max="16384" width="9.140625" style="24"/>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S52"/>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79.42578125" style="2" customWidth="1"/>
    <col min="3" max="3" width="4.140625" style="2" customWidth="1"/>
    <col min="4" max="5" width="4.5703125" style="2" customWidth="1"/>
    <col min="6" max="6" width="21" style="2" customWidth="1"/>
    <col min="7" max="7" width="2.7109375" style="2" customWidth="1"/>
    <col min="8" max="8" width="15.85546875" style="2" customWidth="1"/>
    <col min="9" max="9" width="2.7109375" style="2" customWidth="1"/>
    <col min="10" max="10" width="13.7109375" style="2" customWidth="1"/>
    <col min="11" max="11" width="2.7109375" style="2" customWidth="1"/>
    <col min="12" max="13" width="18.140625" style="2" customWidth="1"/>
    <col min="14" max="14" width="2.7109375" style="2" customWidth="1"/>
    <col min="15" max="15" width="35" style="2" customWidth="1"/>
    <col min="16" max="16" width="2.7109375" style="2" customWidth="1"/>
    <col min="17" max="17" width="22.7109375" style="2" customWidth="1"/>
    <col min="18" max="18" width="2.7109375" style="2" customWidth="1"/>
    <col min="19" max="33" width="13.7109375" style="2" customWidth="1"/>
    <col min="34" max="16384" width="9.140625" style="2"/>
  </cols>
  <sheetData>
    <row r="2" spans="2:19" s="20" customFormat="1" ht="18">
      <c r="B2" s="20" t="s">
        <v>339</v>
      </c>
    </row>
    <row r="4" spans="2:19">
      <c r="B4" s="31" t="s">
        <v>26</v>
      </c>
      <c r="C4" s="1"/>
      <c r="D4" s="1"/>
      <c r="L4" s="49"/>
    </row>
    <row r="5" spans="2:19">
      <c r="B5" s="26" t="s">
        <v>81</v>
      </c>
      <c r="C5" s="3"/>
      <c r="D5" s="3"/>
      <c r="H5" s="21"/>
    </row>
    <row r="6" spans="2:19">
      <c r="B6" s="72"/>
      <c r="C6" s="3"/>
      <c r="D6" s="3"/>
      <c r="H6" s="21"/>
    </row>
    <row r="8" spans="2:19" s="9" customFormat="1" ht="25.5">
      <c r="B8" s="9" t="s">
        <v>43</v>
      </c>
      <c r="F8" s="9" t="s">
        <v>24</v>
      </c>
      <c r="H8" s="9" t="s">
        <v>25</v>
      </c>
      <c r="J8" s="9" t="s">
        <v>47</v>
      </c>
      <c r="L8" s="45" t="s">
        <v>68</v>
      </c>
      <c r="M8" s="45" t="s">
        <v>106</v>
      </c>
      <c r="O8" s="9" t="s">
        <v>44</v>
      </c>
      <c r="Q8" s="9" t="s">
        <v>45</v>
      </c>
    </row>
    <row r="11" spans="2:19" s="9" customFormat="1">
      <c r="B11" s="9" t="s">
        <v>192</v>
      </c>
    </row>
    <row r="13" spans="2:19">
      <c r="B13" s="1" t="s">
        <v>82</v>
      </c>
    </row>
    <row r="14" spans="2:19">
      <c r="B14" s="2" t="s">
        <v>202</v>
      </c>
      <c r="F14" s="2" t="s">
        <v>94</v>
      </c>
      <c r="L14" s="47">
        <v>1555941.0766024489</v>
      </c>
      <c r="M14" s="47">
        <v>441165.88132888317</v>
      </c>
      <c r="O14" s="2" t="s">
        <v>319</v>
      </c>
      <c r="Q14" s="89"/>
      <c r="R14" s="89"/>
      <c r="S14" s="89"/>
    </row>
    <row r="15" spans="2:19">
      <c r="B15" s="2" t="s">
        <v>203</v>
      </c>
      <c r="F15" s="2" t="s">
        <v>94</v>
      </c>
      <c r="L15" s="47">
        <v>43914.216520049813</v>
      </c>
      <c r="M15" s="47">
        <v>25266.24505345642</v>
      </c>
      <c r="O15" s="2" t="s">
        <v>319</v>
      </c>
      <c r="Q15" s="89"/>
      <c r="R15" s="89"/>
      <c r="S15" s="89"/>
    </row>
    <row r="17" spans="2:19">
      <c r="B17" s="1" t="s">
        <v>85</v>
      </c>
    </row>
    <row r="18" spans="2:19">
      <c r="B18" s="2" t="s">
        <v>95</v>
      </c>
      <c r="F18" s="2" t="s">
        <v>94</v>
      </c>
      <c r="L18" s="47">
        <v>1285188.4274036547</v>
      </c>
      <c r="M18" s="47">
        <v>1288192.0827165882</v>
      </c>
      <c r="O18" s="2" t="s">
        <v>319</v>
      </c>
    </row>
    <row r="20" spans="2:19">
      <c r="B20" s="1" t="s">
        <v>96</v>
      </c>
    </row>
    <row r="21" spans="2:19">
      <c r="B21" s="2" t="s">
        <v>72</v>
      </c>
      <c r="F21" s="2" t="s">
        <v>137</v>
      </c>
      <c r="L21" s="47">
        <v>2525432</v>
      </c>
      <c r="O21" s="2" t="s">
        <v>291</v>
      </c>
    </row>
    <row r="22" spans="2:19">
      <c r="B22" s="2" t="s">
        <v>73</v>
      </c>
      <c r="F22" s="2" t="s">
        <v>137</v>
      </c>
      <c r="L22" s="47">
        <v>118067.04</v>
      </c>
      <c r="O22" s="2" t="s">
        <v>86</v>
      </c>
    </row>
    <row r="23" spans="2:19">
      <c r="B23" s="2" t="s">
        <v>74</v>
      </c>
      <c r="F23" s="2" t="s">
        <v>137</v>
      </c>
      <c r="L23" s="47">
        <v>6000</v>
      </c>
      <c r="O23" s="2" t="s">
        <v>86</v>
      </c>
      <c r="Q23" s="30"/>
      <c r="S23" s="30"/>
    </row>
    <row r="24" spans="2:19">
      <c r="B24" s="2" t="s">
        <v>97</v>
      </c>
      <c r="F24" s="2" t="s">
        <v>292</v>
      </c>
      <c r="L24" s="54">
        <v>1.0500000000000001E-2</v>
      </c>
      <c r="O24" s="2" t="s">
        <v>86</v>
      </c>
    </row>
    <row r="27" spans="2:19" s="9" customFormat="1">
      <c r="B27" s="9" t="s">
        <v>191</v>
      </c>
    </row>
    <row r="29" spans="2:19">
      <c r="B29" s="1" t="s">
        <v>189</v>
      </c>
      <c r="S29" s="30"/>
    </row>
    <row r="30" spans="2:19">
      <c r="B30" s="2" t="s">
        <v>100</v>
      </c>
      <c r="F30" s="2" t="s">
        <v>65</v>
      </c>
      <c r="L30" s="47">
        <v>229950</v>
      </c>
      <c r="O30" s="2" t="s">
        <v>86</v>
      </c>
      <c r="S30" s="30"/>
    </row>
    <row r="31" spans="2:19">
      <c r="B31" s="2" t="s">
        <v>99</v>
      </c>
      <c r="F31" s="2" t="s">
        <v>65</v>
      </c>
      <c r="L31" s="47">
        <v>4891530.53606926</v>
      </c>
      <c r="O31" s="2" t="s">
        <v>86</v>
      </c>
      <c r="S31" s="30"/>
    </row>
    <row r="32" spans="2:19">
      <c r="B32" s="2" t="s">
        <v>101</v>
      </c>
      <c r="F32" s="2" t="s">
        <v>65</v>
      </c>
      <c r="L32" s="43">
        <f>SUM(L30:L31)</f>
        <v>5121480.53606926</v>
      </c>
      <c r="S32" s="30"/>
    </row>
    <row r="34" spans="2:19">
      <c r="B34" s="1" t="s">
        <v>190</v>
      </c>
      <c r="S34" s="30"/>
    </row>
    <row r="35" spans="2:19">
      <c r="B35" s="46" t="s">
        <v>169</v>
      </c>
      <c r="F35" s="46" t="s">
        <v>170</v>
      </c>
      <c r="M35" s="60">
        <v>184148.64416025771</v>
      </c>
      <c r="O35" s="2" t="s">
        <v>86</v>
      </c>
      <c r="S35" s="30"/>
    </row>
    <row r="36" spans="2:19">
      <c r="B36" s="46" t="s">
        <v>171</v>
      </c>
      <c r="F36" s="46" t="s">
        <v>170</v>
      </c>
      <c r="M36" s="60">
        <v>1519500.4749999999</v>
      </c>
      <c r="O36" s="2" t="s">
        <v>86</v>
      </c>
      <c r="S36" s="30"/>
    </row>
    <row r="37" spans="2:19">
      <c r="B37" s="2" t="s">
        <v>172</v>
      </c>
      <c r="F37" s="2" t="s">
        <v>170</v>
      </c>
      <c r="M37" s="43">
        <f>SUM(M35:M36)</f>
        <v>1703649.1191602575</v>
      </c>
    </row>
    <row r="40" spans="2:19" s="9" customFormat="1">
      <c r="B40" s="9" t="s">
        <v>193</v>
      </c>
    </row>
    <row r="42" spans="2:19">
      <c r="B42" s="1" t="s">
        <v>293</v>
      </c>
    </row>
    <row r="43" spans="2:19">
      <c r="B43" s="2" t="s">
        <v>103</v>
      </c>
      <c r="F43" s="2" t="s">
        <v>104</v>
      </c>
      <c r="L43" s="54">
        <v>0.27500000000000002</v>
      </c>
      <c r="O43" s="2" t="s">
        <v>86</v>
      </c>
    </row>
    <row r="44" spans="2:19">
      <c r="B44" s="2" t="s">
        <v>102</v>
      </c>
      <c r="F44" s="2" t="s">
        <v>321</v>
      </c>
      <c r="L44" s="54">
        <v>0.80966020681168072</v>
      </c>
      <c r="O44" s="2" t="s">
        <v>86</v>
      </c>
    </row>
    <row r="45" spans="2:19">
      <c r="L45" s="77"/>
    </row>
    <row r="46" spans="2:19">
      <c r="B46" s="1" t="s">
        <v>273</v>
      </c>
      <c r="L46" s="77"/>
    </row>
    <row r="47" spans="2:19">
      <c r="B47" s="2" t="s">
        <v>274</v>
      </c>
      <c r="F47" s="2" t="s">
        <v>65</v>
      </c>
      <c r="H47" s="47">
        <v>105500000</v>
      </c>
      <c r="L47" s="77"/>
      <c r="O47" s="2" t="s">
        <v>277</v>
      </c>
    </row>
    <row r="48" spans="2:19">
      <c r="B48" s="2" t="s">
        <v>320</v>
      </c>
      <c r="F48" s="2" t="s">
        <v>321</v>
      </c>
      <c r="H48" s="54">
        <v>0.10879999999999999</v>
      </c>
      <c r="L48" s="77"/>
      <c r="O48" s="2" t="s">
        <v>277</v>
      </c>
    </row>
    <row r="49" spans="2:15">
      <c r="L49" s="77"/>
    </row>
    <row r="50" spans="2:15">
      <c r="B50" s="1" t="s">
        <v>194</v>
      </c>
    </row>
    <row r="51" spans="2:15">
      <c r="B51" s="2" t="s">
        <v>173</v>
      </c>
      <c r="F51" s="2" t="s">
        <v>174</v>
      </c>
      <c r="M51" s="61">
        <v>4.3</v>
      </c>
      <c r="O51" s="2" t="s">
        <v>86</v>
      </c>
    </row>
    <row r="52" spans="2:15">
      <c r="B52" s="2" t="s">
        <v>257</v>
      </c>
      <c r="F52" s="2" t="s">
        <v>175</v>
      </c>
      <c r="M52" s="54">
        <v>1.9234586338956725</v>
      </c>
      <c r="O52" s="2" t="s">
        <v>86</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2:T67"/>
  <sheetViews>
    <sheetView showGridLines="0" zoomScale="85" zoomScaleNormal="85" workbookViewId="0">
      <pane xSplit="6" ySplit="15" topLeftCell="G16"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79.42578125" style="2" customWidth="1"/>
    <col min="3" max="3" width="4.140625" style="2" customWidth="1"/>
    <col min="4" max="5" width="4.5703125" style="2" customWidth="1"/>
    <col min="6" max="6" width="21"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7.28515625" style="2" customWidth="1"/>
    <col min="14" max="14" width="2.7109375" style="2" customWidth="1"/>
    <col min="15" max="15" width="53.28515625" style="2" customWidth="1"/>
    <col min="16" max="16" width="2.7109375" style="2" customWidth="1"/>
    <col min="17" max="17" width="32.7109375" style="2" customWidth="1"/>
    <col min="18" max="31" width="13.7109375" style="2" customWidth="1"/>
    <col min="32" max="16384" width="9.140625" style="2"/>
  </cols>
  <sheetData>
    <row r="2" spans="2:17" s="20" customFormat="1" ht="18">
      <c r="B2" s="20" t="s">
        <v>340</v>
      </c>
    </row>
    <row r="4" spans="2:17">
      <c r="B4" s="31" t="s">
        <v>26</v>
      </c>
      <c r="C4" s="1"/>
      <c r="D4" s="1"/>
      <c r="L4" s="49"/>
    </row>
    <row r="5" spans="2:17">
      <c r="B5" s="26" t="s">
        <v>105</v>
      </c>
      <c r="C5" s="3"/>
      <c r="D5" s="3"/>
      <c r="H5" s="21"/>
    </row>
    <row r="6" spans="2:17">
      <c r="C6" s="3"/>
      <c r="D6" s="3"/>
      <c r="H6" s="21"/>
    </row>
    <row r="7" spans="2:17">
      <c r="B7" s="5" t="s">
        <v>38</v>
      </c>
      <c r="C7" s="3"/>
      <c r="D7" s="3"/>
      <c r="H7" s="21"/>
    </row>
    <row r="8" spans="2:17">
      <c r="B8" s="2" t="s">
        <v>324</v>
      </c>
      <c r="C8" s="3"/>
      <c r="D8" s="3"/>
      <c r="H8" s="21"/>
    </row>
    <row r="9" spans="2:17">
      <c r="B9" s="2" t="s">
        <v>325</v>
      </c>
      <c r="C9" s="3"/>
      <c r="D9" s="3"/>
      <c r="H9" s="21"/>
    </row>
    <row r="10" spans="2:17">
      <c r="B10" s="28" t="s">
        <v>326</v>
      </c>
      <c r="C10" s="3"/>
      <c r="D10" s="3"/>
      <c r="H10" s="21"/>
    </row>
    <row r="11" spans="2:17">
      <c r="B11" s="28" t="s">
        <v>327</v>
      </c>
      <c r="C11" s="3"/>
      <c r="D11" s="3"/>
      <c r="H11" s="21"/>
    </row>
    <row r="14" spans="2:17" s="9" customFormat="1" ht="25.5">
      <c r="B14" s="9" t="s">
        <v>43</v>
      </c>
      <c r="F14" s="9" t="s">
        <v>24</v>
      </c>
      <c r="H14" s="9" t="s">
        <v>25</v>
      </c>
      <c r="J14" s="9" t="s">
        <v>47</v>
      </c>
      <c r="L14" s="45" t="s">
        <v>68</v>
      </c>
      <c r="M14" s="45" t="s">
        <v>106</v>
      </c>
      <c r="O14" s="9" t="s">
        <v>44</v>
      </c>
      <c r="Q14" s="9" t="s">
        <v>45</v>
      </c>
    </row>
    <row r="17" spans="2:20" s="9" customFormat="1">
      <c r="B17" s="9" t="s">
        <v>338</v>
      </c>
    </row>
    <row r="19" spans="2:20">
      <c r="B19" s="1" t="s">
        <v>185</v>
      </c>
    </row>
    <row r="20" spans="2:20">
      <c r="B20" s="2" t="s">
        <v>107</v>
      </c>
      <c r="F20" s="2" t="s">
        <v>70</v>
      </c>
      <c r="J20" s="43">
        <f>SUM(L20:M20)</f>
        <v>2316437.8960651555</v>
      </c>
      <c r="L20" s="47">
        <v>1034035.7081636015</v>
      </c>
      <c r="M20" s="47">
        <v>1282402.1879015542</v>
      </c>
      <c r="O20" s="2" t="s">
        <v>344</v>
      </c>
      <c r="S20" s="62"/>
      <c r="T20" s="62"/>
    </row>
    <row r="21" spans="2:20">
      <c r="B21" s="2" t="s">
        <v>108</v>
      </c>
      <c r="F21" s="2" t="s">
        <v>70</v>
      </c>
      <c r="J21" s="43">
        <f>SUM(L21:M21)</f>
        <v>2054.9256453178264</v>
      </c>
      <c r="L21" s="47">
        <v>1659.2649135428937</v>
      </c>
      <c r="M21" s="47">
        <v>395.66073177493263</v>
      </c>
      <c r="O21" s="2" t="s">
        <v>346</v>
      </c>
      <c r="Q21" s="2" t="s">
        <v>323</v>
      </c>
      <c r="S21" s="62"/>
      <c r="T21" s="62"/>
    </row>
    <row r="22" spans="2:20">
      <c r="B22" s="2" t="s">
        <v>322</v>
      </c>
      <c r="F22" s="2" t="s">
        <v>70</v>
      </c>
      <c r="J22" s="43">
        <f>SUM(L22:M22)</f>
        <v>-2054.9256453178264</v>
      </c>
      <c r="L22" s="43">
        <f>-1*L21</f>
        <v>-1659.2649135428937</v>
      </c>
      <c r="M22" s="43">
        <f>-1*M21</f>
        <v>-395.66073177493263</v>
      </c>
      <c r="S22" s="62"/>
      <c r="T22" s="62"/>
    </row>
    <row r="23" spans="2:20">
      <c r="B23" s="2" t="s">
        <v>109</v>
      </c>
      <c r="F23" s="2" t="s">
        <v>70</v>
      </c>
      <c r="J23" s="43">
        <f>SUM(L23:M23)</f>
        <v>2318492.8217104734</v>
      </c>
      <c r="L23" s="43">
        <f>L20-L22</f>
        <v>1035694.9730771444</v>
      </c>
      <c r="M23" s="43">
        <f>M20-M22</f>
        <v>1282797.8486333292</v>
      </c>
    </row>
    <row r="24" spans="2:20">
      <c r="L24" s="89"/>
      <c r="M24" s="89"/>
    </row>
    <row r="25" spans="2:20">
      <c r="L25" s="89"/>
      <c r="M25" s="89"/>
    </row>
    <row r="26" spans="2:20" s="9" customFormat="1">
      <c r="B26" s="9" t="s">
        <v>195</v>
      </c>
    </row>
    <row r="28" spans="2:20">
      <c r="B28" s="1" t="s">
        <v>186</v>
      </c>
    </row>
    <row r="29" spans="2:20">
      <c r="B29" s="2" t="s">
        <v>69</v>
      </c>
      <c r="F29" s="2" t="s">
        <v>70</v>
      </c>
      <c r="J29" s="43">
        <f>SUM(L29:M29)</f>
        <v>4849825.4708298966</v>
      </c>
      <c r="L29" s="47">
        <v>1487610.2677023085</v>
      </c>
      <c r="M29" s="47">
        <v>3362215.2031275886</v>
      </c>
      <c r="O29" s="2" t="s">
        <v>343</v>
      </c>
    </row>
    <row r="30" spans="2:20">
      <c r="B30" s="2" t="s">
        <v>71</v>
      </c>
      <c r="F30" s="2" t="s">
        <v>70</v>
      </c>
      <c r="J30" s="43">
        <f>SUM(L30:M30)</f>
        <v>364363.21694413852</v>
      </c>
      <c r="L30" s="47">
        <v>112117.76397272</v>
      </c>
      <c r="M30" s="47">
        <v>252245.4529714185</v>
      </c>
      <c r="O30" s="2" t="s">
        <v>343</v>
      </c>
    </row>
    <row r="32" spans="2:20">
      <c r="B32" s="1" t="s">
        <v>330</v>
      </c>
    </row>
    <row r="33" spans="2:18">
      <c r="B33" s="2" t="s">
        <v>196</v>
      </c>
      <c r="F33" s="2" t="s">
        <v>70</v>
      </c>
      <c r="H33" s="64">
        <f>223729.88+436141.58</f>
        <v>659871.46</v>
      </c>
      <c r="O33" s="2" t="s">
        <v>199</v>
      </c>
    </row>
    <row r="34" spans="2:18">
      <c r="B34" s="2" t="s">
        <v>197</v>
      </c>
      <c r="F34" s="2" t="s">
        <v>84</v>
      </c>
      <c r="L34" s="48">
        <v>6.8298768755370637E-2</v>
      </c>
      <c r="M34" s="48">
        <v>3.8682206620080054E-2</v>
      </c>
      <c r="O34" s="2" t="s">
        <v>347</v>
      </c>
    </row>
    <row r="35" spans="2:18">
      <c r="B35" s="2" t="s">
        <v>198</v>
      </c>
      <c r="F35" s="2" t="s">
        <v>70</v>
      </c>
      <c r="J35" s="43">
        <f>SUM(L35:M35)</f>
        <v>70593.692413222685</v>
      </c>
      <c r="L35" s="43">
        <f>$H$33*L34</f>
        <v>45068.408254808804</v>
      </c>
      <c r="M35" s="43">
        <f>$H$33*M34</f>
        <v>25525.284158413888</v>
      </c>
    </row>
    <row r="36" spans="2:18">
      <c r="L36" s="58"/>
      <c r="M36" s="58"/>
    </row>
    <row r="37" spans="2:18">
      <c r="B37" s="1" t="s">
        <v>111</v>
      </c>
      <c r="L37" s="58"/>
      <c r="M37" s="58"/>
      <c r="R37" s="30"/>
    </row>
    <row r="38" spans="2:18">
      <c r="B38" s="2" t="s">
        <v>270</v>
      </c>
      <c r="F38" s="2" t="s">
        <v>70</v>
      </c>
      <c r="J38" s="43">
        <f>SUM(L38:M38)</f>
        <v>36350.117394695568</v>
      </c>
      <c r="L38" s="47">
        <v>15781.311569860231</v>
      </c>
      <c r="M38" s="47">
        <v>20568.805824835341</v>
      </c>
      <c r="O38" s="26" t="s">
        <v>348</v>
      </c>
      <c r="R38" s="30"/>
    </row>
    <row r="39" spans="2:18">
      <c r="R39" s="63"/>
    </row>
    <row r="41" spans="2:18" s="9" customFormat="1">
      <c r="B41" s="9" t="s">
        <v>117</v>
      </c>
    </row>
    <row r="42" spans="2:18">
      <c r="B42" s="1"/>
    </row>
    <row r="43" spans="2:18">
      <c r="B43" s="1" t="s">
        <v>118</v>
      </c>
    </row>
    <row r="44" spans="2:18">
      <c r="B44" s="2" t="s">
        <v>119</v>
      </c>
      <c r="F44" s="2" t="s">
        <v>70</v>
      </c>
      <c r="L44" s="47">
        <v>1585916.0200000005</v>
      </c>
      <c r="O44" s="2" t="s">
        <v>259</v>
      </c>
      <c r="R44" s="30"/>
    </row>
    <row r="45" spans="2:18">
      <c r="B45" s="2" t="s">
        <v>120</v>
      </c>
      <c r="F45" s="2" t="s">
        <v>70</v>
      </c>
      <c r="L45" s="47">
        <v>91335.89</v>
      </c>
      <c r="O45" s="2" t="s">
        <v>259</v>
      </c>
      <c r="R45" s="30"/>
    </row>
    <row r="46" spans="2:18">
      <c r="R46" s="30"/>
    </row>
    <row r="47" spans="2:18">
      <c r="B47" s="1" t="s">
        <v>116</v>
      </c>
      <c r="Q47" s="2" t="s">
        <v>331</v>
      </c>
      <c r="R47" s="30"/>
    </row>
    <row r="48" spans="2:18">
      <c r="B48" s="2" t="s">
        <v>112</v>
      </c>
      <c r="F48" s="2" t="s">
        <v>70</v>
      </c>
      <c r="L48" s="47">
        <v>352537.08</v>
      </c>
      <c r="O48" s="2" t="s">
        <v>259</v>
      </c>
      <c r="R48" s="30"/>
    </row>
    <row r="49" spans="2:18">
      <c r="B49" s="2" t="s">
        <v>113</v>
      </c>
      <c r="F49" s="2" t="s">
        <v>70</v>
      </c>
      <c r="L49" s="47">
        <v>-370546</v>
      </c>
      <c r="O49" s="2" t="s">
        <v>259</v>
      </c>
      <c r="R49" s="30"/>
    </row>
    <row r="50" spans="2:18">
      <c r="B50" s="2" t="s">
        <v>114</v>
      </c>
      <c r="F50" s="2" t="s">
        <v>70</v>
      </c>
      <c r="L50" s="47">
        <v>-101297.91</v>
      </c>
      <c r="O50" s="2" t="s">
        <v>259</v>
      </c>
      <c r="R50" s="30"/>
    </row>
    <row r="51" spans="2:18">
      <c r="B51" s="2" t="s">
        <v>115</v>
      </c>
      <c r="F51" s="2" t="s">
        <v>70</v>
      </c>
      <c r="L51" s="47">
        <v>-60514.46</v>
      </c>
      <c r="O51" s="2" t="s">
        <v>259</v>
      </c>
      <c r="R51" s="30"/>
    </row>
    <row r="52" spans="2:18">
      <c r="B52" s="2" t="s">
        <v>76</v>
      </c>
      <c r="F52" s="2" t="s">
        <v>70</v>
      </c>
      <c r="L52" s="47">
        <v>161812</v>
      </c>
      <c r="O52" s="2" t="s">
        <v>259</v>
      </c>
    </row>
    <row r="54" spans="2:18">
      <c r="B54" s="2" t="s">
        <v>151</v>
      </c>
      <c r="F54" s="2" t="s">
        <v>70</v>
      </c>
      <c r="L54" s="44">
        <f>SUM(L44:L52)</f>
        <v>1659242.6200000006</v>
      </c>
      <c r="O54" s="2" t="s">
        <v>329</v>
      </c>
    </row>
    <row r="56" spans="2:18">
      <c r="B56" s="1" t="s">
        <v>328</v>
      </c>
      <c r="R56" s="30"/>
    </row>
    <row r="57" spans="2:18">
      <c r="B57" s="2" t="s">
        <v>75</v>
      </c>
      <c r="F57" s="2" t="s">
        <v>70</v>
      </c>
      <c r="L57" s="47">
        <f>111950.21</f>
        <v>111950.21</v>
      </c>
      <c r="O57" s="2" t="s">
        <v>351</v>
      </c>
    </row>
    <row r="60" spans="2:18" s="9" customFormat="1">
      <c r="B60" s="9" t="s">
        <v>187</v>
      </c>
    </row>
    <row r="62" spans="2:18">
      <c r="B62" s="2" t="s">
        <v>276</v>
      </c>
      <c r="F62" s="2" t="s">
        <v>65</v>
      </c>
      <c r="L62" s="47">
        <v>104402923</v>
      </c>
      <c r="O62" s="2" t="s">
        <v>361</v>
      </c>
    </row>
    <row r="64" spans="2:18">
      <c r="B64" s="1" t="s">
        <v>188</v>
      </c>
    </row>
    <row r="65" spans="2:15">
      <c r="B65" s="46" t="s">
        <v>169</v>
      </c>
      <c r="F65" s="2" t="s">
        <v>170</v>
      </c>
      <c r="M65" s="47">
        <v>276142</v>
      </c>
      <c r="O65" s="2" t="s">
        <v>177</v>
      </c>
    </row>
    <row r="66" spans="2:15">
      <c r="B66" s="46" t="s">
        <v>171</v>
      </c>
      <c r="F66" s="2" t="s">
        <v>170</v>
      </c>
      <c r="M66" s="47">
        <v>1357740</v>
      </c>
      <c r="O66" s="2" t="s">
        <v>177</v>
      </c>
    </row>
    <row r="67" spans="2:15">
      <c r="B67" s="2" t="s">
        <v>133</v>
      </c>
      <c r="F67" s="2" t="s">
        <v>170</v>
      </c>
      <c r="M67" s="43">
        <f>SUM(M65:M66)</f>
        <v>1633882</v>
      </c>
    </row>
  </sheetData>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Q93"/>
  <sheetViews>
    <sheetView showGridLines="0" zoomScale="85" zoomScaleNormal="85" workbookViewId="0">
      <pane xSplit="6" ySplit="9" topLeftCell="G10"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79.42578125" style="2" customWidth="1"/>
    <col min="3" max="3" width="4.140625" style="2" customWidth="1"/>
    <col min="4" max="5" width="4.5703125" style="2" customWidth="1"/>
    <col min="6" max="6" width="21"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3" width="17.28515625" style="2" customWidth="1"/>
    <col min="14" max="14" width="2.7109375" style="2" customWidth="1"/>
    <col min="15" max="15" width="16.140625" style="2" customWidth="1"/>
    <col min="16" max="16" width="2.7109375" style="2" customWidth="1"/>
    <col min="17" max="31" width="13.7109375" style="2" customWidth="1"/>
    <col min="32" max="16384" width="9.140625" style="2"/>
  </cols>
  <sheetData>
    <row r="2" spans="2:17" s="20" customFormat="1" ht="18">
      <c r="B2" s="20" t="s">
        <v>341</v>
      </c>
    </row>
    <row r="4" spans="2:17">
      <c r="B4" s="31" t="s">
        <v>26</v>
      </c>
      <c r="C4" s="1"/>
      <c r="D4" s="1"/>
      <c r="L4" s="49"/>
    </row>
    <row r="5" spans="2:17">
      <c r="B5" s="26" t="s">
        <v>209</v>
      </c>
      <c r="C5" s="3"/>
      <c r="D5" s="3"/>
      <c r="H5" s="21"/>
    </row>
    <row r="6" spans="2:17">
      <c r="C6" s="3"/>
      <c r="D6" s="3"/>
      <c r="H6" s="21"/>
    </row>
    <row r="8" spans="2:17" s="9" customFormat="1" ht="25.5">
      <c r="B8" s="9" t="s">
        <v>43</v>
      </c>
      <c r="F8" s="9" t="s">
        <v>24</v>
      </c>
      <c r="H8" s="9" t="s">
        <v>25</v>
      </c>
      <c r="J8" s="9" t="s">
        <v>47</v>
      </c>
      <c r="L8" s="45" t="s">
        <v>68</v>
      </c>
      <c r="M8" s="45" t="s">
        <v>106</v>
      </c>
      <c r="O8" s="9" t="s">
        <v>44</v>
      </c>
      <c r="Q8" s="9" t="s">
        <v>45</v>
      </c>
    </row>
    <row r="11" spans="2:17" s="9" customFormat="1">
      <c r="B11" s="9" t="s">
        <v>224</v>
      </c>
    </row>
    <row r="13" spans="2:17">
      <c r="B13" s="1" t="s">
        <v>210</v>
      </c>
    </row>
    <row r="14" spans="2:17">
      <c r="B14" s="2" t="s">
        <v>211</v>
      </c>
      <c r="F14" s="2" t="s">
        <v>226</v>
      </c>
      <c r="L14" s="47">
        <v>66780</v>
      </c>
      <c r="O14" s="2" t="s">
        <v>124</v>
      </c>
    </row>
    <row r="15" spans="2:17">
      <c r="B15" s="2" t="s">
        <v>212</v>
      </c>
      <c r="F15" s="2" t="s">
        <v>226</v>
      </c>
      <c r="L15" s="47">
        <v>63720</v>
      </c>
      <c r="O15" s="2" t="s">
        <v>124</v>
      </c>
    </row>
    <row r="16" spans="2:17">
      <c r="B16" s="2" t="s">
        <v>213</v>
      </c>
      <c r="F16" s="2" t="s">
        <v>226</v>
      </c>
      <c r="L16" s="47">
        <v>97800</v>
      </c>
      <c r="O16" s="2" t="s">
        <v>124</v>
      </c>
    </row>
    <row r="17" spans="2:15">
      <c r="B17" s="2" t="s">
        <v>214</v>
      </c>
      <c r="F17" s="2" t="s">
        <v>226</v>
      </c>
      <c r="L17" s="47">
        <v>42400</v>
      </c>
      <c r="O17" s="2" t="s">
        <v>124</v>
      </c>
    </row>
    <row r="18" spans="2:15">
      <c r="B18" s="2" t="s">
        <v>215</v>
      </c>
      <c r="F18" s="2" t="s">
        <v>226</v>
      </c>
      <c r="L18" s="47">
        <v>84915</v>
      </c>
      <c r="O18" s="2" t="s">
        <v>124</v>
      </c>
    </row>
    <row r="19" spans="2:15">
      <c r="B19" s="2" t="s">
        <v>216</v>
      </c>
      <c r="F19" s="2" t="s">
        <v>226</v>
      </c>
      <c r="L19" s="47">
        <v>59970</v>
      </c>
      <c r="O19" s="2" t="s">
        <v>124</v>
      </c>
    </row>
    <row r="20" spans="2:15">
      <c r="B20" s="2" t="s">
        <v>217</v>
      </c>
      <c r="F20" s="2" t="s">
        <v>226</v>
      </c>
      <c r="L20" s="47">
        <v>202571</v>
      </c>
      <c r="O20" s="2" t="s">
        <v>124</v>
      </c>
    </row>
    <row r="21" spans="2:15">
      <c r="B21" s="2" t="s">
        <v>218</v>
      </c>
      <c r="F21" s="2" t="s">
        <v>226</v>
      </c>
      <c r="L21" s="47">
        <v>308377</v>
      </c>
      <c r="O21" s="2" t="s">
        <v>124</v>
      </c>
    </row>
    <row r="22" spans="2:15">
      <c r="B22" s="2" t="s">
        <v>219</v>
      </c>
      <c r="F22" s="2" t="s">
        <v>226</v>
      </c>
      <c r="L22" s="47">
        <v>478556</v>
      </c>
      <c r="O22" s="2" t="s">
        <v>124</v>
      </c>
    </row>
    <row r="23" spans="2:15">
      <c r="B23" s="2" t="s">
        <v>220</v>
      </c>
      <c r="F23" s="2" t="s">
        <v>226</v>
      </c>
      <c r="L23" s="47">
        <v>403086</v>
      </c>
      <c r="O23" s="2" t="s">
        <v>124</v>
      </c>
    </row>
    <row r="24" spans="2:15">
      <c r="B24" s="2" t="s">
        <v>221</v>
      </c>
      <c r="F24" s="2" t="s">
        <v>226</v>
      </c>
      <c r="L24" s="47">
        <v>294105</v>
      </c>
      <c r="O24" s="2" t="s">
        <v>124</v>
      </c>
    </row>
    <row r="25" spans="2:15">
      <c r="B25" s="2" t="s">
        <v>222</v>
      </c>
      <c r="F25" s="2" t="s">
        <v>226</v>
      </c>
      <c r="L25" s="47">
        <v>215931</v>
      </c>
      <c r="O25" s="2" t="s">
        <v>124</v>
      </c>
    </row>
    <row r="28" spans="2:15">
      <c r="B28" s="1" t="s">
        <v>223</v>
      </c>
    </row>
    <row r="29" spans="2:15">
      <c r="B29" s="73" t="s">
        <v>232</v>
      </c>
      <c r="F29" s="2" t="s">
        <v>332</v>
      </c>
      <c r="L29" s="78">
        <v>0.58799999999999997</v>
      </c>
      <c r="O29" s="2" t="s">
        <v>86</v>
      </c>
    </row>
    <row r="30" spans="2:15">
      <c r="B30" s="29" t="s">
        <v>233</v>
      </c>
      <c r="F30" s="2" t="s">
        <v>332</v>
      </c>
      <c r="L30" s="78">
        <v>0.58099999999999996</v>
      </c>
      <c r="O30" s="26" t="s">
        <v>290</v>
      </c>
    </row>
    <row r="31" spans="2:15">
      <c r="B31" s="2" t="s">
        <v>211</v>
      </c>
      <c r="F31" s="2" t="s">
        <v>332</v>
      </c>
      <c r="L31" s="54">
        <v>0.59</v>
      </c>
      <c r="O31" s="2" t="s">
        <v>124</v>
      </c>
    </row>
    <row r="32" spans="2:15">
      <c r="B32" s="2" t="s">
        <v>212</v>
      </c>
      <c r="F32" s="2" t="s">
        <v>332</v>
      </c>
      <c r="L32" s="54">
        <v>0.65060000000000007</v>
      </c>
      <c r="O32" s="2" t="s">
        <v>124</v>
      </c>
    </row>
    <row r="33" spans="2:15">
      <c r="B33" s="2" t="s">
        <v>213</v>
      </c>
      <c r="F33" s="2" t="s">
        <v>332</v>
      </c>
      <c r="L33" s="54">
        <v>0.624</v>
      </c>
      <c r="O33" s="2" t="s">
        <v>124</v>
      </c>
    </row>
    <row r="34" spans="2:15">
      <c r="B34" s="2" t="s">
        <v>214</v>
      </c>
      <c r="F34" s="2" t="s">
        <v>332</v>
      </c>
      <c r="L34" s="54">
        <v>0.65</v>
      </c>
      <c r="O34" s="2" t="s">
        <v>124</v>
      </c>
    </row>
    <row r="35" spans="2:15">
      <c r="B35" s="2" t="s">
        <v>215</v>
      </c>
      <c r="F35" s="2" t="s">
        <v>332</v>
      </c>
      <c r="L35" s="54">
        <v>0.66</v>
      </c>
      <c r="O35" s="2" t="s">
        <v>124</v>
      </c>
    </row>
    <row r="36" spans="2:15">
      <c r="B36" s="2" t="s">
        <v>216</v>
      </c>
      <c r="F36" s="2" t="s">
        <v>332</v>
      </c>
      <c r="L36" s="54">
        <v>0.65999999999999992</v>
      </c>
      <c r="O36" s="2" t="s">
        <v>124</v>
      </c>
    </row>
    <row r="37" spans="2:15">
      <c r="B37" s="2" t="s">
        <v>217</v>
      </c>
      <c r="F37" s="2" t="s">
        <v>332</v>
      </c>
      <c r="L37" s="54">
        <v>0.65999999999999992</v>
      </c>
      <c r="O37" s="2" t="s">
        <v>124</v>
      </c>
    </row>
    <row r="38" spans="2:15">
      <c r="B38" s="2" t="s">
        <v>218</v>
      </c>
      <c r="F38" s="2" t="s">
        <v>332</v>
      </c>
      <c r="L38" s="54">
        <v>0.66359999999999997</v>
      </c>
      <c r="O38" s="2" t="s">
        <v>124</v>
      </c>
    </row>
    <row r="39" spans="2:15">
      <c r="B39" s="2" t="s">
        <v>219</v>
      </c>
      <c r="F39" s="2" t="s">
        <v>332</v>
      </c>
      <c r="L39" s="54">
        <v>0.67879999999999996</v>
      </c>
      <c r="O39" s="2" t="s">
        <v>124</v>
      </c>
    </row>
    <row r="40" spans="2:15">
      <c r="B40" s="2" t="s">
        <v>220</v>
      </c>
      <c r="F40" s="2" t="s">
        <v>332</v>
      </c>
      <c r="L40" s="54">
        <v>0.71530000000000005</v>
      </c>
      <c r="O40" s="2" t="s">
        <v>124</v>
      </c>
    </row>
    <row r="41" spans="2:15">
      <c r="B41" s="2" t="s">
        <v>221</v>
      </c>
      <c r="F41" s="2" t="s">
        <v>332</v>
      </c>
      <c r="L41" s="54">
        <v>0.72499999999999998</v>
      </c>
      <c r="O41" s="2" t="s">
        <v>124</v>
      </c>
    </row>
    <row r="42" spans="2:15">
      <c r="B42" s="2" t="s">
        <v>222</v>
      </c>
      <c r="F42" s="2" t="s">
        <v>332</v>
      </c>
      <c r="L42" s="54">
        <v>0.70469999999999999</v>
      </c>
      <c r="O42" s="2" t="s">
        <v>124</v>
      </c>
    </row>
    <row r="45" spans="2:15">
      <c r="B45" s="1" t="s">
        <v>225</v>
      </c>
    </row>
    <row r="46" spans="2:15">
      <c r="B46" s="2" t="s">
        <v>211</v>
      </c>
      <c r="F46" s="2" t="s">
        <v>65</v>
      </c>
      <c r="L46" s="47">
        <v>256045</v>
      </c>
      <c r="O46" s="2" t="s">
        <v>124</v>
      </c>
    </row>
    <row r="47" spans="2:15">
      <c r="B47" s="2" t="s">
        <v>212</v>
      </c>
      <c r="F47" s="2" t="s">
        <v>65</v>
      </c>
      <c r="L47" s="47">
        <v>273069</v>
      </c>
      <c r="O47" s="2" t="s">
        <v>124</v>
      </c>
    </row>
    <row r="48" spans="2:15">
      <c r="B48" s="2" t="s">
        <v>213</v>
      </c>
      <c r="F48" s="2" t="s">
        <v>65</v>
      </c>
      <c r="L48" s="47">
        <v>346246</v>
      </c>
      <c r="O48" s="2" t="s">
        <v>124</v>
      </c>
    </row>
    <row r="49" spans="2:15">
      <c r="B49" s="2" t="s">
        <v>214</v>
      </c>
      <c r="F49" s="2" t="s">
        <v>65</v>
      </c>
      <c r="L49" s="47">
        <v>169290</v>
      </c>
      <c r="O49" s="2" t="s">
        <v>124</v>
      </c>
    </row>
    <row r="50" spans="2:15">
      <c r="B50" s="2" t="s">
        <v>215</v>
      </c>
      <c r="F50" s="2" t="s">
        <v>65</v>
      </c>
      <c r="L50" s="47">
        <v>339730</v>
      </c>
      <c r="O50" s="2" t="s">
        <v>124</v>
      </c>
    </row>
    <row r="51" spans="2:15">
      <c r="B51" s="2" t="s">
        <v>216</v>
      </c>
      <c r="F51" s="2" t="s">
        <v>65</v>
      </c>
      <c r="L51" s="47">
        <v>187520</v>
      </c>
      <c r="O51" s="2" t="s">
        <v>124</v>
      </c>
    </row>
    <row r="52" spans="2:15">
      <c r="B52" s="2" t="s">
        <v>217</v>
      </c>
      <c r="F52" s="2" t="s">
        <v>65</v>
      </c>
      <c r="L52" s="47">
        <v>721549.9999999993</v>
      </c>
      <c r="O52" s="2" t="s">
        <v>124</v>
      </c>
    </row>
    <row r="53" spans="2:15">
      <c r="B53" s="2" t="s">
        <v>218</v>
      </c>
      <c r="F53" s="2" t="s">
        <v>65</v>
      </c>
      <c r="L53" s="47">
        <v>1131977.2799999998</v>
      </c>
      <c r="O53" s="2" t="s">
        <v>124</v>
      </c>
    </row>
    <row r="54" spans="2:15">
      <c r="B54" s="2" t="s">
        <v>219</v>
      </c>
      <c r="F54" s="2" t="s">
        <v>65</v>
      </c>
      <c r="L54" s="47">
        <v>1738280.3200000003</v>
      </c>
      <c r="O54" s="2" t="s">
        <v>124</v>
      </c>
    </row>
    <row r="55" spans="2:15">
      <c r="B55" s="2" t="s">
        <v>220</v>
      </c>
      <c r="F55" s="2" t="s">
        <v>65</v>
      </c>
      <c r="L55" s="47">
        <v>1587160.32</v>
      </c>
      <c r="O55" s="2" t="s">
        <v>124</v>
      </c>
    </row>
    <row r="56" spans="2:15">
      <c r="B56" s="2" t="s">
        <v>221</v>
      </c>
      <c r="F56" s="2" t="s">
        <v>65</v>
      </c>
      <c r="L56" s="47">
        <v>1139650.0599999996</v>
      </c>
      <c r="O56" s="2" t="s">
        <v>124</v>
      </c>
    </row>
    <row r="57" spans="2:15">
      <c r="B57" s="2" t="s">
        <v>222</v>
      </c>
      <c r="F57" s="2" t="s">
        <v>65</v>
      </c>
      <c r="L57" s="47">
        <v>758046.43000000028</v>
      </c>
      <c r="O57" s="2" t="s">
        <v>124</v>
      </c>
    </row>
    <row r="59" spans="2:15">
      <c r="B59" s="26" t="s">
        <v>227</v>
      </c>
      <c r="F59" s="2" t="s">
        <v>65</v>
      </c>
      <c r="L59" s="44">
        <f>SUM(L46:L57)</f>
        <v>8648564.4100000001</v>
      </c>
    </row>
    <row r="62" spans="2:15">
      <c r="B62" s="1" t="s">
        <v>240</v>
      </c>
      <c r="J62" s="81"/>
    </row>
    <row r="63" spans="2:15">
      <c r="B63" s="2" t="s">
        <v>211</v>
      </c>
      <c r="F63" s="2" t="s">
        <v>65</v>
      </c>
      <c r="J63" s="82"/>
      <c r="L63" s="47">
        <v>27954</v>
      </c>
      <c r="O63" s="2" t="s">
        <v>132</v>
      </c>
    </row>
    <row r="64" spans="2:15">
      <c r="B64" s="2" t="s">
        <v>212</v>
      </c>
      <c r="F64" s="2" t="s">
        <v>65</v>
      </c>
      <c r="J64" s="82"/>
      <c r="L64" s="47">
        <v>27278</v>
      </c>
      <c r="O64" s="2" t="s">
        <v>132</v>
      </c>
    </row>
    <row r="65" spans="2:15">
      <c r="B65" s="2" t="s">
        <v>213</v>
      </c>
      <c r="F65" s="2" t="s">
        <v>65</v>
      </c>
      <c r="J65" s="82"/>
      <c r="L65" s="47">
        <v>27685</v>
      </c>
      <c r="O65" s="2" t="s">
        <v>132</v>
      </c>
    </row>
    <row r="66" spans="2:15">
      <c r="B66" s="2" t="s">
        <v>214</v>
      </c>
      <c r="F66" s="2" t="s">
        <v>65</v>
      </c>
      <c r="J66" s="82"/>
      <c r="L66" s="47">
        <v>28120</v>
      </c>
      <c r="O66" s="2" t="s">
        <v>132</v>
      </c>
    </row>
    <row r="67" spans="2:15">
      <c r="B67" s="2" t="s">
        <v>215</v>
      </c>
      <c r="F67" s="2" t="s">
        <v>65</v>
      </c>
      <c r="J67" s="82"/>
      <c r="L67" s="47">
        <v>26933</v>
      </c>
      <c r="O67" s="2" t="s">
        <v>132</v>
      </c>
    </row>
    <row r="68" spans="2:15">
      <c r="B68" s="2" t="s">
        <v>216</v>
      </c>
      <c r="F68" s="2" t="s">
        <v>65</v>
      </c>
      <c r="J68" s="82"/>
      <c r="L68" s="47">
        <v>24142</v>
      </c>
      <c r="O68" s="2" t="s">
        <v>132</v>
      </c>
    </row>
    <row r="69" spans="2:15">
      <c r="B69" s="2" t="s">
        <v>217</v>
      </c>
      <c r="F69" s="2" t="s">
        <v>65</v>
      </c>
      <c r="J69" s="82"/>
      <c r="L69" s="47">
        <v>29477</v>
      </c>
      <c r="O69" s="2" t="s">
        <v>132</v>
      </c>
    </row>
    <row r="70" spans="2:15">
      <c r="B70" s="2" t="s">
        <v>218</v>
      </c>
      <c r="F70" s="2" t="s">
        <v>65</v>
      </c>
      <c r="J70" s="82"/>
      <c r="L70" s="47">
        <v>28507</v>
      </c>
      <c r="O70" s="2" t="s">
        <v>132</v>
      </c>
    </row>
    <row r="71" spans="2:15">
      <c r="B71" s="2" t="s">
        <v>219</v>
      </c>
      <c r="F71" s="2" t="s">
        <v>65</v>
      </c>
      <c r="J71" s="82"/>
      <c r="L71" s="47">
        <v>29398</v>
      </c>
      <c r="O71" s="2" t="s">
        <v>132</v>
      </c>
    </row>
    <row r="72" spans="2:15">
      <c r="B72" s="2" t="s">
        <v>220</v>
      </c>
      <c r="F72" s="2" t="s">
        <v>65</v>
      </c>
      <c r="J72" s="82"/>
      <c r="L72" s="47">
        <v>28021</v>
      </c>
      <c r="O72" s="2" t="s">
        <v>132</v>
      </c>
    </row>
    <row r="73" spans="2:15">
      <c r="B73" s="2" t="s">
        <v>221</v>
      </c>
      <c r="F73" s="2" t="s">
        <v>65</v>
      </c>
      <c r="J73" s="82"/>
      <c r="L73" s="47">
        <v>26340</v>
      </c>
      <c r="O73" s="2" t="s">
        <v>132</v>
      </c>
    </row>
    <row r="74" spans="2:15">
      <c r="B74" s="2" t="s">
        <v>222</v>
      </c>
      <c r="F74" s="2" t="s">
        <v>65</v>
      </c>
      <c r="J74" s="82"/>
      <c r="L74" s="47">
        <v>24641</v>
      </c>
      <c r="O74" s="2" t="s">
        <v>132</v>
      </c>
    </row>
    <row r="75" spans="2:15">
      <c r="J75" s="82"/>
    </row>
    <row r="76" spans="2:15">
      <c r="B76" s="26" t="s">
        <v>241</v>
      </c>
      <c r="F76" s="2" t="s">
        <v>65</v>
      </c>
      <c r="J76" s="81"/>
      <c r="L76" s="44">
        <f>SUM(L63:L74)</f>
        <v>328496</v>
      </c>
      <c r="O76" s="6"/>
    </row>
    <row r="77" spans="2:15">
      <c r="J77" s="81"/>
    </row>
    <row r="78" spans="2:15">
      <c r="J78" s="81"/>
    </row>
    <row r="79" spans="2:15">
      <c r="B79" s="1" t="s">
        <v>242</v>
      </c>
    </row>
    <row r="80" spans="2:15">
      <c r="B80" s="2" t="s">
        <v>211</v>
      </c>
      <c r="F80" s="2" t="s">
        <v>65</v>
      </c>
      <c r="L80" s="44">
        <f t="shared" ref="L80:L91" si="0">L46+L63</f>
        <v>283999</v>
      </c>
    </row>
    <row r="81" spans="2:12">
      <c r="B81" s="2" t="s">
        <v>212</v>
      </c>
      <c r="F81" s="2" t="s">
        <v>65</v>
      </c>
      <c r="L81" s="44">
        <f t="shared" si="0"/>
        <v>300347</v>
      </c>
    </row>
    <row r="82" spans="2:12">
      <c r="B82" s="2" t="s">
        <v>213</v>
      </c>
      <c r="F82" s="2" t="s">
        <v>65</v>
      </c>
      <c r="L82" s="44">
        <f t="shared" si="0"/>
        <v>373931</v>
      </c>
    </row>
    <row r="83" spans="2:12">
      <c r="B83" s="2" t="s">
        <v>214</v>
      </c>
      <c r="F83" s="2" t="s">
        <v>65</v>
      </c>
      <c r="L83" s="44">
        <f t="shared" si="0"/>
        <v>197410</v>
      </c>
    </row>
    <row r="84" spans="2:12">
      <c r="B84" s="2" t="s">
        <v>215</v>
      </c>
      <c r="F84" s="2" t="s">
        <v>65</v>
      </c>
      <c r="L84" s="44">
        <f t="shared" si="0"/>
        <v>366663</v>
      </c>
    </row>
    <row r="85" spans="2:12">
      <c r="B85" s="2" t="s">
        <v>216</v>
      </c>
      <c r="F85" s="2" t="s">
        <v>65</v>
      </c>
      <c r="L85" s="44">
        <f t="shared" si="0"/>
        <v>211662</v>
      </c>
    </row>
    <row r="86" spans="2:12">
      <c r="B86" s="2" t="s">
        <v>217</v>
      </c>
      <c r="F86" s="2" t="s">
        <v>65</v>
      </c>
      <c r="L86" s="44">
        <f t="shared" si="0"/>
        <v>751026.9999999993</v>
      </c>
    </row>
    <row r="87" spans="2:12">
      <c r="B87" s="2" t="s">
        <v>218</v>
      </c>
      <c r="F87" s="2" t="s">
        <v>65</v>
      </c>
      <c r="L87" s="44">
        <f t="shared" si="0"/>
        <v>1160484.2799999998</v>
      </c>
    </row>
    <row r="88" spans="2:12">
      <c r="B88" s="2" t="s">
        <v>219</v>
      </c>
      <c r="F88" s="2" t="s">
        <v>65</v>
      </c>
      <c r="L88" s="44">
        <f t="shared" si="0"/>
        <v>1767678.3200000003</v>
      </c>
    </row>
    <row r="89" spans="2:12">
      <c r="B89" s="2" t="s">
        <v>220</v>
      </c>
      <c r="F89" s="2" t="s">
        <v>65</v>
      </c>
      <c r="L89" s="44">
        <f t="shared" si="0"/>
        <v>1615181.32</v>
      </c>
    </row>
    <row r="90" spans="2:12">
      <c r="B90" s="2" t="s">
        <v>221</v>
      </c>
      <c r="F90" s="2" t="s">
        <v>65</v>
      </c>
      <c r="L90" s="44">
        <f t="shared" si="0"/>
        <v>1165990.0599999996</v>
      </c>
    </row>
    <row r="91" spans="2:12">
      <c r="B91" s="2" t="s">
        <v>222</v>
      </c>
      <c r="F91" s="2" t="s">
        <v>65</v>
      </c>
      <c r="L91" s="44">
        <f t="shared" si="0"/>
        <v>782687.43000000028</v>
      </c>
    </row>
    <row r="93" spans="2:12">
      <c r="B93" s="26" t="s">
        <v>243</v>
      </c>
      <c r="F93" s="2" t="s">
        <v>65</v>
      </c>
      <c r="L93" s="44">
        <f>L59+L76</f>
        <v>8977060.4100000001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2:R29"/>
  <sheetViews>
    <sheetView showGridLines="0" zoomScale="85" zoomScaleNormal="85" workbookViewId="0">
      <pane xSplit="6" ySplit="14" topLeftCell="G15" activePane="bottomRight" state="frozen"/>
      <selection activeCell="Q51" sqref="Q51"/>
      <selection pane="topRight" activeCell="Q51" sqref="Q51"/>
      <selection pane="bottomLeft" activeCell="Q51" sqref="Q51"/>
      <selection pane="bottomRight"/>
    </sheetView>
  </sheetViews>
  <sheetFormatPr defaultRowHeight="12.75"/>
  <cols>
    <col min="1" max="1" width="4" style="2" customWidth="1"/>
    <col min="2" max="2" width="41.42578125" style="2" customWidth="1"/>
    <col min="3"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4" width="12.5703125" style="2" customWidth="1"/>
    <col min="15" max="15" width="2.7109375" style="2" customWidth="1"/>
    <col min="16" max="16" width="17.140625" style="2" customWidth="1"/>
    <col min="17" max="17" width="2.7109375" style="2" customWidth="1"/>
    <col min="18" max="18" width="13.7109375" style="2" customWidth="1"/>
    <col min="19" max="19" width="2.7109375" style="2" customWidth="1"/>
    <col min="20" max="34" width="13.7109375" style="2" customWidth="1"/>
    <col min="35" max="16384" width="9.140625" style="2"/>
  </cols>
  <sheetData>
    <row r="2" spans="2:18" s="20" customFormat="1" ht="18">
      <c r="B2" s="20" t="s">
        <v>294</v>
      </c>
    </row>
    <row r="4" spans="2:18">
      <c r="B4" s="31" t="s">
        <v>26</v>
      </c>
      <c r="C4" s="1"/>
      <c r="D4" s="1"/>
      <c r="L4" s="49"/>
    </row>
    <row r="5" spans="2:18">
      <c r="B5" s="26" t="s">
        <v>295</v>
      </c>
      <c r="C5" s="26"/>
      <c r="D5" s="26"/>
      <c r="H5" s="21"/>
    </row>
    <row r="6" spans="2:18">
      <c r="B6" s="26"/>
      <c r="C6" s="26"/>
      <c r="D6" s="26"/>
      <c r="H6" s="21"/>
    </row>
    <row r="7" spans="2:18">
      <c r="B7" s="32" t="s">
        <v>27</v>
      </c>
      <c r="C7" s="26"/>
      <c r="D7" s="26"/>
      <c r="H7" s="21"/>
    </row>
    <row r="8" spans="2:18">
      <c r="B8" s="5" t="s">
        <v>296</v>
      </c>
      <c r="C8" s="26"/>
      <c r="D8" s="26"/>
    </row>
    <row r="9" spans="2:18">
      <c r="B9" s="5" t="s">
        <v>297</v>
      </c>
      <c r="C9" s="26"/>
      <c r="D9" s="26"/>
    </row>
    <row r="11" spans="2:18">
      <c r="B11" s="5" t="s">
        <v>363</v>
      </c>
    </row>
    <row r="13" spans="2:18" s="9" customFormat="1">
      <c r="B13" s="9" t="s">
        <v>43</v>
      </c>
      <c r="F13" s="9" t="s">
        <v>24</v>
      </c>
      <c r="H13" s="9" t="s">
        <v>25</v>
      </c>
      <c r="J13" s="9" t="s">
        <v>47</v>
      </c>
      <c r="L13" s="9" t="s">
        <v>298</v>
      </c>
      <c r="M13" s="9" t="s">
        <v>299</v>
      </c>
      <c r="N13" s="9" t="s">
        <v>300</v>
      </c>
      <c r="P13" s="9" t="s">
        <v>44</v>
      </c>
      <c r="R13" s="9" t="s">
        <v>45</v>
      </c>
    </row>
    <row r="16" spans="2:18" s="9" customFormat="1">
      <c r="B16" s="9" t="s">
        <v>301</v>
      </c>
    </row>
    <row r="18" spans="2:18">
      <c r="B18" s="2" t="s">
        <v>302</v>
      </c>
      <c r="F18" s="2" t="s">
        <v>84</v>
      </c>
      <c r="L18" s="90">
        <f>-1*0.9%</f>
        <v>-9.0000000000000011E-3</v>
      </c>
      <c r="M18" s="90">
        <f>-1*0.4%</f>
        <v>-4.0000000000000001E-3</v>
      </c>
      <c r="N18" s="90">
        <f>-1*0.5%</f>
        <v>-5.0000000000000001E-3</v>
      </c>
      <c r="P18" s="97" t="s">
        <v>357</v>
      </c>
      <c r="R18" s="26"/>
    </row>
    <row r="19" spans="2:18">
      <c r="B19" s="2" t="s">
        <v>304</v>
      </c>
      <c r="F19" s="2" t="s">
        <v>84</v>
      </c>
      <c r="L19" s="90">
        <v>6.0000000000000001E-3</v>
      </c>
      <c r="M19" s="90">
        <v>2E-3</v>
      </c>
      <c r="N19" s="90">
        <f>-1*0.9%</f>
        <v>-9.0000000000000011E-3</v>
      </c>
    </row>
    <row r="20" spans="2:18">
      <c r="B20" s="2" t="s">
        <v>305</v>
      </c>
      <c r="F20" s="2" t="s">
        <v>84</v>
      </c>
      <c r="L20" s="90">
        <v>6.0000000000000001E-3</v>
      </c>
      <c r="M20" s="90">
        <f>-1*1.3%</f>
        <v>-1.3000000000000001E-2</v>
      </c>
      <c r="N20" s="90">
        <v>2.1000000000000001E-2</v>
      </c>
    </row>
    <row r="21" spans="2:18">
      <c r="B21" s="2" t="s">
        <v>306</v>
      </c>
      <c r="F21" s="2" t="s">
        <v>84</v>
      </c>
      <c r="L21" s="90">
        <v>3.5000000000000003E-2</v>
      </c>
      <c r="M21" s="90">
        <v>4.3999999999999997E-2</v>
      </c>
      <c r="N21" s="90">
        <v>1.0999999999999999E-2</v>
      </c>
      <c r="P21" s="97" t="s">
        <v>358</v>
      </c>
    </row>
    <row r="24" spans="2:18" s="9" customFormat="1" ht="38.25">
      <c r="B24" s="9" t="s">
        <v>308</v>
      </c>
      <c r="L24" s="45" t="s">
        <v>309</v>
      </c>
      <c r="M24" s="45" t="s">
        <v>310</v>
      </c>
      <c r="N24" s="45" t="s">
        <v>311</v>
      </c>
    </row>
    <row r="26" spans="2:18">
      <c r="B26" s="2" t="s">
        <v>312</v>
      </c>
      <c r="F26" s="2" t="s">
        <v>84</v>
      </c>
      <c r="L26" s="48">
        <v>6.5699999999999995E-2</v>
      </c>
      <c r="M26" s="48">
        <v>6.4799999999999996E-2</v>
      </c>
      <c r="N26" s="48">
        <v>6.7400000000000002E-2</v>
      </c>
      <c r="P26" s="99" t="s">
        <v>359</v>
      </c>
    </row>
    <row r="27" spans="2:18">
      <c r="B27" s="2" t="s">
        <v>313</v>
      </c>
      <c r="F27" s="2" t="s">
        <v>84</v>
      </c>
      <c r="L27" s="48">
        <v>6.4899999999999999E-2</v>
      </c>
      <c r="M27" s="48">
        <v>6.4000000000000001E-2</v>
      </c>
      <c r="N27" s="48">
        <v>6.6600000000000006E-2</v>
      </c>
    </row>
    <row r="28" spans="2:18">
      <c r="B28" s="2" t="s">
        <v>314</v>
      </c>
      <c r="F28" s="2" t="s">
        <v>84</v>
      </c>
      <c r="L28" s="48">
        <v>6.4100000000000004E-2</v>
      </c>
      <c r="M28" s="48">
        <v>6.3200000000000006E-2</v>
      </c>
      <c r="N28" s="48">
        <v>6.5799999999999997E-2</v>
      </c>
    </row>
    <row r="29" spans="2:18">
      <c r="F29" s="2" t="s">
        <v>84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0B76403CB6F24694D915B3C168C0E6" ma:contentTypeVersion="0" ma:contentTypeDescription="Een nieuw document maken." ma:contentTypeScope="" ma:versionID="bf02a18621bcb6325d2ad5de47f96fac">
  <xsd:schema xmlns:xsd="http://www.w3.org/2001/XMLSchema" xmlns:xs="http://www.w3.org/2001/XMLSchema" xmlns:p="http://schemas.microsoft.com/office/2006/metadata/properties" targetNamespace="http://schemas.microsoft.com/office/2006/metadata/properties" ma:root="true" ma:fieldsID="a17e5968c79d9fe2fc9f8835eee23f5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BDC70D-3516-47CA-A74A-26D77D0F6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CDAB9D1-B815-4B0E-93E7-4496A7FE99F6}">
  <ds:schemaRefs>
    <ds:schemaRef ds:uri="http://schemas.openxmlformats.org/package/2006/metadata/core-propertie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5AD5E579-EDEB-42CD-B662-5E3E21C16D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Titelblad</vt:lpstr>
      <vt:lpstr>Toelichting</vt:lpstr>
      <vt:lpstr>Bronnen en toepassingen</vt:lpstr>
      <vt:lpstr>Resultaat</vt:lpstr>
      <vt:lpstr>Input --&gt;</vt:lpstr>
      <vt:lpstr>Schatting kosten 2017 E en DW</vt:lpstr>
      <vt:lpstr>Realisatie kosten 2017 E en DW</vt:lpstr>
      <vt:lpstr>Brandstofkosten en volume E</vt:lpstr>
      <vt:lpstr>CPI &amp; WACC</vt:lpstr>
      <vt:lpstr>Berekeningen --&gt;</vt:lpstr>
      <vt:lpstr>Berekening volume-effect E</vt:lpstr>
      <vt:lpstr>Berekening volume-effect DW</vt:lpstr>
      <vt:lpstr>Berekening profit sharing</vt:lpstr>
      <vt:lpstr>Berekening brandstofverschil 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2018-12-14T09:50:04Z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0x010100E20B76403CB6F24694D915B3C168C0E6</vt:lpwstr>
  </property>
</Properties>
</file>