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980" windowHeight="7560" tabRatio="926"/>
  </bookViews>
  <sheets>
    <sheet name="Title page" sheetId="9" r:id="rId1"/>
    <sheet name="Explanation" sheetId="10" r:id="rId2"/>
    <sheet name="Sources and applications" sheetId="11" r:id="rId3"/>
    <sheet name="Result" sheetId="21" r:id="rId4"/>
    <sheet name="Input --&gt;" sheetId="13" r:id="rId5"/>
    <sheet name="Estimation for 2017" sheetId="18" r:id="rId6"/>
    <sheet name="Realization of 2017" sheetId="26" r:id="rId7"/>
    <sheet name="Fuel costs" sheetId="27" r:id="rId8"/>
    <sheet name="CPI &amp; WACC" sheetId="32" r:id="rId9"/>
    <sheet name="Calculations --&gt;" sheetId="15" r:id="rId10"/>
    <sheet name="Volume-effect correction E" sheetId="22" r:id="rId11"/>
    <sheet name="Volume-effect correction W" sheetId="29" r:id="rId12"/>
    <sheet name="Profit sharing correction" sheetId="28" r:id="rId13"/>
    <sheet name="Fuel price correction" sheetId="30" r:id="rId14"/>
    <sheet name="Electricity price correction" sheetId="31" r:id="rId15"/>
  </sheets>
  <calcPr calcId="145621"/>
</workbook>
</file>

<file path=xl/calcChain.xml><?xml version="1.0" encoding="utf-8"?>
<calcChain xmlns="http://schemas.openxmlformats.org/spreadsheetml/2006/main">
  <c r="B16" i="10" l="1"/>
  <c r="B23" i="10" s="1"/>
  <c r="B17" i="10" l="1"/>
  <c r="B18" i="10"/>
  <c r="B22" i="10" s="1"/>
  <c r="G39" i="28"/>
  <c r="H42" i="28"/>
  <c r="H41" i="28"/>
  <c r="G43" i="28"/>
  <c r="G42" i="28"/>
  <c r="G41" i="28"/>
  <c r="E33" i="28"/>
  <c r="H46" i="31" l="1"/>
  <c r="H45" i="31"/>
  <c r="H41" i="31"/>
  <c r="H40" i="31"/>
  <c r="H39" i="31"/>
  <c r="H38" i="31"/>
  <c r="G15" i="30"/>
  <c r="G72" i="27" l="1"/>
  <c r="G71" i="27"/>
  <c r="E32" i="28" l="1"/>
  <c r="E31" i="28" l="1"/>
  <c r="M20" i="32"/>
  <c r="N19" i="32"/>
  <c r="N18" i="32"/>
  <c r="M18" i="32"/>
  <c r="L18" i="32"/>
  <c r="H22" i="31" l="1"/>
  <c r="H21" i="31"/>
  <c r="H17" i="31"/>
  <c r="H18" i="31"/>
  <c r="H19" i="31"/>
  <c r="H30" i="31" s="1"/>
  <c r="H20" i="31"/>
  <c r="H16" i="31"/>
  <c r="H15" i="31"/>
  <c r="H28" i="31" s="1"/>
  <c r="H14" i="31"/>
  <c r="H47" i="31" l="1"/>
  <c r="H51" i="31" s="1"/>
  <c r="H37" i="31"/>
  <c r="H13" i="31" l="1"/>
  <c r="H29" i="31" l="1"/>
  <c r="H32" i="31" l="1"/>
  <c r="H31" i="31"/>
  <c r="G73" i="27"/>
  <c r="G74" i="27"/>
  <c r="G75" i="27"/>
  <c r="G76" i="27"/>
  <c r="G77" i="27"/>
  <c r="G78" i="27"/>
  <c r="G79" i="27"/>
  <c r="G80" i="27"/>
  <c r="G81" i="27"/>
  <c r="G82" i="27"/>
  <c r="H33" i="31" l="1"/>
  <c r="H52" i="31" s="1"/>
  <c r="H54" i="31" s="1"/>
  <c r="G50" i="30"/>
  <c r="G51" i="30"/>
  <c r="G52" i="30"/>
  <c r="G53" i="30"/>
  <c r="G54" i="30"/>
  <c r="G55" i="30"/>
  <c r="G56" i="30"/>
  <c r="G57" i="30"/>
  <c r="G58" i="30"/>
  <c r="G59" i="30"/>
  <c r="G60" i="30"/>
  <c r="G49" i="30"/>
  <c r="G36" i="30"/>
  <c r="G37" i="30"/>
  <c r="G38" i="30"/>
  <c r="G39" i="30"/>
  <c r="G40" i="30"/>
  <c r="G41" i="30"/>
  <c r="G42" i="30"/>
  <c r="G43" i="30"/>
  <c r="G44" i="30"/>
  <c r="G45" i="30"/>
  <c r="G46" i="30"/>
  <c r="G35" i="30"/>
  <c r="G83" i="27"/>
  <c r="G53" i="27"/>
  <c r="H20" i="21" l="1"/>
  <c r="E20" i="21" s="1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19" i="30"/>
  <c r="G14" i="30"/>
  <c r="G13" i="30"/>
  <c r="G99" i="30" l="1"/>
  <c r="G100" i="30"/>
  <c r="G107" i="30"/>
  <c r="G103" i="30"/>
  <c r="G110" i="30"/>
  <c r="G102" i="30"/>
  <c r="G109" i="30"/>
  <c r="G105" i="30"/>
  <c r="G101" i="30"/>
  <c r="G106" i="30"/>
  <c r="G108" i="30"/>
  <c r="G104" i="30"/>
  <c r="G16" i="30"/>
  <c r="G67" i="30" s="1"/>
  <c r="G81" i="30" s="1"/>
  <c r="H19" i="29"/>
  <c r="H16" i="29"/>
  <c r="H13" i="29"/>
  <c r="G68" i="27"/>
  <c r="H24" i="29" l="1"/>
  <c r="H25" i="29"/>
  <c r="G112" i="30"/>
  <c r="G117" i="30" s="1"/>
  <c r="G76" i="30"/>
  <c r="G90" i="30" s="1"/>
  <c r="G73" i="30"/>
  <c r="G87" i="30" s="1"/>
  <c r="G70" i="30"/>
  <c r="G84" i="30" s="1"/>
  <c r="G71" i="30"/>
  <c r="G85" i="30" s="1"/>
  <c r="G75" i="30"/>
  <c r="G89" i="30" s="1"/>
  <c r="G74" i="30"/>
  <c r="G88" i="30" s="1"/>
  <c r="G68" i="30"/>
  <c r="G82" i="30" s="1"/>
  <c r="G77" i="30"/>
  <c r="G91" i="30" s="1"/>
  <c r="G78" i="30"/>
  <c r="G92" i="30" s="1"/>
  <c r="G72" i="30"/>
  <c r="G86" i="30" s="1"/>
  <c r="G69" i="30"/>
  <c r="G83" i="30" s="1"/>
  <c r="G15" i="28"/>
  <c r="H15" i="28"/>
  <c r="H14" i="28"/>
  <c r="G19" i="28"/>
  <c r="H19" i="28"/>
  <c r="H18" i="28"/>
  <c r="G24" i="28"/>
  <c r="H24" i="28"/>
  <c r="H23" i="28"/>
  <c r="H27" i="28"/>
  <c r="H49" i="28" s="1"/>
  <c r="H28" i="28"/>
  <c r="H50" i="28" s="1"/>
  <c r="G28" i="28"/>
  <c r="G50" i="28" s="1"/>
  <c r="G27" i="28"/>
  <c r="G49" i="28" s="1"/>
  <c r="G23" i="28"/>
  <c r="G18" i="28"/>
  <c r="G14" i="28"/>
  <c r="G23" i="22"/>
  <c r="G19" i="22"/>
  <c r="G18" i="22"/>
  <c r="G14" i="22"/>
  <c r="G25" i="18"/>
  <c r="G13" i="22"/>
  <c r="G25" i="26"/>
  <c r="H27" i="29" l="1"/>
  <c r="H13" i="21" s="1"/>
  <c r="G20" i="22"/>
  <c r="G29" i="22" s="1"/>
  <c r="G94" i="30"/>
  <c r="G116" i="30" s="1"/>
  <c r="G48" i="28"/>
  <c r="G52" i="28" s="1"/>
  <c r="G15" i="22"/>
  <c r="G28" i="22" s="1"/>
  <c r="H43" i="28"/>
  <c r="H48" i="28"/>
  <c r="H52" i="28" s="1"/>
  <c r="H39" i="28"/>
  <c r="G119" i="30" l="1"/>
  <c r="G19" i="21" s="1"/>
  <c r="E19" i="21" s="1"/>
  <c r="G31" i="22"/>
  <c r="G13" i="21" s="1"/>
  <c r="G45" i="28"/>
  <c r="G55" i="28" s="1"/>
  <c r="G56" i="28" s="1"/>
  <c r="G16" i="21" s="1"/>
  <c r="H45" i="28"/>
  <c r="H55" i="28" s="1"/>
  <c r="H56" i="28" s="1"/>
  <c r="H16" i="21" s="1"/>
  <c r="E13" i="21" l="1"/>
  <c r="E16" i="21"/>
</calcChain>
</file>

<file path=xl/comments1.xml><?xml version="1.0" encoding="utf-8"?>
<comments xmlns="http://schemas.openxmlformats.org/spreadsheetml/2006/main">
  <authors>
    <author>Auteur</author>
  </authors>
  <commentList>
    <comment ref="B22" authorId="0">
      <text>
        <r>
          <rPr>
            <sz val="8"/>
            <color indexed="81"/>
            <rFont val="Tahoma"/>
            <family val="2"/>
          </rPr>
          <t xml:space="preserve">In alle gevallen dient een (groep van) roze cel(len) voorzien te zijn van een opmerking die uitlegt wat er specifiek zo bijzonder is aan deze roze cellen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E33" authorId="0">
      <text>
        <r>
          <rPr>
            <sz val="8"/>
            <color indexed="81"/>
            <rFont val="Tahoma"/>
            <family val="2"/>
          </rPr>
          <t>Based on the estimation inflation 2017 as calculated in the Production price models for the determination of the tariffs in 2017.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H31" authorId="0">
      <text>
        <r>
          <rPr>
            <sz val="8"/>
            <color indexed="81"/>
            <rFont val="Tahoma"/>
            <family val="2"/>
          </rPr>
          <t>6 months * 100 kWh is included in the fixed electricity costs, 6 months * 900 kWh is priced at the high variable electricity rate. The  kWh usage above 1000 kWh in these 6 months is priced at the low variable electricity rate.</t>
        </r>
      </text>
    </comment>
  </commentList>
</comments>
</file>

<file path=xl/sharedStrings.xml><?xml version="1.0" encoding="utf-8"?>
<sst xmlns="http://schemas.openxmlformats.org/spreadsheetml/2006/main" count="874" uniqueCount="324">
  <si>
    <t>Data</t>
  </si>
  <si>
    <t>Input --&gt;</t>
  </si>
  <si>
    <t xml:space="preserve">Description </t>
  </si>
  <si>
    <t xml:space="preserve">Unit </t>
  </si>
  <si>
    <t>Constant</t>
  </si>
  <si>
    <t>Row total</t>
  </si>
  <si>
    <t>Remarks</t>
  </si>
  <si>
    <t>USD, pl 2017</t>
  </si>
  <si>
    <t>Profit sharing</t>
  </si>
  <si>
    <t>Result</t>
  </si>
  <si>
    <t>Data on the estimation of 2017</t>
  </si>
  <si>
    <t>Source</t>
  </si>
  <si>
    <t>Electricity production</t>
  </si>
  <si>
    <t>Water production</t>
  </si>
  <si>
    <t>Description data</t>
  </si>
  <si>
    <t>Description result</t>
  </si>
  <si>
    <t>Cost data for the estimation of the income of 2017</t>
  </si>
  <si>
    <t>Capital cost</t>
  </si>
  <si>
    <t>USD, pl 2015</t>
  </si>
  <si>
    <t xml:space="preserve">Depreciation </t>
  </si>
  <si>
    <t>%</t>
  </si>
  <si>
    <t>Operational cost</t>
  </si>
  <si>
    <t xml:space="preserve">Operational costs </t>
  </si>
  <si>
    <t>Other income</t>
  </si>
  <si>
    <t>kWh</t>
  </si>
  <si>
    <t xml:space="preserve">Production volume by fuel </t>
  </si>
  <si>
    <t xml:space="preserve">Total production volume </t>
  </si>
  <si>
    <t>Liters/kWh</t>
  </si>
  <si>
    <t xml:space="preserve">Production volume by solar </t>
  </si>
  <si>
    <t>Other data</t>
  </si>
  <si>
    <t>USD/kWh</t>
  </si>
  <si>
    <t>In the annual account of STUCO the realised information is available. We process that information through an RAB-sheet and the OPEX-sheet. The results can be found here.</t>
  </si>
  <si>
    <t>Data on fuel prices of 2017</t>
  </si>
  <si>
    <t>This sheet contains all relevant information concerning fuel costs of STUCO in 2017.</t>
  </si>
  <si>
    <t>Data on used fuel per month</t>
  </si>
  <si>
    <t>January</t>
  </si>
  <si>
    <t>liters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</si>
  <si>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</si>
  <si>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</si>
  <si>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</si>
  <si>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</si>
  <si>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</si>
  <si>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</si>
  <si>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</si>
  <si>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</si>
  <si>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</si>
  <si>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</si>
  <si>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</si>
  <si>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on fuel prices per month</t>
  </si>
  <si>
    <t>November 2016</t>
  </si>
  <si>
    <t>USD/liter, pl 2016</t>
  </si>
  <si>
    <t>December 2016</t>
  </si>
  <si>
    <t>USD/liter, pl 2017</t>
  </si>
  <si>
    <t>Volume-effect correction</t>
  </si>
  <si>
    <t>Description calculation</t>
  </si>
  <si>
    <t xml:space="preserve">Relevant data for volume-effect correction </t>
  </si>
  <si>
    <t xml:space="preserve">Estimated production volume </t>
  </si>
  <si>
    <t xml:space="preserve">Production volume Solar </t>
  </si>
  <si>
    <t>Production volume fuel</t>
  </si>
  <si>
    <t>Realised production volume</t>
  </si>
  <si>
    <t>Calculation volume correction effect</t>
  </si>
  <si>
    <t xml:space="preserve">Estimated income vs. realized income </t>
  </si>
  <si>
    <t xml:space="preserve">Estimated income </t>
  </si>
  <si>
    <t>Realized income</t>
  </si>
  <si>
    <t xml:space="preserve">Relevant data for profit sharing correction </t>
  </si>
  <si>
    <t>Profit sharing correction</t>
  </si>
  <si>
    <t>Estimated costs</t>
  </si>
  <si>
    <t>Realized costs</t>
  </si>
  <si>
    <t>Calculation profit sharing</t>
  </si>
  <si>
    <t>Other parameters</t>
  </si>
  <si>
    <t>Estimated costs for 2017</t>
  </si>
  <si>
    <t>Capital costs</t>
  </si>
  <si>
    <t>Operational costs</t>
  </si>
  <si>
    <t>Total estimated costs for 2017</t>
  </si>
  <si>
    <t>Realized costs for 2017</t>
  </si>
  <si>
    <t>Total realized costs for 2017</t>
  </si>
  <si>
    <t>Difference between realized and estimated costs</t>
  </si>
  <si>
    <t>Cost data for the realization of 2017</t>
  </si>
  <si>
    <t>Production volume by fuel</t>
  </si>
  <si>
    <t xml:space="preserve">Data from production price model </t>
  </si>
  <si>
    <t>20161214 Production price model Electricity STUCO</t>
  </si>
  <si>
    <t>20161214 Production price model Drinking water STUCO</t>
  </si>
  <si>
    <t>Production volume water</t>
  </si>
  <si>
    <t>Estimated data for water production</t>
  </si>
  <si>
    <t>Estimated data for electricity production</t>
  </si>
  <si>
    <t>Total estimated production volume</t>
  </si>
  <si>
    <t>Production yield based on electricity</t>
  </si>
  <si>
    <t>Production yield based on field</t>
  </si>
  <si>
    <t>m3</t>
  </si>
  <si>
    <t>kWh/m3</t>
  </si>
  <si>
    <t>Production price, excl electricity</t>
  </si>
  <si>
    <t>Production price, incl fuel</t>
  </si>
  <si>
    <t>Production price, excl fuel</t>
  </si>
  <si>
    <t>USD/m3</t>
  </si>
  <si>
    <t>Realized data on electricity production</t>
  </si>
  <si>
    <t>Realized data for water production</t>
  </si>
  <si>
    <t>An estimation of the production of Electricity in 2019 by Solar and by Fuel</t>
  </si>
  <si>
    <t>An estimation of the production of Water in 2019</t>
  </si>
  <si>
    <t>Data on electricity production by fuel per month</t>
  </si>
  <si>
    <t>Data on electricity production by solar per month</t>
  </si>
  <si>
    <t>Total electricity production per month</t>
  </si>
  <si>
    <t>Total electricity production by fuel in 2017</t>
  </si>
  <si>
    <t>Total electricity production in 2017</t>
  </si>
  <si>
    <t>Total electricity production by solar in 2017</t>
  </si>
  <si>
    <t>Estimated income</t>
  </si>
  <si>
    <t>Fuel price correction</t>
  </si>
  <si>
    <t xml:space="preserve">Relevant data for fuel price correction correction </t>
  </si>
  <si>
    <t>Data for calculation of monthly fuel part</t>
  </si>
  <si>
    <t>Estimated production by fuel</t>
  </si>
  <si>
    <t>Liter/kWh</t>
  </si>
  <si>
    <t>Total estimated production for 2017</t>
  </si>
  <si>
    <t>Expected share of production by fuel in total production</t>
  </si>
  <si>
    <t>Volume-effect correction Electricity</t>
  </si>
  <si>
    <t>Volume-effect correction Water</t>
  </si>
  <si>
    <t>Fuel price per month</t>
  </si>
  <si>
    <t>Total realized production per month</t>
  </si>
  <si>
    <t>Calculation income from fuel part of the production price</t>
  </si>
  <si>
    <t>Monthly fuel part of the production price</t>
  </si>
  <si>
    <t>The fuel part of the production price in month t is based on the fuel costs in month t-2.</t>
  </si>
  <si>
    <t>Calculation fuel price correction</t>
  </si>
  <si>
    <t>Add-on because of profit sharing</t>
  </si>
  <si>
    <t>Add-on because of volume effect</t>
  </si>
  <si>
    <t>Profit sharing-percentage</t>
  </si>
  <si>
    <t>Total costs fuel</t>
  </si>
  <si>
    <t>Monthly income from fuel part</t>
  </si>
  <si>
    <t>Calculation fuel costs for electricity production</t>
  </si>
  <si>
    <t>Realized production by fuel per month</t>
  </si>
  <si>
    <t>Monthly costs for electricity production by fuel</t>
  </si>
  <si>
    <t>Total income fuel part</t>
  </si>
  <si>
    <t>Total costs fuel for electricity production</t>
  </si>
  <si>
    <t>Total income to cover fuel part for electricity production</t>
  </si>
  <si>
    <t>Data on volumes for the estimation of the production price of 2017</t>
  </si>
  <si>
    <t>Data on volumes for the realization of 2017</t>
  </si>
  <si>
    <t>170810 Informatieverzoek ACM Caribisch Nederland - STUCO - vertaling</t>
  </si>
  <si>
    <t>Production yield based on fuel</t>
  </si>
  <si>
    <t>Variabel distribution tariff electricity July 1st 2017</t>
  </si>
  <si>
    <t>Fixed distribution tariff electricity July 1st 2017</t>
  </si>
  <si>
    <t>USD / KVA / month</t>
  </si>
  <si>
    <t>USD/month</t>
  </si>
  <si>
    <t>Fixed electricity rate Jan 1st - June 30th (including 100 kWh)</t>
  </si>
  <si>
    <t>Tariff 22 (assumption this is the rate for the electricity consumption to produce drinking water)</t>
  </si>
  <si>
    <t>Variable electricity rate Jan 1st - June 30th (100 till 1000 kWh)</t>
  </si>
  <si>
    <t>Variable electricity rate Jan 1st - June 30th (&gt; 1000 kWh)</t>
  </si>
  <si>
    <t>Fuel rate electricity Jan 1st - June 30th</t>
  </si>
  <si>
    <t>Electricity price correction</t>
  </si>
  <si>
    <t>Relevant data for energy component correction</t>
  </si>
  <si>
    <t>Production price drinking water (energy component)</t>
  </si>
  <si>
    <t>Production price, electricity component</t>
  </si>
  <si>
    <t>Calculation electricity costs 1st half 2017</t>
  </si>
  <si>
    <t>Production drinking water 1st half 2017</t>
  </si>
  <si>
    <t>Required amount of electricity to produce this amount</t>
  </si>
  <si>
    <t>USD</t>
  </si>
  <si>
    <t>Total Electricity costs for production drinking water first half 2017</t>
  </si>
  <si>
    <t>Fixed Electricity costs for production drinking water first half 2017</t>
  </si>
  <si>
    <t>Fuel rate electricity first half  2017</t>
  </si>
  <si>
    <t>Variable electricity costs first half 2017</t>
  </si>
  <si>
    <t>Calculation electricity costs 2nd half 2017</t>
  </si>
  <si>
    <t>Fixed electricity costs 2nd half  of 2017</t>
  </si>
  <si>
    <t>Variable electricity costs 2nd half of 2017</t>
  </si>
  <si>
    <t>Total Electricity costs for production drinking water 2nd half 2017</t>
  </si>
  <si>
    <t>Calculation income 2017 to cover electricity costs</t>
  </si>
  <si>
    <t>Total production drinking water 2017</t>
  </si>
  <si>
    <t>Total income to cover electricity costs</t>
  </si>
  <si>
    <t>Calculation electricity component correction</t>
  </si>
  <si>
    <t>Total income to cover electricity part for drinking water production</t>
  </si>
  <si>
    <t>Total costs for electricity for drinking water production</t>
  </si>
  <si>
    <t>Variable distribution tariff electricity July 1st 2017</t>
  </si>
  <si>
    <t>Email STUCO 23-10-2018</t>
  </si>
  <si>
    <t xml:space="preserve">CPI &amp; WACC </t>
  </si>
  <si>
    <t>This sheet shows the CPI and WACC used.</t>
  </si>
  <si>
    <t>Explanatory notes</t>
  </si>
  <si>
    <t xml:space="preserve">The development of the CPI of Q3 year T and Q3 year T-1 will be used as the estimated inflation for the year T+1. The estimated inflation is rounded to one decimal. </t>
  </si>
  <si>
    <t>As of the development of the CPI between Q3 2017 and Q3 2018, the 2017 = 100 serie is used. Before this, the 2010 = 100 serie has been used.</t>
  </si>
  <si>
    <t>Description</t>
  </si>
  <si>
    <t>Unit</t>
  </si>
  <si>
    <t>Comments</t>
  </si>
  <si>
    <t xml:space="preserve">CPI </t>
  </si>
  <si>
    <t xml:space="preserve">Bonaire </t>
  </si>
  <si>
    <t>Saba</t>
  </si>
  <si>
    <t>Sint Eustatius</t>
  </si>
  <si>
    <t>Estimated inflation 2016</t>
  </si>
  <si>
    <t>http://statline.cbs.nl/Statweb/publication/?DM=SLNL&amp;PA=81122NED&amp;D1=0-2&amp;D2=0&amp;D3=a&amp;D4=a&amp;VW=T</t>
  </si>
  <si>
    <t>Estimated inflation 2017</t>
  </si>
  <si>
    <t>Estimated inflation 2018</t>
  </si>
  <si>
    <t>Estimated inflation 2019</t>
  </si>
  <si>
    <t>https://opendata.cbs.nl/statline/#/CBS/nl/dataset/84046NED/table?ts=1541174354543</t>
  </si>
  <si>
    <t xml:space="preserve">WACC </t>
  </si>
  <si>
    <t>Electricity production &amp; distribution</t>
  </si>
  <si>
    <t>Electricity production only</t>
  </si>
  <si>
    <t>Electricity &amp; water combined</t>
  </si>
  <si>
    <t xml:space="preserve">WACC 2017 </t>
  </si>
  <si>
    <t>ACM Decision 2016: Calculating the WACC for energy and water companies in the Caribbean Netherlands</t>
  </si>
  <si>
    <t>WACC 2018</t>
  </si>
  <si>
    <t xml:space="preserve">WACC 2019 </t>
  </si>
  <si>
    <t xml:space="preserve">In December 2016, the ACM determined the production price. ACM determined the production price by estimating the costs and volume of STUCO. This sheet show the data used in this estimation. </t>
  </si>
  <si>
    <t>As set in the ACM Decision with case number 16.0635.53</t>
  </si>
  <si>
    <t>STUCO fuel prices 2017 (input for PS + Tariff model 2019)</t>
  </si>
  <si>
    <t>USD/kVA/month</t>
  </si>
  <si>
    <t>kVA-connection for water production</t>
  </si>
  <si>
    <t>kVA</t>
  </si>
  <si>
    <t xml:space="preserve">Production Price model Electricity </t>
  </si>
  <si>
    <t>Production Price model drinking water</t>
  </si>
  <si>
    <t xml:space="preserve">Estimated electricity production 2019 (solar and fuel) </t>
  </si>
  <si>
    <t>Estimated water production 2019</t>
  </si>
  <si>
    <t>STUCO fuel prices 2017</t>
  </si>
  <si>
    <t>Informatieverzoek ACM</t>
  </si>
  <si>
    <t>ACM WACC decision 2016</t>
  </si>
  <si>
    <t xml:space="preserve">Production price model electricity &amp; Production price model drinking water </t>
  </si>
  <si>
    <t>Production price model electricity</t>
  </si>
  <si>
    <t>Production price model drinking water</t>
  </si>
  <si>
    <t>Rekenmodel STUCO 2018</t>
  </si>
  <si>
    <t>Rekenmodel Distributietarieven Elektriciteit STUCO 2017</t>
  </si>
  <si>
    <t xml:space="preserve">Distributietarieven Elektriciteit 2017 </t>
  </si>
  <si>
    <t>Caribisch Nederland CPI (2010=100)</t>
  </si>
  <si>
    <t>Caribisch Nederland CPI (2017=100)</t>
  </si>
  <si>
    <t>https://www.acm.nl/sites/default/files/old_publication/publicaties/16601_wacc-determination-caribbean-netherlands.pdf</t>
  </si>
  <si>
    <t>Operational costs (excl fuel costs)</t>
  </si>
  <si>
    <t>Data on the realization of 2017</t>
  </si>
  <si>
    <t>OPEX-model STUCO</t>
  </si>
  <si>
    <t>RAV-model STUCO</t>
  </si>
  <si>
    <t>Results for corrections in tariffs 2019</t>
  </si>
  <si>
    <t>Energy component corrections</t>
  </si>
  <si>
    <t>WACC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</si>
  <si>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</si>
  <si>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</si>
  <si>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</si>
  <si>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</si>
  <si>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</si>
  <si>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</si>
  <si>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</si>
  <si>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</si>
  <si>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</si>
  <si>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</si>
  <si>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</si>
  <si>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</si>
  <si>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Profit sharing add-on</t>
  </si>
  <si>
    <t xml:space="preserve">Distribution tariffs for electricity have not been set for the first half of 2017 by the ACM. As of July 1st, the ACM has set a variable tariff and a fixed tariff for electricity. </t>
  </si>
  <si>
    <t>#</t>
  </si>
  <si>
    <t>Months in 2017 without a regulated electricity tariff</t>
  </si>
  <si>
    <t>Months in 2017 with a regulated electricity tariff</t>
  </si>
  <si>
    <t>Concerns the months January through June 2017.</t>
  </si>
  <si>
    <t>Concerns the months July through December 2017.</t>
  </si>
  <si>
    <t>Production drinking water 2nd half 2017</t>
  </si>
  <si>
    <t>Title page</t>
  </si>
  <si>
    <t>About this file</t>
  </si>
  <si>
    <t>Case number</t>
  </si>
  <si>
    <t>Title</t>
  </si>
  <si>
    <t>Decision title</t>
  </si>
  <si>
    <t>Coherence with other calculation files</t>
  </si>
  <si>
    <t>Other remarks</t>
  </si>
  <si>
    <t>About the status of this file</t>
  </si>
  <si>
    <t>Final version?</t>
  </si>
  <si>
    <t>No</t>
  </si>
  <si>
    <t>Published?</t>
  </si>
  <si>
    <t>Is this file legally part of the decision(s) listed above?</t>
  </si>
  <si>
    <t>Yes</t>
  </si>
  <si>
    <t>Contains business confidential information?</t>
  </si>
  <si>
    <t>Possibilities of objection and appeal are open against the decision which this file is a part of.</t>
  </si>
  <si>
    <t>Profit sharing model STUCO t.b.v. tarieven 2019</t>
  </si>
  <si>
    <t>Explanation to this file</t>
  </si>
  <si>
    <t>This document contains the calculation of the electricity and water prices of St. Eustatius Utility Company (hereafter: STUCO). These prices are based on an estimation of the cost of STUCO in 2019 and the profit sharing results of 2017.</t>
  </si>
  <si>
    <t>ACM estimates the costs of 2019 with the costs of 2017 as can be found in the annual account of STUCO.</t>
  </si>
  <si>
    <t>In addition to the corrections as made in the profit sharing model, a correction is made in this tariff model for the WACC 2018.</t>
  </si>
  <si>
    <t>Legend to cell coloring</t>
  </si>
  <si>
    <t>Cellcolor numbers</t>
  </si>
  <si>
    <t>Data and input (source required)</t>
  </si>
  <si>
    <t>Value that is drawn from another sheet or cell without calculation</t>
  </si>
  <si>
    <t>Calculated value</t>
  </si>
  <si>
    <t>Result/calculated value that is referred to on another sheet</t>
  </si>
  <si>
    <t>Empty cell (not zero) used in a formula range</t>
  </si>
  <si>
    <t>Exceptional cells</t>
  </si>
  <si>
    <t>Value or calculation that needs special attention or explanation</t>
  </si>
  <si>
    <t>Input or calculation that is not yet up to date, pro memori or work in progress</t>
  </si>
  <si>
    <t>Sheet colors</t>
  </si>
  <si>
    <t>Model sheets</t>
  </si>
  <si>
    <t>Sheet with result/output</t>
  </si>
  <si>
    <t>Sheet with input</t>
  </si>
  <si>
    <t>Calculation</t>
  </si>
  <si>
    <t>Sheet with calculations</t>
  </si>
  <si>
    <t>Sheet that is not yet up to date/work in progress</t>
  </si>
  <si>
    <t>Explanatory sheets</t>
  </si>
  <si>
    <t>Empty sheet used for indexing</t>
  </si>
  <si>
    <t>Explanation</t>
  </si>
  <si>
    <t>Standardized sheets with information on the file</t>
  </si>
  <si>
    <t>Source overview and specifications</t>
  </si>
  <si>
    <t>List of sources</t>
  </si>
  <si>
    <t>On this sheet, an overview can be found in which the ACM describes the sources used for data and calculations in this file.</t>
  </si>
  <si>
    <t>Each input sheet contains a column 'Source', in which the sources are referred to by their shortened name. These sources are further explained in the table below.</t>
  </si>
  <si>
    <t>Shortened name</t>
  </si>
  <si>
    <t>External file name</t>
  </si>
  <si>
    <t>Case number ACM</t>
  </si>
  <si>
    <t>Additional information on this source</t>
  </si>
  <si>
    <t>As referred to in Source column</t>
  </si>
  <si>
    <t>Exact file name</t>
  </si>
  <si>
    <t>If applicable</t>
  </si>
  <si>
    <t>Date received, email, file location</t>
  </si>
  <si>
    <t>Email sent by STUCO on September 4, 2018.</t>
  </si>
  <si>
    <t>Email sent by STUCO on September 5, 2018.</t>
  </si>
  <si>
    <t>Email sent by STUCO on August 11, 2017.</t>
  </si>
  <si>
    <t>Email sent by ACM on October 23, 2018, answered by STUCO on October 24, 2018</t>
  </si>
  <si>
    <t xml:space="preserve">Email sent by STUCO on November 27, 2015. </t>
  </si>
  <si>
    <t>Electricity rates STUCO</t>
  </si>
  <si>
    <t>ACM/18/033332</t>
  </si>
  <si>
    <t>Last update input CBS: November 28, 2018</t>
  </si>
  <si>
    <t>On this sheet the ACM calculates the fuel price correction for electricity production.</t>
  </si>
  <si>
    <t>RAV-model STUCO t.b.v. tarieven 2019 (definitief)</t>
  </si>
  <si>
    <t>OPEX-model STUCO t.b.v. tarieven 2019 (definitief)</t>
  </si>
  <si>
    <t xml:space="preserve">On this sheet the ACM calculates the correction for the costs of the electricity that is needed to produce drinking water. </t>
  </si>
  <si>
    <t>The difference between the energy-component in the production price of drinking water and the realization of the electicity costs based on the tariffs in 2017 for electricity is calculated.</t>
  </si>
  <si>
    <t>STUCO received insufficient income to cover the electricity costs for the production of drinking water. This will be corrected by an add-on to the income of STUCO in 2019.</t>
  </si>
  <si>
    <t>On this sheet the ACM calculates the profit sharing add-on.</t>
  </si>
  <si>
    <t>On this sheet the ACM calculates the volume-effect correction for water production in 2017.</t>
  </si>
  <si>
    <t>On this sheet the ACM calculates the volume-effect correction for electricity production in 2017.</t>
  </si>
  <si>
    <t>RAV</t>
  </si>
  <si>
    <t>Capital costs (RAV*WACC + depreciation)</t>
  </si>
  <si>
    <t>Capital costs (RAV*WACC+ deprecation)</t>
  </si>
  <si>
    <t>Positive amount means realized costs are higher than estimated costs.</t>
  </si>
  <si>
    <t>Add-on for production price 2019.</t>
  </si>
  <si>
    <t>Negative amount leads to a decrease of the income of STUCO for 2019.</t>
  </si>
  <si>
    <t>This sheet summarizes the corrections which will be used as input for the tariffs of STUCO in 2019.</t>
  </si>
  <si>
    <t>Decision reference(s)</t>
  </si>
  <si>
    <t>Decisions on production price and fixed and variable distribution tariffs for electricity and drinking water STUCO 2019</t>
  </si>
  <si>
    <t>This file serves as input for the tariff calculation as published by the ACM in the file Rekenmodel STUCO 2019.</t>
  </si>
  <si>
    <t>ACM/UIT/503800
ACM/UIT/503797
ACM/UIT/503802
ACM/UIT/503805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</si>
</sst>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.0000_ ;_ * \-#,##0.0000_ ;_ * &quot;-&quot;??_ ;_ @_ "/>
    <numFmt numFmtId="167" formatCode="_ * #,##0.0_ ;_ * \-#,##0.0_ ;_ * &quot;-&quot;??_ ;_ @_ "/>
    <numFmt numFmtId="168" formatCode="0.0%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sz val="10"/>
      <color rgb="FF00B05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>
      <alignment vertical="top"/>
    </xf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top"/>
    </xf>
    <xf numFmtId="49" fontId="7" fillId="5" borderId="1">
      <alignment vertical="top"/>
    </xf>
    <xf numFmtId="49" fontId="6" fillId="21" borderId="1">
      <alignment vertical="top"/>
    </xf>
    <xf numFmtId="49" fontId="6" fillId="0" borderId="0">
      <alignment vertical="top"/>
    </xf>
    <xf numFmtId="43" fontId="5" fillId="14" borderId="0">
      <alignment vertical="top"/>
    </xf>
    <xf numFmtId="43" fontId="5" fillId="13" borderId="0">
      <alignment vertical="top"/>
    </xf>
    <xf numFmtId="43" fontId="5" fillId="11" borderId="0">
      <alignment vertical="top"/>
    </xf>
    <xf numFmtId="43" fontId="5" fillId="6" borderId="0">
      <alignment vertical="top"/>
    </xf>
    <xf numFmtId="43" fontId="5" fillId="8" borderId="0">
      <alignment vertical="top"/>
    </xf>
    <xf numFmtId="43" fontId="5" fillId="15" borderId="0">
      <alignment vertical="top"/>
    </xf>
    <xf numFmtId="49" fontId="9" fillId="0" borderId="0">
      <alignment vertical="top"/>
    </xf>
    <xf numFmtId="49" fontId="8" fillId="0" borderId="0">
      <alignment vertical="top"/>
    </xf>
    <xf numFmtId="0" fontId="14" fillId="17" borderId="3" applyNumberFormat="0" applyAlignment="0" applyProtection="0"/>
    <xf numFmtId="0" fontId="15" fillId="18" borderId="4" applyNumberFormat="0" applyAlignment="0" applyProtection="0"/>
    <xf numFmtId="0" fontId="16" fillId="18" borderId="3" applyNumberFormat="0" applyAlignment="0" applyProtection="0"/>
    <xf numFmtId="0" fontId="17" fillId="0" borderId="5" applyNumberFormat="0" applyFill="0" applyAlignment="0" applyProtection="0"/>
    <xf numFmtId="0" fontId="11" fillId="19" borderId="6" applyNumberFormat="0" applyAlignment="0" applyProtection="0"/>
    <xf numFmtId="0" fontId="13" fillId="20" borderId="7" applyNumberFormat="0" applyFont="0" applyAlignment="0" applyProtection="0"/>
    <xf numFmtId="0" fontId="1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6" fillId="45" borderId="0" applyNumberFormat="0" applyBorder="0" applyAlignment="0" applyProtection="0"/>
    <xf numFmtId="0" fontId="27" fillId="0" borderId="0" applyNumberFormat="0" applyFill="0" applyBorder="0" applyAlignment="0" applyProtection="0"/>
    <xf numFmtId="49" fontId="19" fillId="0" borderId="0" applyFill="0" applyBorder="0" applyAlignment="0" applyProtection="0"/>
    <xf numFmtId="43" fontId="5" fillId="46" borderId="0" applyNumberFormat="0">
      <alignment vertical="top"/>
    </xf>
    <xf numFmtId="43" fontId="5" fillId="13" borderId="0" applyFont="0" applyFill="0" applyBorder="0" applyAlignment="0" applyProtection="0">
      <alignment vertical="top"/>
    </xf>
    <xf numFmtId="10" fontId="5" fillId="0" borderId="0" applyFont="0" applyFill="0" applyBorder="0" applyAlignment="0" applyProtection="0">
      <alignment vertical="top"/>
    </xf>
  </cellStyleXfs>
  <cellXfs count="126">
    <xf numFmtId="0" fontId="0" fillId="0" borderId="0" xfId="0">
      <alignment vertical="top"/>
    </xf>
    <xf numFmtId="0" fontId="6" fillId="0" borderId="0" xfId="4" applyFont="1">
      <alignment vertical="top"/>
    </xf>
    <xf numFmtId="0" fontId="5" fillId="0" borderId="0" xfId="4">
      <alignment vertical="top"/>
    </xf>
    <xf numFmtId="0" fontId="8" fillId="0" borderId="0" xfId="4" applyFont="1">
      <alignment vertical="top"/>
    </xf>
    <xf numFmtId="0" fontId="9" fillId="0" borderId="0" xfId="4" applyFont="1">
      <alignment vertical="top"/>
    </xf>
    <xf numFmtId="0" fontId="5" fillId="0" borderId="2" xfId="4" applyBorder="1">
      <alignment vertical="top"/>
    </xf>
    <xf numFmtId="49" fontId="7" fillId="5" borderId="1" xfId="5">
      <alignment vertical="top"/>
    </xf>
    <xf numFmtId="0" fontId="5" fillId="0" borderId="0" xfId="4" applyFill="1">
      <alignment vertical="top"/>
    </xf>
    <xf numFmtId="0" fontId="5" fillId="0" borderId="2" xfId="4" applyBorder="1" applyAlignment="1">
      <alignment horizontal="left" vertical="top" wrapText="1"/>
    </xf>
    <xf numFmtId="0" fontId="9" fillId="0" borderId="0" xfId="4" applyFont="1" applyFill="1">
      <alignment vertical="top"/>
    </xf>
    <xf numFmtId="0" fontId="5" fillId="7" borderId="0" xfId="4" applyFill="1">
      <alignment vertical="top"/>
    </xf>
    <xf numFmtId="2" fontId="5" fillId="12" borderId="0" xfId="4" applyNumberFormat="1" applyFill="1">
      <alignment vertical="top"/>
    </xf>
    <xf numFmtId="1" fontId="5" fillId="0" borderId="0" xfId="4" applyNumberFormat="1" applyFill="1">
      <alignment vertical="top"/>
    </xf>
    <xf numFmtId="0" fontId="7" fillId="5" borderId="1" xfId="5" applyNumberFormat="1">
      <alignment vertical="top"/>
    </xf>
    <xf numFmtId="0" fontId="12" fillId="0" borderId="0" xfId="4" applyFont="1">
      <alignment vertical="top"/>
    </xf>
    <xf numFmtId="0" fontId="5" fillId="16" borderId="0" xfId="4" applyFill="1">
      <alignment vertical="top"/>
    </xf>
    <xf numFmtId="0" fontId="5" fillId="0" borderId="0" xfId="4" applyFont="1">
      <alignment vertical="top"/>
    </xf>
    <xf numFmtId="49" fontId="5" fillId="21" borderId="2" xfId="6" applyFont="1" applyBorder="1">
      <alignment vertical="top"/>
    </xf>
    <xf numFmtId="0" fontId="5" fillId="0" borderId="2" xfId="4" applyFont="1" applyBorder="1">
      <alignment vertical="top"/>
    </xf>
    <xf numFmtId="49" fontId="9" fillId="0" borderId="0" xfId="14">
      <alignment vertical="top"/>
    </xf>
    <xf numFmtId="49" fontId="6" fillId="0" borderId="0" xfId="7">
      <alignment vertical="top"/>
    </xf>
    <xf numFmtId="43" fontId="5" fillId="14" borderId="0" xfId="8">
      <alignment vertical="top"/>
    </xf>
    <xf numFmtId="9" fontId="5" fillId="0" borderId="0" xfId="4" applyNumberFormat="1">
      <alignment vertical="top"/>
    </xf>
    <xf numFmtId="43" fontId="5" fillId="13" borderId="0" xfId="63" applyFill="1">
      <alignment vertical="top"/>
    </xf>
    <xf numFmtId="43" fontId="5" fillId="6" borderId="0" xfId="63" applyFill="1">
      <alignment vertical="top"/>
    </xf>
    <xf numFmtId="43" fontId="5" fillId="15" borderId="0" xfId="63" applyFill="1">
      <alignment vertical="top"/>
    </xf>
    <xf numFmtId="43" fontId="5" fillId="11" borderId="0" xfId="10">
      <alignment vertical="top"/>
    </xf>
    <xf numFmtId="43" fontId="5" fillId="8" borderId="0" xfId="12">
      <alignment vertical="top"/>
    </xf>
    <xf numFmtId="10" fontId="5" fillId="15" borderId="0" xfId="64" applyFill="1">
      <alignment vertical="top"/>
    </xf>
    <xf numFmtId="164" fontId="5" fillId="0" borderId="0" xfId="4" applyNumberFormat="1">
      <alignment vertical="top"/>
    </xf>
    <xf numFmtId="10" fontId="5" fillId="6" borderId="0" xfId="64" applyFill="1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0" borderId="0" xfId="7">
      <alignment vertical="top"/>
    </xf>
    <xf numFmtId="0" fontId="5" fillId="0" borderId="0" xfId="4" applyFont="1">
      <alignment vertical="top"/>
    </xf>
    <xf numFmtId="49" fontId="6" fillId="0" borderId="0" xfId="7">
      <alignment vertical="top"/>
    </xf>
    <xf numFmtId="0" fontId="5" fillId="0" borderId="0" xfId="4">
      <alignment vertical="top"/>
    </xf>
    <xf numFmtId="0" fontId="5" fillId="0" borderId="0" xfId="4" applyFont="1">
      <alignment vertical="top"/>
    </xf>
    <xf numFmtId="49" fontId="6" fillId="21" borderId="1" xfId="6">
      <alignment vertical="top"/>
    </xf>
    <xf numFmtId="0" fontId="7" fillId="5" borderId="1" xfId="5" applyNumberFormat="1">
      <alignment vertical="top"/>
    </xf>
    <xf numFmtId="49" fontId="6" fillId="0" borderId="0" xfId="7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0" borderId="0" xfId="7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0" borderId="0" xfId="7">
      <alignment vertical="top"/>
    </xf>
    <xf numFmtId="49" fontId="6" fillId="21" borderId="1" xfId="6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0" fontId="5" fillId="0" borderId="0" xfId="4" applyFont="1">
      <alignment vertical="top"/>
    </xf>
    <xf numFmtId="49" fontId="6" fillId="21" borderId="1" xfId="6">
      <alignment vertical="top"/>
    </xf>
    <xf numFmtId="0" fontId="7" fillId="5" borderId="1" xfId="5" applyNumberFormat="1">
      <alignment vertical="top"/>
    </xf>
    <xf numFmtId="49" fontId="6" fillId="0" borderId="0" xfId="7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21" borderId="1" xfId="6">
      <alignment vertical="top"/>
    </xf>
    <xf numFmtId="49" fontId="0" fillId="0" borderId="0" xfId="0" applyNumberFormat="1">
      <alignment vertical="top"/>
    </xf>
    <xf numFmtId="49" fontId="6" fillId="0" borderId="0" xfId="4" applyNumberFormat="1" applyFont="1">
      <alignment vertical="top"/>
    </xf>
    <xf numFmtId="49" fontId="25" fillId="0" borderId="0" xfId="0" applyNumberFormat="1" applyFont="1">
      <alignment vertical="top"/>
    </xf>
    <xf numFmtId="0" fontId="5" fillId="0" borderId="0" xfId="4" applyFont="1">
      <alignment vertical="top"/>
    </xf>
    <xf numFmtId="0" fontId="5" fillId="0" borderId="0" xfId="4">
      <alignment vertical="top"/>
    </xf>
    <xf numFmtId="49" fontId="6" fillId="21" borderId="1" xfId="6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0" fontId="5" fillId="0" borderId="0" xfId="4" applyFont="1">
      <alignment vertical="top"/>
    </xf>
    <xf numFmtId="49" fontId="6" fillId="21" borderId="1" xfId="6">
      <alignment vertical="top"/>
    </xf>
    <xf numFmtId="0" fontId="12" fillId="0" borderId="0" xfId="4" applyFont="1">
      <alignment vertical="top"/>
    </xf>
    <xf numFmtId="49" fontId="6" fillId="0" borderId="0" xfId="7">
      <alignment vertical="top"/>
    </xf>
    <xf numFmtId="0" fontId="5" fillId="0" borderId="0" xfId="4">
      <alignment vertical="top"/>
    </xf>
    <xf numFmtId="0" fontId="5" fillId="0" borderId="0" xfId="4" applyFont="1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0" borderId="0" xfId="7">
      <alignment vertical="top"/>
    </xf>
    <xf numFmtId="49" fontId="8" fillId="0" borderId="0" xfId="15">
      <alignment vertical="top"/>
    </xf>
    <xf numFmtId="49" fontId="8" fillId="0" borderId="0" xfId="7" applyFont="1">
      <alignment vertical="top"/>
    </xf>
    <xf numFmtId="0" fontId="0" fillId="0" borderId="0" xfId="0">
      <alignment vertical="top"/>
    </xf>
    <xf numFmtId="0" fontId="5" fillId="0" borderId="0" xfId="4">
      <alignment vertical="top"/>
    </xf>
    <xf numFmtId="49" fontId="6" fillId="21" borderId="1" xfId="6">
      <alignment vertical="top"/>
    </xf>
    <xf numFmtId="0" fontId="7" fillId="5" borderId="1" xfId="5" applyNumberFormat="1">
      <alignment vertical="top"/>
    </xf>
    <xf numFmtId="49" fontId="6" fillId="0" borderId="0" xfId="7">
      <alignment vertical="top"/>
    </xf>
    <xf numFmtId="164" fontId="5" fillId="6" borderId="0" xfId="11" applyNumberFormat="1">
      <alignment vertical="top"/>
    </xf>
    <xf numFmtId="164" fontId="5" fillId="13" borderId="0" xfId="9" applyNumberFormat="1">
      <alignment vertical="top"/>
    </xf>
    <xf numFmtId="164" fontId="5" fillId="15" borderId="0" xfId="13" applyNumberFormat="1">
      <alignment vertical="top"/>
    </xf>
    <xf numFmtId="164" fontId="5" fillId="14" borderId="0" xfId="8" applyNumberFormat="1">
      <alignment vertical="top"/>
    </xf>
    <xf numFmtId="0" fontId="5" fillId="0" borderId="0" xfId="4" applyAlignment="1">
      <alignment vertical="top"/>
    </xf>
    <xf numFmtId="165" fontId="5" fillId="6" borderId="0" xfId="11" applyNumberFormat="1">
      <alignment vertical="top"/>
    </xf>
    <xf numFmtId="166" fontId="5" fillId="6" borderId="0" xfId="11" applyNumberFormat="1">
      <alignment vertical="top"/>
    </xf>
    <xf numFmtId="165" fontId="5" fillId="15" borderId="0" xfId="13" applyNumberFormat="1">
      <alignment vertical="top"/>
    </xf>
    <xf numFmtId="166" fontId="5" fillId="15" borderId="0" xfId="13" applyNumberFormat="1">
      <alignment vertical="top"/>
    </xf>
    <xf numFmtId="10" fontId="5" fillId="13" borderId="0" xfId="64" applyFill="1">
      <alignment vertical="top"/>
    </xf>
    <xf numFmtId="166" fontId="5" fillId="13" borderId="0" xfId="9" applyNumberFormat="1">
      <alignment vertical="top"/>
    </xf>
    <xf numFmtId="167" fontId="5" fillId="6" borderId="0" xfId="11" applyNumberFormat="1">
      <alignment vertical="top"/>
    </xf>
    <xf numFmtId="167" fontId="5" fillId="15" borderId="0" xfId="13" applyNumberFormat="1">
      <alignment vertical="top"/>
    </xf>
    <xf numFmtId="165" fontId="5" fillId="0" borderId="0" xfId="13" applyNumberFormat="1" applyFill="1">
      <alignment vertical="top"/>
    </xf>
    <xf numFmtId="43" fontId="5" fillId="0" borderId="0" xfId="9" applyFill="1">
      <alignment vertical="top"/>
    </xf>
    <xf numFmtId="43" fontId="5" fillId="0" borderId="0" xfId="8" applyFill="1">
      <alignment vertical="top"/>
    </xf>
    <xf numFmtId="166" fontId="5" fillId="11" borderId="0" xfId="10" applyNumberFormat="1">
      <alignment vertical="top"/>
    </xf>
    <xf numFmtId="168" fontId="5" fillId="6" borderId="0" xfId="64" applyNumberFormat="1" applyFill="1">
      <alignment vertical="top"/>
    </xf>
    <xf numFmtId="49" fontId="6" fillId="21" borderId="1" xfId="6" applyAlignment="1">
      <alignment vertical="top" wrapText="1"/>
    </xf>
    <xf numFmtId="9" fontId="5" fillId="11" borderId="0" xfId="64" applyNumberFormat="1" applyFill="1">
      <alignment vertical="top"/>
    </xf>
    <xf numFmtId="164" fontId="5" fillId="11" borderId="0" xfId="10" applyNumberFormat="1">
      <alignment vertical="top"/>
    </xf>
    <xf numFmtId="0" fontId="5" fillId="0" borderId="0" xfId="4" applyAlignment="1">
      <alignment vertical="top" wrapText="1"/>
    </xf>
    <xf numFmtId="0" fontId="5" fillId="0" borderId="2" xfId="4" applyBorder="1" applyAlignment="1">
      <alignment vertical="top" wrapText="1"/>
    </xf>
    <xf numFmtId="0" fontId="5" fillId="0" borderId="12" xfId="4" applyBorder="1" applyAlignment="1">
      <alignment vertical="top" wrapText="1"/>
    </xf>
    <xf numFmtId="0" fontId="5" fillId="0" borderId="0" xfId="4" applyBorder="1">
      <alignment vertical="top"/>
    </xf>
    <xf numFmtId="0" fontId="5" fillId="0" borderId="0" xfId="4" applyBorder="1" applyAlignment="1">
      <alignment vertical="top" wrapText="1"/>
    </xf>
    <xf numFmtId="0" fontId="5" fillId="0" borderId="12" xfId="4" applyBorder="1">
      <alignment vertical="top"/>
    </xf>
    <xf numFmtId="0" fontId="5" fillId="0" borderId="13" xfId="4" applyBorder="1">
      <alignment vertical="top"/>
    </xf>
    <xf numFmtId="0" fontId="0" fillId="0" borderId="2" xfId="0" applyBorder="1">
      <alignment vertical="top"/>
    </xf>
    <xf numFmtId="0" fontId="28" fillId="47" borderId="0" xfId="4" applyFont="1" applyFill="1">
      <alignment vertical="top"/>
    </xf>
    <xf numFmtId="0" fontId="5" fillId="47" borderId="0" xfId="4" applyFill="1">
      <alignment vertical="top"/>
    </xf>
    <xf numFmtId="0" fontId="5" fillId="46" borderId="0" xfId="62" applyNumberFormat="1">
      <alignment vertical="top"/>
    </xf>
    <xf numFmtId="10" fontId="5" fillId="11" borderId="0" xfId="64" applyFill="1">
      <alignment vertical="top"/>
    </xf>
    <xf numFmtId="0" fontId="5" fillId="0" borderId="2" xfId="4" applyFont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12" xfId="4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/>
    </xf>
    <xf numFmtId="0" fontId="5" fillId="10" borderId="0" xfId="4" applyFont="1" applyFill="1">
      <alignment vertical="top"/>
    </xf>
    <xf numFmtId="0" fontId="5" fillId="9" borderId="0" xfId="4" applyFont="1" applyFill="1">
      <alignment vertical="top"/>
    </xf>
    <xf numFmtId="0" fontId="5" fillId="13" borderId="0" xfId="4" applyFont="1" applyFill="1">
      <alignment vertical="top"/>
    </xf>
    <xf numFmtId="49" fontId="5" fillId="21" borderId="0" xfId="6" applyFont="1" applyBorder="1">
      <alignment vertical="top"/>
    </xf>
    <xf numFmtId="49" fontId="11" fillId="5" borderId="1" xfId="5" applyFont="1">
      <alignment vertical="top"/>
    </xf>
    <xf numFmtId="49" fontId="5" fillId="0" borderId="2" xfId="14" applyFont="1" applyBorder="1">
      <alignment vertical="top"/>
    </xf>
  </cellXfs>
  <cellStyles count="65">
    <cellStyle name="_kop1 Bladtitel" xfId="5"/>
    <cellStyle name="_kop2 Bloktitel" xfId="6"/>
    <cellStyle name="_kop3 Subkop" xfId="7"/>
    <cellStyle name="20% - Accent1" xfId="37" builtinId="30" hidden="1"/>
    <cellStyle name="20% - Accent2" xfId="41" builtinId="34" hidden="1"/>
    <cellStyle name="20% - Accent3" xfId="45" builtinId="38" hidden="1"/>
    <cellStyle name="20% - Accent4" xfId="49" builtinId="42" hidden="1"/>
    <cellStyle name="20% - Accent5" xfId="53" builtinId="46" hidden="1"/>
    <cellStyle name="20% - Accent6" xfId="57" builtinId="50" hidden="1"/>
    <cellStyle name="40% - Accent1" xfId="38" builtinId="31" hidden="1"/>
    <cellStyle name="40% - Accent2" xfId="42" builtinId="35" hidden="1"/>
    <cellStyle name="40% - Accent3" xfId="46" builtinId="39" hidden="1"/>
    <cellStyle name="40% - Accent4" xfId="50" builtinId="43" hidden="1"/>
    <cellStyle name="40% - Accent5" xfId="54" builtinId="47" hidden="1"/>
    <cellStyle name="40% - Accent6" xfId="58" builtinId="51" hidden="1"/>
    <cellStyle name="60% - Accent1" xfId="39" builtinId="32" hidden="1"/>
    <cellStyle name="60% - Accent2" xfId="43" builtinId="36" hidden="1"/>
    <cellStyle name="60% - Accent3" xfId="47" builtinId="40" hidden="1"/>
    <cellStyle name="60% - Accent4" xfId="51" builtinId="44" hidden="1"/>
    <cellStyle name="60% - Accent5" xfId="55" builtinId="48" hidden="1"/>
    <cellStyle name="60% - Accent6" xfId="59" builtinId="52" hidden="1"/>
    <cellStyle name="Accent1" xfId="36" builtinId="29" hidden="1"/>
    <cellStyle name="Accent2" xfId="40" builtinId="33" hidden="1"/>
    <cellStyle name="Accent3" xfId="44" builtinId="37" hidden="1"/>
    <cellStyle name="Accent4" xfId="48" builtinId="41" hidden="1"/>
    <cellStyle name="Accent5" xfId="52" builtinId="45" hidden="1"/>
    <cellStyle name="Accent6" xfId="56" builtinId="49" hidden="1"/>
    <cellStyle name="Berekening" xfId="18" builtinId="22" hidden="1"/>
    <cellStyle name="Cel (tussen)resultaat" xfId="8"/>
    <cellStyle name="Cel Berekening" xfId="9"/>
    <cellStyle name="Cel Bijzonderheid" xfId="10"/>
    <cellStyle name="Cel Input" xfId="11"/>
    <cellStyle name="Cel n.v.t. (leeg)" xfId="62"/>
    <cellStyle name="Cel PM extern" xfId="12"/>
    <cellStyle name="Cel Verwijzing" xfId="13"/>
    <cellStyle name="Controlecel" xfId="20" builtinId="23" hidden="1"/>
    <cellStyle name="Gekoppelde cel" xfId="19" builtinId="24" hidden="1"/>
    <cellStyle name="Gevolgde hyperlink" xfId="60" builtinId="9" hidden="1"/>
    <cellStyle name="Goed" xfId="1" builtinId="26" hidden="1"/>
    <cellStyle name="Hyperlink" xfId="22" builtinId="8" hidden="1"/>
    <cellStyle name="Hyperlink" xfId="61" builtinId="8" customBuiltin="1"/>
    <cellStyle name="Invoer" xfId="16" builtinId="20" hidden="1"/>
    <cellStyle name="Komma" xfId="23" builtinId="3" hidden="1"/>
    <cellStyle name="Komma" xfId="63" builtinId="3"/>
    <cellStyle name="Komma [0]" xfId="24" builtinId="6" hidden="1"/>
    <cellStyle name="Kop 1" xfId="29" builtinId="16" hidden="1"/>
    <cellStyle name="Kop 2" xfId="30" builtinId="17" hidden="1"/>
    <cellStyle name="Kop 3" xfId="31" builtinId="18" hidden="1"/>
    <cellStyle name="Kop 4" xfId="32" builtinId="19" hidden="1"/>
    <cellStyle name="Neutraal" xfId="3" builtinId="28" hidden="1"/>
    <cellStyle name="Notitie" xfId="21" builtinId="10" hidden="1"/>
    <cellStyle name="Ongeldig" xfId="2" builtinId="27" hidden="1"/>
    <cellStyle name="Opm. INTERN" xfId="14"/>
    <cellStyle name="Procent" xfId="27" builtinId="5" hidden="1"/>
    <cellStyle name="Procent" xfId="64" builtinId="5"/>
    <cellStyle name="Standaard" xfId="0" builtinId="0" customBuiltin="1"/>
    <cellStyle name="Standaard ACM-DE" xfId="4"/>
    <cellStyle name="Titel" xfId="28" builtinId="15" hidden="1"/>
    <cellStyle name="Toelichting" xfId="15"/>
    <cellStyle name="Totaal" xfId="35" builtinId="25" hidden="1"/>
    <cellStyle name="Uitvoer" xfId="17" builtinId="21" hidden="1"/>
    <cellStyle name="Valuta" xfId="25" builtinId="4" hidden="1"/>
    <cellStyle name="Valuta [0]" xfId="26" builtinId="7" hidden="1"/>
    <cellStyle name="Verklarende tekst" xfId="34" builtinId="53" hidden="1"/>
    <cellStyle name="Waarschuwingstekst" xfId="33" builtinId="11" hidden="1"/>
  </cellStyles>
  <dxfs count="0"/>
  <tableStyles count="0" defaultTableStyle="TableStyleMedium2" defaultPivotStyle="PivotStyleLight16"/>
  <colors>
    <mruColors>
      <color rgb="FFCCC8D9"/>
      <color rgb="FFFFFFCC"/>
      <color rgb="FFCCFF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</xdr:row>
      <xdr:rowOff>133351</xdr:rowOff>
    </xdr:from>
    <xdr:to>
      <xdr:col>1</xdr:col>
      <xdr:colOff>1905000</xdr:colOff>
      <xdr:row>10</xdr:row>
      <xdr:rowOff>94480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85801"/>
          <a:ext cx="1838325" cy="109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8D9"/>
  </sheetPr>
  <dimension ref="B2:D36"/>
  <sheetViews>
    <sheetView showGridLines="0" tabSelected="1" zoomScale="85" zoomScaleNormal="85" workbookViewId="0">
      <pane ySplit="3" topLeftCell="A4" activePane="bottomLeft" state="frozen"/>
      <selection activeCell="A4" sqref="A4"/>
      <selection pane="bottomLeft" activeCell="C18" sqref="C18"/>
    </sheetView>
  </sheetViews>
  <sheetFormatPr defaultRowHeight="12.75" x14ac:dyDescent="0.2"/>
  <cols>
    <col min="1" max="1" width="2.85546875" style="79" customWidth="1"/>
    <col min="2" max="2" width="39.85546875" style="79" customWidth="1"/>
    <col min="3" max="3" width="91.85546875" style="79" customWidth="1"/>
    <col min="4" max="16384" width="9.140625" style="79"/>
  </cols>
  <sheetData>
    <row r="2" spans="2:3" s="6" customFormat="1" ht="18" x14ac:dyDescent="0.2">
      <c r="B2" s="6" t="s">
        <v>243</v>
      </c>
    </row>
    <row r="6" spans="2:3" x14ac:dyDescent="0.2">
      <c r="B6" s="72"/>
    </row>
    <row r="13" spans="2:3" s="80" customFormat="1" x14ac:dyDescent="0.2">
      <c r="B13" s="80" t="s">
        <v>244</v>
      </c>
    </row>
    <row r="14" spans="2:3" s="7" customFormat="1" x14ac:dyDescent="0.2"/>
    <row r="15" spans="2:3" x14ac:dyDescent="0.2">
      <c r="B15" s="116" t="s">
        <v>245</v>
      </c>
      <c r="C15" s="125" t="s">
        <v>302</v>
      </c>
    </row>
    <row r="16" spans="2:3" x14ac:dyDescent="0.2">
      <c r="B16" s="116" t="s">
        <v>246</v>
      </c>
      <c r="C16" s="8" t="s">
        <v>258</v>
      </c>
    </row>
    <row r="17" spans="2:4" ht="25.5" x14ac:dyDescent="0.2">
      <c r="B17" s="116" t="s">
        <v>247</v>
      </c>
      <c r="C17" s="118" t="s">
        <v>321</v>
      </c>
    </row>
    <row r="18" spans="2:4" ht="51" x14ac:dyDescent="0.2">
      <c r="B18" s="116" t="s">
        <v>320</v>
      </c>
      <c r="C18" s="105" t="s">
        <v>323</v>
      </c>
    </row>
    <row r="19" spans="2:4" ht="25.5" x14ac:dyDescent="0.2">
      <c r="B19" s="116" t="s">
        <v>248</v>
      </c>
      <c r="C19" s="8" t="s">
        <v>322</v>
      </c>
    </row>
    <row r="20" spans="2:4" x14ac:dyDescent="0.2">
      <c r="B20" s="116" t="s">
        <v>249</v>
      </c>
      <c r="C20" s="8"/>
    </row>
    <row r="23" spans="2:4" s="80" customFormat="1" x14ac:dyDescent="0.2">
      <c r="B23" s="80" t="s">
        <v>250</v>
      </c>
    </row>
    <row r="25" spans="2:4" x14ac:dyDescent="0.2">
      <c r="B25" s="116" t="s">
        <v>251</v>
      </c>
      <c r="C25" s="8" t="s">
        <v>255</v>
      </c>
    </row>
    <row r="26" spans="2:4" x14ac:dyDescent="0.2">
      <c r="B26" s="116" t="s">
        <v>253</v>
      </c>
      <c r="C26" s="8" t="s">
        <v>255</v>
      </c>
    </row>
    <row r="27" spans="2:4" ht="25.5" x14ac:dyDescent="0.2">
      <c r="B27" s="116" t="s">
        <v>254</v>
      </c>
      <c r="C27" s="8" t="s">
        <v>255</v>
      </c>
    </row>
    <row r="28" spans="2:4" x14ac:dyDescent="0.2">
      <c r="B28" s="116" t="s">
        <v>256</v>
      </c>
      <c r="C28" s="8" t="s">
        <v>252</v>
      </c>
    </row>
    <row r="29" spans="2:4" x14ac:dyDescent="0.2">
      <c r="B29" s="116" t="s">
        <v>249</v>
      </c>
      <c r="C29" s="8"/>
    </row>
    <row r="31" spans="2:4" x14ac:dyDescent="0.2">
      <c r="B31" s="76"/>
    </row>
    <row r="32" spans="2:4" x14ac:dyDescent="0.2">
      <c r="B32" s="119" t="s">
        <v>257</v>
      </c>
      <c r="C32" s="117"/>
      <c r="D32" s="4"/>
    </row>
    <row r="34" s="78" customFormat="1" x14ac:dyDescent="0.2"/>
    <row r="35" s="78" customFormat="1" x14ac:dyDescent="0.2"/>
    <row r="36" s="78" customFormat="1" x14ac:dyDescent="0.2"/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"/>
  <sheetViews>
    <sheetView showGridLines="0" zoomScale="90" zoomScaleNormal="90" workbookViewId="0"/>
  </sheetViews>
  <sheetFormatPr defaultRowHeight="12.75" x14ac:dyDescent="0.2"/>
  <cols>
    <col min="1" max="16384" width="9.140625" style="15"/>
  </cols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J31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47.140625" style="2" customWidth="1"/>
    <col min="3" max="3" width="16.42578125" style="2" customWidth="1"/>
    <col min="4" max="4" width="2.7109375" style="2" customWidth="1"/>
    <col min="5" max="5" width="13.7109375" style="2" customWidth="1"/>
    <col min="6" max="6" width="2.7109375" style="2" customWidth="1"/>
    <col min="7" max="8" width="21.28515625" style="2" customWidth="1"/>
    <col min="9" max="9" width="2.7109375" style="2" customWidth="1"/>
    <col min="10" max="18" width="12.5703125" style="2" customWidth="1"/>
    <col min="19" max="21" width="2.7109375" style="2" customWidth="1"/>
    <col min="22" max="36" width="13.7109375" style="2" customWidth="1"/>
    <col min="37" max="16384" width="9.140625" style="2"/>
  </cols>
  <sheetData>
    <row r="2" spans="1:10" s="13" customFormat="1" ht="18" x14ac:dyDescent="0.2">
      <c r="A2" s="81"/>
      <c r="B2" s="13" t="s">
        <v>112</v>
      </c>
    </row>
    <row r="4" spans="1:10" x14ac:dyDescent="0.2">
      <c r="B4" s="20" t="s">
        <v>54</v>
      </c>
    </row>
    <row r="5" spans="1:10" x14ac:dyDescent="0.2">
      <c r="B5" s="62" t="s">
        <v>312</v>
      </c>
      <c r="E5" s="14"/>
    </row>
    <row r="6" spans="1:10" x14ac:dyDescent="0.2">
      <c r="B6" s="16"/>
      <c r="E6" s="14"/>
    </row>
    <row r="8" spans="1:10" s="58" customFormat="1" x14ac:dyDescent="0.2">
      <c r="A8" s="80"/>
      <c r="B8" s="58" t="s">
        <v>2</v>
      </c>
      <c r="C8" s="58" t="s">
        <v>3</v>
      </c>
      <c r="E8" s="80" t="s">
        <v>4</v>
      </c>
      <c r="G8" s="58" t="s">
        <v>12</v>
      </c>
      <c r="H8" s="58" t="s">
        <v>13</v>
      </c>
      <c r="J8" s="58" t="s">
        <v>6</v>
      </c>
    </row>
    <row r="10" spans="1:10" s="64" customFormat="1" x14ac:dyDescent="0.2">
      <c r="A10" s="80"/>
      <c r="B10" s="64" t="s">
        <v>55</v>
      </c>
    </row>
    <row r="12" spans="1:10" s="63" customFormat="1" x14ac:dyDescent="0.2">
      <c r="A12" s="79"/>
      <c r="B12" s="70" t="s">
        <v>56</v>
      </c>
      <c r="C12" s="65"/>
      <c r="D12" s="65"/>
      <c r="E12" s="65"/>
    </row>
    <row r="13" spans="1:10" s="63" customFormat="1" x14ac:dyDescent="0.2">
      <c r="A13" s="79"/>
      <c r="B13" s="66" t="s">
        <v>28</v>
      </c>
      <c r="C13" s="66" t="s">
        <v>24</v>
      </c>
      <c r="D13" s="65"/>
      <c r="E13" s="65"/>
      <c r="G13" s="85">
        <f>'Estimation for 2017'!G23</f>
        <v>3200000</v>
      </c>
    </row>
    <row r="14" spans="1:10" s="63" customFormat="1" x14ac:dyDescent="0.2">
      <c r="A14" s="79"/>
      <c r="B14" s="66" t="s">
        <v>78</v>
      </c>
      <c r="C14" s="66" t="s">
        <v>24</v>
      </c>
      <c r="D14" s="65"/>
      <c r="E14" s="65"/>
      <c r="G14" s="85">
        <f>'Estimation for 2017'!G24</f>
        <v>10704000</v>
      </c>
    </row>
    <row r="15" spans="1:10" s="63" customFormat="1" x14ac:dyDescent="0.2">
      <c r="A15" s="79"/>
      <c r="B15" s="66" t="s">
        <v>26</v>
      </c>
      <c r="C15" s="66" t="s">
        <v>24</v>
      </c>
      <c r="D15" s="65"/>
      <c r="E15" s="65"/>
      <c r="G15" s="84">
        <f>G13+G14</f>
        <v>13904000</v>
      </c>
    </row>
    <row r="16" spans="1:10" s="63" customFormat="1" x14ac:dyDescent="0.2">
      <c r="A16" s="79"/>
      <c r="G16" s="29"/>
    </row>
    <row r="17" spans="1:10" s="63" customFormat="1" x14ac:dyDescent="0.2">
      <c r="A17" s="79"/>
      <c r="B17" s="70" t="s">
        <v>59</v>
      </c>
      <c r="C17" s="65"/>
      <c r="D17" s="65"/>
      <c r="E17" s="65"/>
      <c r="G17" s="29"/>
    </row>
    <row r="18" spans="1:10" s="63" customFormat="1" x14ac:dyDescent="0.2">
      <c r="A18" s="79"/>
      <c r="B18" s="66" t="s">
        <v>57</v>
      </c>
      <c r="C18" s="66" t="s">
        <v>24</v>
      </c>
      <c r="D18" s="65"/>
      <c r="E18" s="65"/>
      <c r="G18" s="85">
        <f>'Realization of 2017'!G23</f>
        <v>3754874.65</v>
      </c>
    </row>
    <row r="19" spans="1:10" s="63" customFormat="1" x14ac:dyDescent="0.2">
      <c r="A19" s="79"/>
      <c r="B19" s="66" t="s">
        <v>58</v>
      </c>
      <c r="C19" s="66" t="s">
        <v>24</v>
      </c>
      <c r="D19" s="65"/>
      <c r="E19" s="65"/>
      <c r="G19" s="85">
        <f>'Realization of 2017'!G24</f>
        <v>10249125.35</v>
      </c>
    </row>
    <row r="20" spans="1:10" s="63" customFormat="1" x14ac:dyDescent="0.2">
      <c r="A20" s="79"/>
      <c r="B20" s="66" t="s">
        <v>26</v>
      </c>
      <c r="C20" s="66" t="s">
        <v>24</v>
      </c>
      <c r="D20" s="65"/>
      <c r="E20" s="65"/>
      <c r="G20" s="84">
        <f>G18+G19</f>
        <v>14004000</v>
      </c>
    </row>
    <row r="21" spans="1:10" s="63" customFormat="1" x14ac:dyDescent="0.2">
      <c r="A21" s="79"/>
    </row>
    <row r="22" spans="1:10" x14ac:dyDescent="0.2">
      <c r="B22" s="70" t="s">
        <v>79</v>
      </c>
      <c r="C22" s="65"/>
      <c r="D22" s="65"/>
      <c r="E22" s="65"/>
    </row>
    <row r="23" spans="1:10" x14ac:dyDescent="0.2">
      <c r="B23" s="66" t="s">
        <v>92</v>
      </c>
      <c r="C23" s="66" t="s">
        <v>30</v>
      </c>
      <c r="D23" s="65"/>
      <c r="E23" s="65"/>
      <c r="G23" s="91">
        <f>'Estimation for 2017'!G35</f>
        <v>0.13778916744848499</v>
      </c>
    </row>
    <row r="25" spans="1:10" s="68" customFormat="1" x14ac:dyDescent="0.2">
      <c r="A25" s="80"/>
      <c r="B25" s="68" t="s">
        <v>60</v>
      </c>
    </row>
    <row r="27" spans="1:10" x14ac:dyDescent="0.2">
      <c r="B27" s="70" t="s">
        <v>61</v>
      </c>
      <c r="C27" s="65"/>
      <c r="D27" s="65"/>
      <c r="E27" s="65"/>
    </row>
    <row r="28" spans="1:10" x14ac:dyDescent="0.2">
      <c r="B28" s="66" t="s">
        <v>62</v>
      </c>
      <c r="C28" s="66" t="s">
        <v>7</v>
      </c>
      <c r="D28" s="65"/>
      <c r="E28" s="65"/>
      <c r="G28" s="84">
        <f>G15*G23</f>
        <v>1915820.5842037352</v>
      </c>
    </row>
    <row r="29" spans="1:10" x14ac:dyDescent="0.2">
      <c r="B29" s="66" t="s">
        <v>63</v>
      </c>
      <c r="C29" s="66" t="s">
        <v>7</v>
      </c>
      <c r="D29" s="65"/>
      <c r="E29" s="65"/>
      <c r="G29" s="84">
        <f>G20*G23</f>
        <v>1929599.5009485837</v>
      </c>
    </row>
    <row r="30" spans="1:10" s="79" customFormat="1" x14ac:dyDescent="0.2"/>
    <row r="31" spans="1:10" s="79" customFormat="1" x14ac:dyDescent="0.2">
      <c r="B31" s="1" t="s">
        <v>53</v>
      </c>
      <c r="C31" s="79" t="s">
        <v>7</v>
      </c>
      <c r="D31" s="78"/>
      <c r="E31" s="78"/>
      <c r="G31" s="86">
        <f>G28-G29</f>
        <v>-13778.91674484848</v>
      </c>
      <c r="J31" s="79" t="s">
        <v>318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J2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47.140625" style="79" customWidth="1"/>
    <col min="3" max="3" width="16.42578125" style="79" customWidth="1"/>
    <col min="4" max="4" width="2.7109375" style="79" customWidth="1"/>
    <col min="5" max="5" width="13.7109375" style="79" customWidth="1"/>
    <col min="6" max="6" width="2.7109375" style="79" customWidth="1"/>
    <col min="7" max="8" width="21.28515625" style="79" customWidth="1"/>
    <col min="9" max="9" width="2.7109375" style="79" customWidth="1"/>
    <col min="10" max="18" width="12.5703125" style="79" customWidth="1"/>
    <col min="19" max="21" width="2.7109375" style="79" customWidth="1"/>
    <col min="22" max="36" width="13.7109375" style="79" customWidth="1"/>
    <col min="37" max="16384" width="9.140625" style="79"/>
  </cols>
  <sheetData>
    <row r="2" spans="2:10" s="81" customFormat="1" ht="18" x14ac:dyDescent="0.2">
      <c r="B2" s="81" t="s">
        <v>113</v>
      </c>
    </row>
    <row r="4" spans="2:10" x14ac:dyDescent="0.2">
      <c r="B4" s="82" t="s">
        <v>54</v>
      </c>
    </row>
    <row r="5" spans="2:10" x14ac:dyDescent="0.2">
      <c r="B5" s="72" t="s">
        <v>311</v>
      </c>
      <c r="E5" s="69"/>
    </row>
    <row r="6" spans="2:10" x14ac:dyDescent="0.2">
      <c r="B6" s="72"/>
      <c r="E6" s="69"/>
    </row>
    <row r="8" spans="2:10" s="80" customFormat="1" x14ac:dyDescent="0.2">
      <c r="B8" s="80" t="s">
        <v>2</v>
      </c>
      <c r="C8" s="80" t="s">
        <v>3</v>
      </c>
      <c r="E8" s="80" t="s">
        <v>4</v>
      </c>
      <c r="G8" s="80" t="s">
        <v>12</v>
      </c>
      <c r="H8" s="80" t="s">
        <v>13</v>
      </c>
      <c r="J8" s="80" t="s">
        <v>6</v>
      </c>
    </row>
    <row r="10" spans="2:10" s="80" customFormat="1" x14ac:dyDescent="0.2">
      <c r="B10" s="80" t="s">
        <v>55</v>
      </c>
    </row>
    <row r="12" spans="2:10" x14ac:dyDescent="0.2">
      <c r="B12" s="82" t="s">
        <v>56</v>
      </c>
      <c r="C12" s="78"/>
      <c r="D12" s="78"/>
      <c r="E12" s="78"/>
    </row>
    <row r="13" spans="2:10" x14ac:dyDescent="0.2">
      <c r="B13" s="79" t="s">
        <v>26</v>
      </c>
      <c r="C13" s="79" t="s">
        <v>88</v>
      </c>
      <c r="D13" s="78"/>
      <c r="E13" s="78"/>
      <c r="H13" s="85">
        <f>'Estimation for 2017'!H29</f>
        <v>67344.479999999996</v>
      </c>
    </row>
    <row r="15" spans="2:10" x14ac:dyDescent="0.2">
      <c r="B15" s="82" t="s">
        <v>59</v>
      </c>
      <c r="C15" s="78"/>
      <c r="D15" s="78"/>
      <c r="E15" s="78"/>
    </row>
    <row r="16" spans="2:10" x14ac:dyDescent="0.2">
      <c r="B16" s="79" t="s">
        <v>26</v>
      </c>
      <c r="C16" s="79" t="s">
        <v>88</v>
      </c>
      <c r="D16" s="78"/>
      <c r="E16" s="78"/>
      <c r="H16" s="85">
        <f>'Realization of 2017'!H28</f>
        <v>86939</v>
      </c>
    </row>
    <row r="18" spans="2:10" x14ac:dyDescent="0.2">
      <c r="B18" s="82" t="s">
        <v>79</v>
      </c>
      <c r="C18" s="78"/>
      <c r="D18" s="78"/>
      <c r="E18" s="78"/>
    </row>
    <row r="19" spans="2:10" x14ac:dyDescent="0.2">
      <c r="B19" s="79" t="s">
        <v>90</v>
      </c>
      <c r="C19" s="79" t="s">
        <v>93</v>
      </c>
      <c r="D19" s="78"/>
      <c r="E19" s="78"/>
      <c r="H19" s="90">
        <f>'Estimation for 2017'!H38</f>
        <v>4.2373474693101798</v>
      </c>
    </row>
    <row r="21" spans="2:10" s="80" customFormat="1" x14ac:dyDescent="0.2">
      <c r="B21" s="80" t="s">
        <v>60</v>
      </c>
    </row>
    <row r="23" spans="2:10" x14ac:dyDescent="0.2">
      <c r="B23" s="82" t="s">
        <v>61</v>
      </c>
      <c r="C23" s="78"/>
      <c r="D23" s="78"/>
      <c r="E23" s="78"/>
    </row>
    <row r="24" spans="2:10" x14ac:dyDescent="0.2">
      <c r="B24" s="79" t="s">
        <v>104</v>
      </c>
      <c r="C24" s="79" t="s">
        <v>7</v>
      </c>
      <c r="D24" s="78"/>
      <c r="E24" s="78"/>
      <c r="H24" s="84">
        <f>H13*H19</f>
        <v>285361.96190001001</v>
      </c>
    </row>
    <row r="25" spans="2:10" x14ac:dyDescent="0.2">
      <c r="B25" s="79" t="s">
        <v>63</v>
      </c>
      <c r="C25" s="79" t="s">
        <v>7</v>
      </c>
      <c r="D25" s="78"/>
      <c r="E25" s="78"/>
      <c r="H25" s="84">
        <f>H16*H19</f>
        <v>368390.75163435773</v>
      </c>
    </row>
    <row r="27" spans="2:10" x14ac:dyDescent="0.2">
      <c r="B27" s="1" t="s">
        <v>53</v>
      </c>
      <c r="C27" s="79" t="s">
        <v>7</v>
      </c>
      <c r="D27" s="78"/>
      <c r="E27" s="78"/>
      <c r="H27" s="86">
        <f>H24-H25</f>
        <v>-83028.789734347723</v>
      </c>
      <c r="J27" s="79" t="s">
        <v>318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A2:J56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47.140625" style="66" customWidth="1"/>
    <col min="3" max="3" width="16.42578125" style="66" customWidth="1"/>
    <col min="4" max="4" width="2.7109375" style="66" customWidth="1"/>
    <col min="5" max="5" width="13.7109375" style="66" customWidth="1"/>
    <col min="6" max="6" width="2.7109375" style="66" customWidth="1"/>
    <col min="7" max="8" width="21.28515625" style="66" customWidth="1"/>
    <col min="9" max="9" width="2.7109375" style="66" customWidth="1"/>
    <col min="10" max="18" width="12.5703125" style="66" customWidth="1"/>
    <col min="19" max="21" width="2.7109375" style="66" customWidth="1"/>
    <col min="22" max="36" width="13.7109375" style="66" customWidth="1"/>
    <col min="37" max="16384" width="9.140625" style="66"/>
  </cols>
  <sheetData>
    <row r="2" spans="1:10" s="6" customFormat="1" ht="18" x14ac:dyDescent="0.2">
      <c r="B2" s="6" t="s">
        <v>65</v>
      </c>
    </row>
    <row r="4" spans="1:10" x14ac:dyDescent="0.2">
      <c r="B4" s="70" t="s">
        <v>54</v>
      </c>
    </row>
    <row r="5" spans="1:10" x14ac:dyDescent="0.2">
      <c r="B5" s="72" t="s">
        <v>310</v>
      </c>
      <c r="E5" s="69"/>
    </row>
    <row r="6" spans="1:10" x14ac:dyDescent="0.2">
      <c r="B6" s="67"/>
      <c r="E6" s="69"/>
    </row>
    <row r="8" spans="1:10" s="80" customFormat="1" x14ac:dyDescent="0.2">
      <c r="B8" s="80" t="s">
        <v>2</v>
      </c>
      <c r="C8" s="80" t="s">
        <v>3</v>
      </c>
      <c r="E8" s="80" t="s">
        <v>4</v>
      </c>
      <c r="G8" s="80" t="s">
        <v>12</v>
      </c>
      <c r="H8" s="80" t="s">
        <v>13</v>
      </c>
      <c r="J8" s="80" t="s">
        <v>6</v>
      </c>
    </row>
    <row r="10" spans="1:10" s="80" customFormat="1" x14ac:dyDescent="0.2">
      <c r="B10" s="80" t="s">
        <v>64</v>
      </c>
    </row>
    <row r="12" spans="1:10" s="71" customFormat="1" x14ac:dyDescent="0.2">
      <c r="A12" s="78"/>
      <c r="B12" s="75" t="s">
        <v>66</v>
      </c>
      <c r="C12" s="73"/>
      <c r="D12" s="73"/>
      <c r="E12" s="73"/>
    </row>
    <row r="13" spans="1:10" s="71" customFormat="1" x14ac:dyDescent="0.2">
      <c r="A13" s="78"/>
      <c r="B13" s="76" t="s">
        <v>17</v>
      </c>
      <c r="C13" s="73"/>
      <c r="D13" s="73"/>
      <c r="E13" s="73"/>
    </row>
    <row r="14" spans="1:10" s="71" customFormat="1" x14ac:dyDescent="0.2">
      <c r="A14" s="78"/>
      <c r="B14" s="74" t="s">
        <v>313</v>
      </c>
      <c r="C14" s="74" t="s">
        <v>18</v>
      </c>
      <c r="D14" s="73"/>
      <c r="E14" s="73"/>
      <c r="G14" s="85">
        <f>'Estimation for 2017'!G13</f>
        <v>2941620.9614413702</v>
      </c>
      <c r="H14" s="85">
        <f>'Estimation for 2017'!H13</f>
        <v>173396.87156828199</v>
      </c>
    </row>
    <row r="15" spans="1:10" s="71" customFormat="1" x14ac:dyDescent="0.2">
      <c r="A15" s="78"/>
      <c r="B15" s="74" t="s">
        <v>19</v>
      </c>
      <c r="C15" s="74" t="s">
        <v>18</v>
      </c>
      <c r="D15" s="73"/>
      <c r="E15" s="73"/>
      <c r="G15" s="85">
        <f>'Estimation for 2017'!G14</f>
        <v>235844.55248530899</v>
      </c>
      <c r="H15" s="85">
        <f>'Estimation for 2017'!H14</f>
        <v>12086.474796819801</v>
      </c>
    </row>
    <row r="16" spans="1:10" s="71" customFormat="1" x14ac:dyDescent="0.2">
      <c r="A16" s="79"/>
      <c r="G16" s="29"/>
      <c r="H16" s="29"/>
    </row>
    <row r="17" spans="1:8" s="71" customFormat="1" x14ac:dyDescent="0.2">
      <c r="A17" s="78"/>
      <c r="B17" s="76" t="s">
        <v>21</v>
      </c>
      <c r="C17" s="73"/>
      <c r="D17" s="73"/>
      <c r="E17" s="73"/>
      <c r="G17" s="29"/>
      <c r="H17" s="29"/>
    </row>
    <row r="18" spans="1:8" s="71" customFormat="1" x14ac:dyDescent="0.2">
      <c r="A18" s="78"/>
      <c r="B18" s="74" t="s">
        <v>22</v>
      </c>
      <c r="C18" s="74" t="s">
        <v>18</v>
      </c>
      <c r="D18" s="73"/>
      <c r="E18" s="73"/>
      <c r="G18" s="85">
        <f>'Estimation for 2017'!G17</f>
        <v>1511746.9859462001</v>
      </c>
      <c r="H18" s="85">
        <f>'Estimation for 2017'!H17</f>
        <v>265919.44637064001</v>
      </c>
    </row>
    <row r="19" spans="1:8" s="71" customFormat="1" x14ac:dyDescent="0.2">
      <c r="A19" s="78"/>
      <c r="B19" s="74" t="s">
        <v>23</v>
      </c>
      <c r="C19" s="74" t="s">
        <v>18</v>
      </c>
      <c r="D19" s="73"/>
      <c r="E19" s="73"/>
      <c r="G19" s="85">
        <f>'Estimation for 2017'!G18</f>
        <v>960</v>
      </c>
      <c r="H19" s="85">
        <f>'Estimation for 2017'!H18</f>
        <v>0</v>
      </c>
    </row>
    <row r="20" spans="1:8" s="71" customFormat="1" x14ac:dyDescent="0.2">
      <c r="A20" s="79"/>
      <c r="G20" s="29"/>
      <c r="H20" s="29"/>
    </row>
    <row r="21" spans="1:8" s="71" customFormat="1" x14ac:dyDescent="0.2">
      <c r="A21" s="78"/>
      <c r="B21" s="75" t="s">
        <v>67</v>
      </c>
      <c r="C21" s="73"/>
      <c r="D21" s="73"/>
      <c r="E21" s="73"/>
      <c r="G21" s="29"/>
      <c r="H21" s="29"/>
    </row>
    <row r="22" spans="1:8" s="71" customFormat="1" x14ac:dyDescent="0.2">
      <c r="A22" s="78"/>
      <c r="B22" s="76" t="s">
        <v>17</v>
      </c>
      <c r="C22" s="73"/>
      <c r="D22" s="73"/>
      <c r="E22" s="73"/>
      <c r="G22" s="29"/>
      <c r="H22" s="29"/>
    </row>
    <row r="23" spans="1:8" s="71" customFormat="1" x14ac:dyDescent="0.2">
      <c r="A23" s="78"/>
      <c r="B23" s="74" t="s">
        <v>313</v>
      </c>
      <c r="C23" s="74" t="s">
        <v>7</v>
      </c>
      <c r="D23" s="73"/>
      <c r="E23" s="73"/>
      <c r="G23" s="85">
        <f>'Realization of 2017'!G13</f>
        <v>2758298.967421758</v>
      </c>
      <c r="H23" s="85">
        <f>'Realization of 2017'!H13</f>
        <v>385532.91733306891</v>
      </c>
    </row>
    <row r="24" spans="1:8" s="71" customFormat="1" x14ac:dyDescent="0.2">
      <c r="A24" s="78"/>
      <c r="B24" s="74" t="s">
        <v>19</v>
      </c>
      <c r="C24" s="74" t="s">
        <v>7</v>
      </c>
      <c r="D24" s="73"/>
      <c r="E24" s="73"/>
      <c r="G24" s="85">
        <f>'Realization of 2017'!G14</f>
        <v>267935.10774057469</v>
      </c>
      <c r="H24" s="85">
        <f>'Realization of 2017'!H14</f>
        <v>33363.147530282709</v>
      </c>
    </row>
    <row r="25" spans="1:8" s="71" customFormat="1" x14ac:dyDescent="0.2">
      <c r="A25" s="79"/>
      <c r="G25" s="29"/>
      <c r="H25" s="29"/>
    </row>
    <row r="26" spans="1:8" s="71" customFormat="1" x14ac:dyDescent="0.2">
      <c r="A26" s="78"/>
      <c r="B26" s="77" t="s">
        <v>21</v>
      </c>
      <c r="C26" s="73"/>
      <c r="D26" s="73"/>
      <c r="E26" s="73"/>
      <c r="G26" s="29"/>
      <c r="H26" s="29"/>
    </row>
    <row r="27" spans="1:8" x14ac:dyDescent="0.2">
      <c r="A27" s="78"/>
      <c r="B27" s="74" t="s">
        <v>22</v>
      </c>
      <c r="C27" s="74" t="s">
        <v>7</v>
      </c>
      <c r="D27" s="73"/>
      <c r="E27" s="73"/>
      <c r="G27" s="85">
        <f>'Realization of 2017'!G17</f>
        <v>1405113.3741707106</v>
      </c>
      <c r="H27" s="85">
        <f>'Realization of 2017'!H17</f>
        <v>364099.41014049225</v>
      </c>
    </row>
    <row r="28" spans="1:8" x14ac:dyDescent="0.2">
      <c r="A28" s="78"/>
      <c r="B28" s="74" t="s">
        <v>23</v>
      </c>
      <c r="C28" s="74" t="s">
        <v>7</v>
      </c>
      <c r="D28" s="73"/>
      <c r="E28" s="73"/>
      <c r="G28" s="85">
        <f>'Realization of 2017'!G18</f>
        <v>2517.8919703673496</v>
      </c>
      <c r="H28" s="85">
        <f>'Realization of 2017'!H18</f>
        <v>257.94453859047269</v>
      </c>
    </row>
    <row r="30" spans="1:8" x14ac:dyDescent="0.2">
      <c r="A30" s="78"/>
      <c r="B30" s="75" t="s">
        <v>69</v>
      </c>
      <c r="C30" s="73"/>
      <c r="D30" s="73"/>
      <c r="E30" s="73"/>
    </row>
    <row r="31" spans="1:8" x14ac:dyDescent="0.2">
      <c r="A31" s="78"/>
      <c r="B31" s="74" t="s">
        <v>222</v>
      </c>
      <c r="C31" s="74" t="s">
        <v>20</v>
      </c>
      <c r="D31" s="73"/>
      <c r="E31" s="28">
        <f>'CPI &amp; WACC'!N26</f>
        <v>6.7400000000000002E-2</v>
      </c>
    </row>
    <row r="32" spans="1:8" x14ac:dyDescent="0.2">
      <c r="A32" s="78"/>
      <c r="B32" s="79" t="s">
        <v>180</v>
      </c>
      <c r="C32" s="74" t="s">
        <v>20</v>
      </c>
      <c r="D32" s="73"/>
      <c r="E32" s="28">
        <f>'CPI &amp; WACC'!N18</f>
        <v>-5.0000000000000001E-3</v>
      </c>
    </row>
    <row r="33" spans="1:10" x14ac:dyDescent="0.2">
      <c r="A33" s="78"/>
      <c r="B33" s="79" t="s">
        <v>182</v>
      </c>
      <c r="C33" s="74" t="s">
        <v>20</v>
      </c>
      <c r="D33" s="73"/>
      <c r="E33" s="115">
        <f>-(1%)</f>
        <v>-0.01</v>
      </c>
    </row>
    <row r="34" spans="1:10" x14ac:dyDescent="0.2">
      <c r="A34" s="78"/>
      <c r="B34" s="74" t="s">
        <v>122</v>
      </c>
      <c r="C34" s="74" t="s">
        <v>20</v>
      </c>
      <c r="D34" s="73"/>
      <c r="E34" s="102">
        <v>0.5</v>
      </c>
      <c r="J34" s="66" t="s">
        <v>195</v>
      </c>
    </row>
    <row r="36" spans="1:10" s="80" customFormat="1" x14ac:dyDescent="0.2">
      <c r="B36" s="80" t="s">
        <v>68</v>
      </c>
    </row>
    <row r="38" spans="1:10" x14ac:dyDescent="0.2">
      <c r="A38" s="78"/>
      <c r="B38" s="82" t="s">
        <v>70</v>
      </c>
      <c r="C38" s="78"/>
      <c r="D38" s="78"/>
      <c r="E38" s="78"/>
    </row>
    <row r="39" spans="1:10" x14ac:dyDescent="0.2">
      <c r="A39" s="78"/>
      <c r="B39" s="79" t="s">
        <v>314</v>
      </c>
      <c r="C39" s="79" t="s">
        <v>18</v>
      </c>
      <c r="D39" s="78"/>
      <c r="E39" s="78"/>
      <c r="G39" s="84">
        <f>(G14*$E$31)+G15</f>
        <v>434109.80528645735</v>
      </c>
      <c r="H39" s="84">
        <f>(H14*$E$31)+H15</f>
        <v>23773.423940522007</v>
      </c>
    </row>
    <row r="40" spans="1:10" x14ac:dyDescent="0.2">
      <c r="G40" s="29"/>
      <c r="H40" s="29"/>
    </row>
    <row r="41" spans="1:10" x14ac:dyDescent="0.2">
      <c r="A41" s="78"/>
      <c r="B41" s="87" t="s">
        <v>71</v>
      </c>
      <c r="C41" s="79" t="s">
        <v>7</v>
      </c>
      <c r="D41" s="78"/>
      <c r="E41" s="78"/>
      <c r="G41" s="84">
        <f>G39*(1+$E$32)*(1+$E$33)</f>
        <v>427619.86369742482</v>
      </c>
      <c r="H41" s="84">
        <f>H39*(1+$E$32)*(1+$E$33)</f>
        <v>23418.011252611203</v>
      </c>
    </row>
    <row r="42" spans="1:10" x14ac:dyDescent="0.2">
      <c r="A42" s="78"/>
      <c r="B42" s="79" t="s">
        <v>72</v>
      </c>
      <c r="C42" s="79" t="s">
        <v>7</v>
      </c>
      <c r="D42" s="78"/>
      <c r="E42" s="78"/>
      <c r="G42" s="84">
        <f>G18*(1+$E$32)*(1+$E$33)</f>
        <v>1489146.3685063042</v>
      </c>
      <c r="H42" s="84">
        <f>H18*(1+$E$32)*(1+$E$33)</f>
        <v>261943.95064739892</v>
      </c>
    </row>
    <row r="43" spans="1:10" x14ac:dyDescent="0.2">
      <c r="A43" s="78"/>
      <c r="B43" s="79" t="s">
        <v>23</v>
      </c>
      <c r="C43" s="79" t="s">
        <v>7</v>
      </c>
      <c r="D43" s="78"/>
      <c r="E43" s="78"/>
      <c r="G43" s="84">
        <f>G19*(1+$E$32)*(1+$E$33)</f>
        <v>945.64800000000002</v>
      </c>
      <c r="H43" s="84">
        <f>H19*(1+$E$32)*(1+$E$33)</f>
        <v>0</v>
      </c>
    </row>
    <row r="44" spans="1:10" x14ac:dyDescent="0.2">
      <c r="G44" s="29"/>
      <c r="H44" s="29"/>
    </row>
    <row r="45" spans="1:10" x14ac:dyDescent="0.2">
      <c r="A45" s="78"/>
      <c r="B45" s="79" t="s">
        <v>73</v>
      </c>
      <c r="C45" s="79" t="s">
        <v>7</v>
      </c>
      <c r="D45" s="78"/>
      <c r="E45" s="78"/>
      <c r="G45" s="84">
        <f>G41+G42-G43</f>
        <v>1915820.5842037289</v>
      </c>
      <c r="H45" s="84">
        <f>H41+H42-H43</f>
        <v>285361.96190001012</v>
      </c>
    </row>
    <row r="46" spans="1:10" x14ac:dyDescent="0.2">
      <c r="G46" s="29"/>
      <c r="H46" s="29"/>
    </row>
    <row r="47" spans="1:10" x14ac:dyDescent="0.2">
      <c r="A47" s="78"/>
      <c r="B47" s="82" t="s">
        <v>74</v>
      </c>
      <c r="C47" s="78"/>
      <c r="D47" s="78"/>
      <c r="E47" s="78"/>
      <c r="G47" s="29"/>
      <c r="H47" s="29"/>
    </row>
    <row r="48" spans="1:10" x14ac:dyDescent="0.2">
      <c r="A48" s="78"/>
      <c r="B48" s="79" t="s">
        <v>315</v>
      </c>
      <c r="C48" s="79" t="s">
        <v>7</v>
      </c>
      <c r="D48" s="78"/>
      <c r="E48" s="78"/>
      <c r="G48" s="84">
        <f>(G23*$E$31)+G24</f>
        <v>453844.4581448012</v>
      </c>
      <c r="H48" s="84">
        <f>(H23*$E$31)+H24</f>
        <v>59348.066158531554</v>
      </c>
    </row>
    <row r="49" spans="1:10" s="79" customFormat="1" x14ac:dyDescent="0.2">
      <c r="A49" s="78"/>
      <c r="B49" s="79" t="s">
        <v>72</v>
      </c>
      <c r="C49" s="79" t="s">
        <v>7</v>
      </c>
      <c r="D49" s="78"/>
      <c r="E49" s="78"/>
      <c r="G49" s="85">
        <f>G27</f>
        <v>1405113.3741707106</v>
      </c>
      <c r="H49" s="85">
        <f>H27</f>
        <v>364099.41014049225</v>
      </c>
    </row>
    <row r="50" spans="1:10" s="79" customFormat="1" x14ac:dyDescent="0.2">
      <c r="A50" s="78"/>
      <c r="B50" s="79" t="s">
        <v>23</v>
      </c>
      <c r="C50" s="79" t="s">
        <v>7</v>
      </c>
      <c r="D50" s="78"/>
      <c r="E50" s="78"/>
      <c r="G50" s="85">
        <f>G28</f>
        <v>2517.8919703673496</v>
      </c>
      <c r="H50" s="85">
        <f>H28</f>
        <v>257.94453859047269</v>
      </c>
    </row>
    <row r="51" spans="1:10" x14ac:dyDescent="0.2">
      <c r="G51" s="29"/>
      <c r="H51" s="29"/>
    </row>
    <row r="52" spans="1:10" x14ac:dyDescent="0.2">
      <c r="A52" s="78"/>
      <c r="B52" s="79" t="s">
        <v>75</v>
      </c>
      <c r="C52" s="79" t="s">
        <v>7</v>
      </c>
      <c r="D52" s="78"/>
      <c r="E52" s="78"/>
      <c r="G52" s="84">
        <f>G48+G49-G50</f>
        <v>1856439.9403451444</v>
      </c>
      <c r="H52" s="84">
        <f>H48+H49-H50</f>
        <v>423189.53176043334</v>
      </c>
    </row>
    <row r="53" spans="1:10" x14ac:dyDescent="0.2">
      <c r="G53" s="29"/>
      <c r="H53" s="29"/>
    </row>
    <row r="54" spans="1:10" x14ac:dyDescent="0.2">
      <c r="A54" s="78"/>
      <c r="B54" s="82" t="s">
        <v>8</v>
      </c>
      <c r="C54" s="78"/>
      <c r="D54" s="78"/>
      <c r="E54" s="78"/>
      <c r="G54" s="29"/>
      <c r="H54" s="29"/>
    </row>
    <row r="55" spans="1:10" x14ac:dyDescent="0.2">
      <c r="A55" s="78"/>
      <c r="B55" s="79" t="s">
        <v>76</v>
      </c>
      <c r="C55" s="79" t="s">
        <v>7</v>
      </c>
      <c r="D55" s="78"/>
      <c r="E55" s="78"/>
      <c r="G55" s="84">
        <f>G52-G45</f>
        <v>-59380.643858584575</v>
      </c>
      <c r="H55" s="84">
        <f>H52-H45</f>
        <v>137827.56986042322</v>
      </c>
      <c r="J55" s="66" t="s">
        <v>316</v>
      </c>
    </row>
    <row r="56" spans="1:10" x14ac:dyDescent="0.2">
      <c r="A56" s="78"/>
      <c r="B56" s="79" t="s">
        <v>235</v>
      </c>
      <c r="C56" s="79" t="s">
        <v>7</v>
      </c>
      <c r="D56" s="78"/>
      <c r="E56" s="78"/>
      <c r="G56" s="86">
        <f>G55*$E$34</f>
        <v>-29690.321929292288</v>
      </c>
      <c r="H56" s="86">
        <f>H55*$E$34</f>
        <v>68913.784930211608</v>
      </c>
      <c r="J56" s="66" t="s">
        <v>317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J119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RowHeight="12.75" x14ac:dyDescent="0.2"/>
  <cols>
    <col min="1" max="1" width="4" style="79" customWidth="1"/>
    <col min="2" max="2" width="55.5703125" style="79" customWidth="1"/>
    <col min="3" max="3" width="16.42578125" style="79" customWidth="1"/>
    <col min="4" max="4" width="2.7109375" style="79" customWidth="1"/>
    <col min="5" max="5" width="13.7109375" style="79" customWidth="1"/>
    <col min="6" max="6" width="2.7109375" style="79" customWidth="1"/>
    <col min="7" max="8" width="21.28515625" style="79" customWidth="1"/>
    <col min="9" max="9" width="2.7109375" style="79" customWidth="1"/>
    <col min="10" max="18" width="12.5703125" style="79" customWidth="1"/>
    <col min="19" max="21" width="2.7109375" style="79" customWidth="1"/>
    <col min="22" max="36" width="13.7109375" style="79" customWidth="1"/>
    <col min="37" max="16384" width="9.140625" style="79"/>
  </cols>
  <sheetData>
    <row r="2" spans="2:10" s="6" customFormat="1" ht="18" x14ac:dyDescent="0.2">
      <c r="B2" s="6" t="s">
        <v>105</v>
      </c>
    </row>
    <row r="4" spans="2:10" x14ac:dyDescent="0.2">
      <c r="B4" s="82" t="s">
        <v>54</v>
      </c>
    </row>
    <row r="5" spans="2:10" x14ac:dyDescent="0.2">
      <c r="B5" s="72" t="s">
        <v>304</v>
      </c>
      <c r="E5" s="69"/>
    </row>
    <row r="6" spans="2:10" x14ac:dyDescent="0.2">
      <c r="B6" s="72"/>
      <c r="E6" s="69"/>
    </row>
    <row r="8" spans="2:10" s="80" customFormat="1" x14ac:dyDescent="0.2">
      <c r="B8" s="80" t="s">
        <v>2</v>
      </c>
      <c r="C8" s="80" t="s">
        <v>3</v>
      </c>
      <c r="E8" s="80" t="s">
        <v>4</v>
      </c>
      <c r="G8" s="80" t="s">
        <v>12</v>
      </c>
      <c r="H8" s="80" t="s">
        <v>13</v>
      </c>
      <c r="J8" s="80" t="s">
        <v>6</v>
      </c>
    </row>
    <row r="10" spans="2:10" s="80" customFormat="1" x14ac:dyDescent="0.2">
      <c r="B10" s="80" t="s">
        <v>106</v>
      </c>
    </row>
    <row r="12" spans="2:10" x14ac:dyDescent="0.2">
      <c r="B12" s="1" t="s">
        <v>107</v>
      </c>
    </row>
    <row r="13" spans="2:10" x14ac:dyDescent="0.2">
      <c r="B13" s="79" t="s">
        <v>87</v>
      </c>
      <c r="C13" s="79" t="s">
        <v>109</v>
      </c>
      <c r="G13" s="90">
        <f>'Estimation for 2017'!G26</f>
        <v>0.26900000000000002</v>
      </c>
    </row>
    <row r="14" spans="2:10" x14ac:dyDescent="0.2">
      <c r="B14" s="79" t="s">
        <v>108</v>
      </c>
      <c r="C14" s="79" t="s">
        <v>24</v>
      </c>
      <c r="G14" s="85">
        <f>'Estimation for 2017'!G24</f>
        <v>10704000</v>
      </c>
    </row>
    <row r="15" spans="2:10" x14ac:dyDescent="0.2">
      <c r="B15" s="79" t="s">
        <v>110</v>
      </c>
      <c r="C15" s="79" t="s">
        <v>24</v>
      </c>
      <c r="G15" s="85">
        <f>'Estimation for 2017'!G25</f>
        <v>13904000</v>
      </c>
    </row>
    <row r="16" spans="2:10" x14ac:dyDescent="0.2">
      <c r="B16" s="79" t="s">
        <v>111</v>
      </c>
      <c r="C16" s="79" t="s">
        <v>20</v>
      </c>
      <c r="G16" s="92">
        <f>G14/G15</f>
        <v>0.76985040276179517</v>
      </c>
    </row>
    <row r="18" spans="2:7" x14ac:dyDescent="0.2">
      <c r="B18" s="1" t="s">
        <v>114</v>
      </c>
    </row>
    <row r="19" spans="2:7" x14ac:dyDescent="0.2">
      <c r="B19" s="59" t="s">
        <v>49</v>
      </c>
      <c r="C19" s="78" t="s">
        <v>50</v>
      </c>
      <c r="G19" s="91">
        <f>'Fuel costs'!G25</f>
        <v>0.56000000000000005</v>
      </c>
    </row>
    <row r="20" spans="2:7" x14ac:dyDescent="0.2">
      <c r="B20" s="59" t="s">
        <v>51</v>
      </c>
      <c r="C20" s="78" t="s">
        <v>50</v>
      </c>
      <c r="G20" s="91">
        <f>'Fuel costs'!G26</f>
        <v>0.61</v>
      </c>
    </row>
    <row r="21" spans="2:7" x14ac:dyDescent="0.2">
      <c r="B21" s="59" t="s">
        <v>223</v>
      </c>
      <c r="C21" s="78" t="s">
        <v>52</v>
      </c>
      <c r="G21" s="91">
        <f>'Fuel costs'!G27</f>
        <v>0.63868626589771993</v>
      </c>
    </row>
    <row r="22" spans="2:7" x14ac:dyDescent="0.2">
      <c r="B22" s="59" t="s">
        <v>224</v>
      </c>
      <c r="C22" s="78" t="s">
        <v>52</v>
      </c>
      <c r="G22" s="91">
        <f>'Fuel costs'!G28</f>
        <v>0.64401134015664785</v>
      </c>
    </row>
    <row r="23" spans="2:7" x14ac:dyDescent="0.2">
      <c r="B23" s="59" t="s">
        <v>225</v>
      </c>
      <c r="C23" s="78" t="s">
        <v>52</v>
      </c>
      <c r="G23" s="91">
        <f>'Fuel costs'!G29</f>
        <v>0.63261509414266881</v>
      </c>
    </row>
    <row r="24" spans="2:7" x14ac:dyDescent="0.2">
      <c r="B24" s="59" t="s">
        <v>226</v>
      </c>
      <c r="C24" s="78" t="s">
        <v>52</v>
      </c>
      <c r="G24" s="91">
        <f>'Fuel costs'!G30</f>
        <v>0.62363033694260905</v>
      </c>
    </row>
    <row r="25" spans="2:7" x14ac:dyDescent="0.2">
      <c r="B25" s="59" t="s">
        <v>227</v>
      </c>
      <c r="C25" s="78" t="s">
        <v>52</v>
      </c>
      <c r="G25" s="91">
        <f>'Fuel costs'!G31</f>
        <v>0.61150689942541336</v>
      </c>
    </row>
    <row r="26" spans="2:7" x14ac:dyDescent="0.2">
      <c r="B26" s="59" t="s">
        <v>228</v>
      </c>
      <c r="C26" s="78" t="s">
        <v>52</v>
      </c>
      <c r="G26" s="91">
        <f>'Fuel costs'!G32</f>
        <v>0.58622890361305569</v>
      </c>
    </row>
    <row r="27" spans="2:7" x14ac:dyDescent="0.2">
      <c r="B27" s="59" t="s">
        <v>229</v>
      </c>
      <c r="C27" s="78" t="s">
        <v>52</v>
      </c>
      <c r="G27" s="91">
        <f>'Fuel costs'!G33</f>
        <v>0.59110400992372714</v>
      </c>
    </row>
    <row r="28" spans="2:7" x14ac:dyDescent="0.2">
      <c r="B28" s="59" t="s">
        <v>230</v>
      </c>
      <c r="C28" s="78" t="s">
        <v>52</v>
      </c>
      <c r="G28" s="91">
        <f>'Fuel costs'!G34</f>
        <v>0.61899358440700358</v>
      </c>
    </row>
    <row r="29" spans="2:7" x14ac:dyDescent="0.2">
      <c r="B29" s="59" t="s">
        <v>231</v>
      </c>
      <c r="C29" s="78" t="s">
        <v>52</v>
      </c>
      <c r="G29" s="91">
        <f>'Fuel costs'!G35</f>
        <v>0.65098140300971585</v>
      </c>
    </row>
    <row r="30" spans="2:7" x14ac:dyDescent="0.2">
      <c r="B30" s="59" t="s">
        <v>232</v>
      </c>
      <c r="C30" s="78" t="s">
        <v>52</v>
      </c>
      <c r="G30" s="91">
        <f>'Fuel costs'!G36</f>
        <v>0.65694608885614503</v>
      </c>
    </row>
    <row r="31" spans="2:7" x14ac:dyDescent="0.2">
      <c r="B31" s="59" t="s">
        <v>233</v>
      </c>
      <c r="C31" s="78" t="s">
        <v>52</v>
      </c>
      <c r="G31" s="91">
        <f>'Fuel costs'!G37</f>
        <v>0.70420765897107229</v>
      </c>
    </row>
    <row r="32" spans="2:7" x14ac:dyDescent="0.2">
      <c r="B32" s="59" t="s">
        <v>234</v>
      </c>
      <c r="C32" s="78" t="s">
        <v>52</v>
      </c>
      <c r="G32" s="91">
        <f>'Fuel costs'!G38</f>
        <v>0.70305189020187953</v>
      </c>
    </row>
    <row r="34" spans="2:7" x14ac:dyDescent="0.2">
      <c r="B34" s="1" t="s">
        <v>115</v>
      </c>
    </row>
    <row r="35" spans="2:7" x14ac:dyDescent="0.2">
      <c r="B35" s="59" t="s">
        <v>223</v>
      </c>
      <c r="C35" s="78" t="s">
        <v>24</v>
      </c>
      <c r="G35" s="85">
        <f>'Fuel costs'!G41</f>
        <v>1004000</v>
      </c>
    </row>
    <row r="36" spans="2:7" x14ac:dyDescent="0.2">
      <c r="B36" s="59" t="s">
        <v>224</v>
      </c>
      <c r="C36" s="78" t="s">
        <v>24</v>
      </c>
      <c r="G36" s="85">
        <f>'Fuel costs'!G42</f>
        <v>972000</v>
      </c>
    </row>
    <row r="37" spans="2:7" x14ac:dyDescent="0.2">
      <c r="B37" s="59" t="s">
        <v>225</v>
      </c>
      <c r="C37" s="78" t="s">
        <v>24</v>
      </c>
      <c r="G37" s="85">
        <f>'Fuel costs'!G43</f>
        <v>1097000</v>
      </c>
    </row>
    <row r="38" spans="2:7" x14ac:dyDescent="0.2">
      <c r="B38" s="59" t="s">
        <v>226</v>
      </c>
      <c r="C38" s="78" t="s">
        <v>24</v>
      </c>
      <c r="G38" s="85">
        <f>'Fuel costs'!G44</f>
        <v>1107000</v>
      </c>
    </row>
    <row r="39" spans="2:7" x14ac:dyDescent="0.2">
      <c r="B39" s="59" t="s">
        <v>227</v>
      </c>
      <c r="C39" s="78" t="s">
        <v>24</v>
      </c>
      <c r="G39" s="85">
        <f>'Fuel costs'!G45</f>
        <v>1215000</v>
      </c>
    </row>
    <row r="40" spans="2:7" x14ac:dyDescent="0.2">
      <c r="B40" s="59" t="s">
        <v>228</v>
      </c>
      <c r="C40" s="78" t="s">
        <v>24</v>
      </c>
      <c r="G40" s="85">
        <f>'Fuel costs'!G46</f>
        <v>1238000</v>
      </c>
    </row>
    <row r="41" spans="2:7" x14ac:dyDescent="0.2">
      <c r="B41" s="59" t="s">
        <v>229</v>
      </c>
      <c r="C41" s="78" t="s">
        <v>24</v>
      </c>
      <c r="G41" s="85">
        <f>'Fuel costs'!G47</f>
        <v>1314000</v>
      </c>
    </row>
    <row r="42" spans="2:7" x14ac:dyDescent="0.2">
      <c r="B42" s="59" t="s">
        <v>230</v>
      </c>
      <c r="C42" s="78" t="s">
        <v>24</v>
      </c>
      <c r="G42" s="85">
        <f>'Fuel costs'!G48</f>
        <v>1369000</v>
      </c>
    </row>
    <row r="43" spans="2:7" x14ac:dyDescent="0.2">
      <c r="B43" s="59" t="s">
        <v>231</v>
      </c>
      <c r="C43" s="78" t="s">
        <v>24</v>
      </c>
      <c r="G43" s="85">
        <f>'Fuel costs'!G49</f>
        <v>1137000</v>
      </c>
    </row>
    <row r="44" spans="2:7" x14ac:dyDescent="0.2">
      <c r="B44" s="59" t="s">
        <v>232</v>
      </c>
      <c r="C44" s="78" t="s">
        <v>24</v>
      </c>
      <c r="G44" s="85">
        <f>'Fuel costs'!G50</f>
        <v>1297000</v>
      </c>
    </row>
    <row r="45" spans="2:7" x14ac:dyDescent="0.2">
      <c r="B45" s="59" t="s">
        <v>233</v>
      </c>
      <c r="C45" s="78" t="s">
        <v>24</v>
      </c>
      <c r="G45" s="85">
        <f>'Fuel costs'!G51</f>
        <v>1184000</v>
      </c>
    </row>
    <row r="46" spans="2:7" x14ac:dyDescent="0.2">
      <c r="B46" s="59" t="s">
        <v>234</v>
      </c>
      <c r="C46" s="78" t="s">
        <v>24</v>
      </c>
      <c r="G46" s="85">
        <f>'Fuel costs'!G52</f>
        <v>1073000</v>
      </c>
    </row>
    <row r="48" spans="2:7" x14ac:dyDescent="0.2">
      <c r="B48" s="1" t="s">
        <v>126</v>
      </c>
    </row>
    <row r="49" spans="2:7" x14ac:dyDescent="0.2">
      <c r="B49" s="59" t="s">
        <v>223</v>
      </c>
      <c r="C49" s="78" t="s">
        <v>24</v>
      </c>
      <c r="G49" s="85">
        <f>'Fuel costs'!G71</f>
        <v>788366</v>
      </c>
    </row>
    <row r="50" spans="2:7" x14ac:dyDescent="0.2">
      <c r="B50" s="59" t="s">
        <v>224</v>
      </c>
      <c r="C50" s="78" t="s">
        <v>24</v>
      </c>
      <c r="G50" s="85">
        <f>'Fuel costs'!G72</f>
        <v>745444</v>
      </c>
    </row>
    <row r="51" spans="2:7" x14ac:dyDescent="0.2">
      <c r="B51" s="59" t="s">
        <v>225</v>
      </c>
      <c r="C51" s="78" t="s">
        <v>24</v>
      </c>
      <c r="G51" s="85">
        <f>'Fuel costs'!G73</f>
        <v>834858</v>
      </c>
    </row>
    <row r="52" spans="2:7" x14ac:dyDescent="0.2">
      <c r="B52" s="59" t="s">
        <v>226</v>
      </c>
      <c r="C52" s="78" t="s">
        <v>24</v>
      </c>
      <c r="G52" s="85">
        <f>'Fuel costs'!G74</f>
        <v>848676</v>
      </c>
    </row>
    <row r="53" spans="2:7" x14ac:dyDescent="0.2">
      <c r="B53" s="59" t="s">
        <v>227</v>
      </c>
      <c r="C53" s="78" t="s">
        <v>24</v>
      </c>
      <c r="G53" s="85">
        <f>'Fuel costs'!G75</f>
        <v>921425</v>
      </c>
    </row>
    <row r="54" spans="2:7" x14ac:dyDescent="0.2">
      <c r="B54" s="59" t="s">
        <v>228</v>
      </c>
      <c r="C54" s="78" t="s">
        <v>24</v>
      </c>
      <c r="G54" s="85">
        <f>'Fuel costs'!G76</f>
        <v>880701</v>
      </c>
    </row>
    <row r="55" spans="2:7" x14ac:dyDescent="0.2">
      <c r="B55" s="59" t="s">
        <v>229</v>
      </c>
      <c r="C55" s="78" t="s">
        <v>24</v>
      </c>
      <c r="G55" s="85">
        <f>'Fuel costs'!G77</f>
        <v>925853</v>
      </c>
    </row>
    <row r="56" spans="2:7" x14ac:dyDescent="0.2">
      <c r="B56" s="59" t="s">
        <v>230</v>
      </c>
      <c r="C56" s="78" t="s">
        <v>24</v>
      </c>
      <c r="G56" s="85">
        <f>'Fuel costs'!G78</f>
        <v>995090</v>
      </c>
    </row>
    <row r="57" spans="2:7" x14ac:dyDescent="0.2">
      <c r="B57" s="59" t="s">
        <v>231</v>
      </c>
      <c r="C57" s="78" t="s">
        <v>24</v>
      </c>
      <c r="G57" s="85">
        <f>'Fuel costs'!G79</f>
        <v>901605</v>
      </c>
    </row>
    <row r="58" spans="2:7" x14ac:dyDescent="0.2">
      <c r="B58" s="59" t="s">
        <v>232</v>
      </c>
      <c r="C58" s="78" t="s">
        <v>24</v>
      </c>
      <c r="G58" s="85">
        <f>'Fuel costs'!G80</f>
        <v>1010898</v>
      </c>
    </row>
    <row r="59" spans="2:7" x14ac:dyDescent="0.2">
      <c r="B59" s="59" t="s">
        <v>233</v>
      </c>
      <c r="C59" s="78" t="s">
        <v>24</v>
      </c>
      <c r="G59" s="85">
        <f>'Fuel costs'!G81</f>
        <v>757575</v>
      </c>
    </row>
    <row r="60" spans="2:7" x14ac:dyDescent="0.2">
      <c r="B60" s="59" t="s">
        <v>234</v>
      </c>
      <c r="C60" s="78" t="s">
        <v>24</v>
      </c>
      <c r="G60" s="85">
        <f>'Fuel costs'!G82</f>
        <v>629415</v>
      </c>
    </row>
    <row r="62" spans="2:7" s="80" customFormat="1" x14ac:dyDescent="0.2">
      <c r="B62" s="80" t="s">
        <v>116</v>
      </c>
    </row>
    <row r="64" spans="2:7" x14ac:dyDescent="0.2">
      <c r="B64" s="1" t="s">
        <v>117</v>
      </c>
    </row>
    <row r="65" spans="2:7" x14ac:dyDescent="0.2">
      <c r="B65" s="79" t="s">
        <v>118</v>
      </c>
    </row>
    <row r="67" spans="2:7" x14ac:dyDescent="0.2">
      <c r="B67" s="59" t="s">
        <v>223</v>
      </c>
      <c r="C67" s="79" t="s">
        <v>30</v>
      </c>
      <c r="G67" s="93">
        <f t="shared" ref="G67:G78" si="0">$G$13*G19*$G$16</f>
        <v>0.11597026467203685</v>
      </c>
    </row>
    <row r="68" spans="2:7" x14ac:dyDescent="0.2">
      <c r="B68" s="59" t="s">
        <v>224</v>
      </c>
      <c r="C68" s="79" t="s">
        <v>30</v>
      </c>
      <c r="G68" s="93">
        <f t="shared" si="0"/>
        <v>0.12632475258918299</v>
      </c>
    </row>
    <row r="69" spans="2:7" x14ac:dyDescent="0.2">
      <c r="B69" s="59" t="s">
        <v>225</v>
      </c>
      <c r="C69" s="79" t="s">
        <v>30</v>
      </c>
      <c r="G69" s="93">
        <f t="shared" si="0"/>
        <v>0.13226538446170261</v>
      </c>
    </row>
    <row r="70" spans="2:7" x14ac:dyDescent="0.2">
      <c r="B70" s="59" t="s">
        <v>226</v>
      </c>
      <c r="C70" s="79" t="s">
        <v>30</v>
      </c>
      <c r="G70" s="93">
        <f t="shared" si="0"/>
        <v>0.13336815280314213</v>
      </c>
    </row>
    <row r="71" spans="2:7" x14ac:dyDescent="0.2">
      <c r="B71" s="59" t="s">
        <v>227</v>
      </c>
      <c r="C71" s="79" t="s">
        <v>30</v>
      </c>
      <c r="G71" s="93">
        <f t="shared" si="0"/>
        <v>0.13100810697009072</v>
      </c>
    </row>
    <row r="72" spans="2:7" x14ac:dyDescent="0.2">
      <c r="B72" s="59" t="s">
        <v>228</v>
      </c>
      <c r="C72" s="79" t="s">
        <v>30</v>
      </c>
      <c r="G72" s="93">
        <f t="shared" si="0"/>
        <v>0.12914745577276049</v>
      </c>
    </row>
    <row r="73" spans="2:7" x14ac:dyDescent="0.2">
      <c r="B73" s="59" t="s">
        <v>229</v>
      </c>
      <c r="C73" s="79" t="s">
        <v>30</v>
      </c>
      <c r="G73" s="93">
        <f t="shared" si="0"/>
        <v>0.12663681602703891</v>
      </c>
    </row>
    <row r="74" spans="2:7" x14ac:dyDescent="0.2">
      <c r="B74" s="59" t="s">
        <v>230</v>
      </c>
      <c r="C74" s="79" t="s">
        <v>30</v>
      </c>
      <c r="G74" s="93">
        <f t="shared" si="0"/>
        <v>0.12140200198286434</v>
      </c>
    </row>
    <row r="75" spans="2:7" x14ac:dyDescent="0.2">
      <c r="B75" s="59" t="s">
        <v>231</v>
      </c>
      <c r="C75" s="79" t="s">
        <v>30</v>
      </c>
      <c r="G75" s="93">
        <f t="shared" si="0"/>
        <v>0.12241158657063736</v>
      </c>
    </row>
    <row r="76" spans="2:7" x14ac:dyDescent="0.2">
      <c r="B76" s="59" t="s">
        <v>232</v>
      </c>
      <c r="C76" s="79" t="s">
        <v>30</v>
      </c>
      <c r="G76" s="93">
        <f t="shared" si="0"/>
        <v>0.12818723181066602</v>
      </c>
    </row>
    <row r="77" spans="2:7" x14ac:dyDescent="0.2">
      <c r="B77" s="59" t="s">
        <v>233</v>
      </c>
      <c r="C77" s="79" t="s">
        <v>30</v>
      </c>
      <c r="G77" s="93">
        <f t="shared" si="0"/>
        <v>0.13481158143501898</v>
      </c>
    </row>
    <row r="78" spans="2:7" x14ac:dyDescent="0.2">
      <c r="B78" s="59" t="s">
        <v>234</v>
      </c>
      <c r="C78" s="79" t="s">
        <v>30</v>
      </c>
      <c r="G78" s="93">
        <f t="shared" si="0"/>
        <v>0.13604680678554743</v>
      </c>
    </row>
    <row r="80" spans="2:7" x14ac:dyDescent="0.2">
      <c r="B80" s="1" t="s">
        <v>124</v>
      </c>
    </row>
    <row r="81" spans="2:7" x14ac:dyDescent="0.2">
      <c r="B81" s="59" t="s">
        <v>223</v>
      </c>
      <c r="C81" s="79" t="s">
        <v>7</v>
      </c>
      <c r="G81" s="84">
        <f>G35*G67</f>
        <v>116434.14573072499</v>
      </c>
    </row>
    <row r="82" spans="2:7" x14ac:dyDescent="0.2">
      <c r="B82" s="59" t="s">
        <v>224</v>
      </c>
      <c r="C82" s="79" t="s">
        <v>7</v>
      </c>
      <c r="G82" s="84">
        <f t="shared" ref="G82:G92" si="1">G36*G68</f>
        <v>122787.65951668588</v>
      </c>
    </row>
    <row r="83" spans="2:7" x14ac:dyDescent="0.2">
      <c r="B83" s="59" t="s">
        <v>225</v>
      </c>
      <c r="C83" s="79" t="s">
        <v>7</v>
      </c>
      <c r="G83" s="84">
        <f t="shared" si="1"/>
        <v>145095.12675448775</v>
      </c>
    </row>
    <row r="84" spans="2:7" x14ac:dyDescent="0.2">
      <c r="B84" s="59" t="s">
        <v>226</v>
      </c>
      <c r="C84" s="79" t="s">
        <v>7</v>
      </c>
      <c r="G84" s="84">
        <f t="shared" si="1"/>
        <v>147638.54515307833</v>
      </c>
    </row>
    <row r="85" spans="2:7" x14ac:dyDescent="0.2">
      <c r="B85" s="59" t="s">
        <v>227</v>
      </c>
      <c r="C85" s="79" t="s">
        <v>7</v>
      </c>
      <c r="G85" s="84">
        <f t="shared" si="1"/>
        <v>159174.84996866022</v>
      </c>
    </row>
    <row r="86" spans="2:7" x14ac:dyDescent="0.2">
      <c r="B86" s="59" t="s">
        <v>228</v>
      </c>
      <c r="C86" s="79" t="s">
        <v>7</v>
      </c>
      <c r="G86" s="84">
        <f t="shared" si="1"/>
        <v>159884.55024667748</v>
      </c>
    </row>
    <row r="87" spans="2:7" x14ac:dyDescent="0.2">
      <c r="B87" s="59" t="s">
        <v>229</v>
      </c>
      <c r="C87" s="79" t="s">
        <v>7</v>
      </c>
      <c r="G87" s="84">
        <f t="shared" si="1"/>
        <v>166400.77625952914</v>
      </c>
    </row>
    <row r="88" spans="2:7" x14ac:dyDescent="0.2">
      <c r="B88" s="59" t="s">
        <v>230</v>
      </c>
      <c r="C88" s="79" t="s">
        <v>7</v>
      </c>
      <c r="G88" s="84">
        <f t="shared" si="1"/>
        <v>166199.34071454129</v>
      </c>
    </row>
    <row r="89" spans="2:7" x14ac:dyDescent="0.2">
      <c r="B89" s="59" t="s">
        <v>231</v>
      </c>
      <c r="C89" s="79" t="s">
        <v>7</v>
      </c>
      <c r="G89" s="84">
        <f t="shared" si="1"/>
        <v>139181.97393081468</v>
      </c>
    </row>
    <row r="90" spans="2:7" x14ac:dyDescent="0.2">
      <c r="B90" s="59" t="s">
        <v>232</v>
      </c>
      <c r="C90" s="79" t="s">
        <v>7</v>
      </c>
      <c r="G90" s="84">
        <f t="shared" si="1"/>
        <v>166258.83965843383</v>
      </c>
    </row>
    <row r="91" spans="2:7" x14ac:dyDescent="0.2">
      <c r="B91" s="59" t="s">
        <v>233</v>
      </c>
      <c r="C91" s="79" t="s">
        <v>7</v>
      </c>
      <c r="G91" s="84">
        <f t="shared" si="1"/>
        <v>159616.91241906246</v>
      </c>
    </row>
    <row r="92" spans="2:7" x14ac:dyDescent="0.2">
      <c r="B92" s="59" t="s">
        <v>234</v>
      </c>
      <c r="C92" s="79" t="s">
        <v>7</v>
      </c>
      <c r="G92" s="84">
        <f t="shared" si="1"/>
        <v>145978.22368089238</v>
      </c>
    </row>
    <row r="94" spans="2:7" x14ac:dyDescent="0.2">
      <c r="B94" s="61" t="s">
        <v>128</v>
      </c>
      <c r="C94" s="79" t="s">
        <v>7</v>
      </c>
      <c r="G94" s="84">
        <f>SUM(G81:G92)</f>
        <v>1794650.9440335887</v>
      </c>
    </row>
    <row r="96" spans="2:7" s="80" customFormat="1" x14ac:dyDescent="0.2">
      <c r="B96" s="80" t="s">
        <v>125</v>
      </c>
    </row>
    <row r="98" spans="2:7" x14ac:dyDescent="0.2">
      <c r="B98" s="1" t="s">
        <v>127</v>
      </c>
    </row>
    <row r="99" spans="2:7" x14ac:dyDescent="0.2">
      <c r="B99" s="59" t="s">
        <v>223</v>
      </c>
      <c r="C99" s="79" t="s">
        <v>7</v>
      </c>
      <c r="G99" s="84">
        <f>$G$13*G21*G49</f>
        <v>135446.4863724942</v>
      </c>
    </row>
    <row r="100" spans="2:7" x14ac:dyDescent="0.2">
      <c r="B100" s="59" t="s">
        <v>224</v>
      </c>
      <c r="C100" s="79" t="s">
        <v>7</v>
      </c>
      <c r="G100" s="84">
        <f t="shared" ref="G100:G110" si="2">$G$13*G22*G50</f>
        <v>129140.01076251597</v>
      </c>
    </row>
    <row r="101" spans="2:7" x14ac:dyDescent="0.2">
      <c r="B101" s="59" t="s">
        <v>225</v>
      </c>
      <c r="C101" s="79" t="s">
        <v>7</v>
      </c>
      <c r="G101" s="84">
        <f t="shared" si="2"/>
        <v>142070.67473948951</v>
      </c>
    </row>
    <row r="102" spans="2:7" x14ac:dyDescent="0.2">
      <c r="B102" s="59" t="s">
        <v>226</v>
      </c>
      <c r="C102" s="79" t="s">
        <v>7</v>
      </c>
      <c r="G102" s="84">
        <f t="shared" si="2"/>
        <v>142370.96685564343</v>
      </c>
    </row>
    <row r="103" spans="2:7" x14ac:dyDescent="0.2">
      <c r="B103" s="59" t="s">
        <v>227</v>
      </c>
      <c r="C103" s="79" t="s">
        <v>7</v>
      </c>
      <c r="G103" s="84">
        <f t="shared" si="2"/>
        <v>151570.13335202355</v>
      </c>
    </row>
    <row r="104" spans="2:7" x14ac:dyDescent="0.2">
      <c r="B104" s="59" t="s">
        <v>228</v>
      </c>
      <c r="C104" s="79" t="s">
        <v>7</v>
      </c>
      <c r="G104" s="84">
        <f t="shared" si="2"/>
        <v>138882.65066140794</v>
      </c>
    </row>
    <row r="105" spans="2:7" x14ac:dyDescent="0.2">
      <c r="B105" s="59" t="s">
        <v>229</v>
      </c>
      <c r="C105" s="79" t="s">
        <v>7</v>
      </c>
      <c r="G105" s="84">
        <f t="shared" si="2"/>
        <v>147217.08822207648</v>
      </c>
    </row>
    <row r="106" spans="2:7" x14ac:dyDescent="0.2">
      <c r="B106" s="59" t="s">
        <v>230</v>
      </c>
      <c r="C106" s="79" t="s">
        <v>7</v>
      </c>
      <c r="G106" s="84">
        <f t="shared" si="2"/>
        <v>165691.71366913506</v>
      </c>
    </row>
    <row r="107" spans="2:7" x14ac:dyDescent="0.2">
      <c r="B107" s="59" t="s">
        <v>231</v>
      </c>
      <c r="C107" s="79" t="s">
        <v>7</v>
      </c>
      <c r="G107" s="84">
        <f t="shared" si="2"/>
        <v>157883.65563449464</v>
      </c>
    </row>
    <row r="108" spans="2:7" x14ac:dyDescent="0.2">
      <c r="B108" s="59" t="s">
        <v>232</v>
      </c>
      <c r="C108" s="79" t="s">
        <v>7</v>
      </c>
      <c r="G108" s="84">
        <f t="shared" si="2"/>
        <v>178644.37609244231</v>
      </c>
    </row>
    <row r="109" spans="2:7" x14ac:dyDescent="0.2">
      <c r="B109" s="59" t="s">
        <v>233</v>
      </c>
      <c r="C109" s="79" t="s">
        <v>7</v>
      </c>
      <c r="G109" s="84">
        <f t="shared" si="2"/>
        <v>143508.84153890773</v>
      </c>
    </row>
    <row r="110" spans="2:7" x14ac:dyDescent="0.2">
      <c r="B110" s="59" t="s">
        <v>234</v>
      </c>
      <c r="C110" s="79" t="s">
        <v>7</v>
      </c>
      <c r="G110" s="84">
        <f t="shared" si="2"/>
        <v>119035.56807181091</v>
      </c>
    </row>
    <row r="112" spans="2:7" x14ac:dyDescent="0.2">
      <c r="B112" s="1" t="s">
        <v>123</v>
      </c>
      <c r="C112" s="79" t="s">
        <v>7</v>
      </c>
      <c r="G112" s="84">
        <f>SUM(G99:G110)</f>
        <v>1751462.1659724419</v>
      </c>
    </row>
    <row r="114" spans="2:7" s="80" customFormat="1" x14ac:dyDescent="0.2">
      <c r="B114" s="80" t="s">
        <v>119</v>
      </c>
    </row>
    <row r="116" spans="2:7" x14ac:dyDescent="0.2">
      <c r="B116" s="79" t="s">
        <v>130</v>
      </c>
      <c r="C116" s="79" t="s">
        <v>7</v>
      </c>
      <c r="G116" s="85">
        <f>G94</f>
        <v>1794650.9440335887</v>
      </c>
    </row>
    <row r="117" spans="2:7" x14ac:dyDescent="0.2">
      <c r="B117" s="79" t="s">
        <v>129</v>
      </c>
      <c r="C117" s="79" t="s">
        <v>7</v>
      </c>
      <c r="G117" s="85">
        <f>G112</f>
        <v>1751462.1659724419</v>
      </c>
    </row>
    <row r="118" spans="2:7" x14ac:dyDescent="0.2">
      <c r="G118" s="29"/>
    </row>
    <row r="119" spans="2:7" x14ac:dyDescent="0.2">
      <c r="B119" s="79" t="s">
        <v>105</v>
      </c>
      <c r="C119" s="79" t="s">
        <v>7</v>
      </c>
      <c r="G119" s="86">
        <f>G117-G116</f>
        <v>-43188.778061146848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</sheetPr>
  <dimension ref="B2:J55"/>
  <sheetViews>
    <sheetView showGridLines="0" zoomScale="85" zoomScaleNormal="85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RowHeight="12.75" x14ac:dyDescent="0.2"/>
  <cols>
    <col min="1" max="1" width="2.7109375" style="79" customWidth="1"/>
    <col min="2" max="2" width="55.5703125" style="79" customWidth="1"/>
    <col min="3" max="3" width="16.42578125" style="79" customWidth="1"/>
    <col min="4" max="4" width="2.7109375" style="79" customWidth="1"/>
    <col min="5" max="5" width="13.7109375" style="79" customWidth="1"/>
    <col min="6" max="6" width="2.7109375" style="79" customWidth="1"/>
    <col min="7" max="8" width="21.28515625" style="79" customWidth="1"/>
    <col min="9" max="9" width="2.7109375" style="79" customWidth="1"/>
    <col min="10" max="18" width="12.5703125" style="79" customWidth="1"/>
    <col min="19" max="21" width="2.7109375" style="79" customWidth="1"/>
    <col min="22" max="36" width="13.7109375" style="79" customWidth="1"/>
    <col min="37" max="16384" width="9.140625" style="79"/>
  </cols>
  <sheetData>
    <row r="2" spans="2:10" s="81" customFormat="1" ht="18" x14ac:dyDescent="0.2">
      <c r="B2" s="81" t="s">
        <v>144</v>
      </c>
    </row>
    <row r="4" spans="2:10" x14ac:dyDescent="0.2">
      <c r="B4" s="82" t="s">
        <v>54</v>
      </c>
    </row>
    <row r="5" spans="2:10" x14ac:dyDescent="0.2">
      <c r="B5" s="72" t="s">
        <v>307</v>
      </c>
      <c r="E5" s="69"/>
    </row>
    <row r="6" spans="2:10" x14ac:dyDescent="0.2">
      <c r="B6" s="72" t="s">
        <v>236</v>
      </c>
      <c r="E6" s="69"/>
    </row>
    <row r="7" spans="2:10" x14ac:dyDescent="0.2">
      <c r="B7" s="72" t="s">
        <v>308</v>
      </c>
      <c r="E7" s="69"/>
    </row>
    <row r="9" spans="2:10" s="80" customFormat="1" x14ac:dyDescent="0.2">
      <c r="B9" s="80" t="s">
        <v>2</v>
      </c>
      <c r="C9" s="80" t="s">
        <v>3</v>
      </c>
      <c r="E9" s="80" t="s">
        <v>4</v>
      </c>
      <c r="G9" s="80" t="s">
        <v>12</v>
      </c>
      <c r="H9" s="80" t="s">
        <v>13</v>
      </c>
      <c r="J9" s="80" t="s">
        <v>6</v>
      </c>
    </row>
    <row r="11" spans="2:10" s="80" customFormat="1" x14ac:dyDescent="0.2">
      <c r="B11" s="80" t="s">
        <v>145</v>
      </c>
    </row>
    <row r="12" spans="2:10" x14ac:dyDescent="0.2">
      <c r="G12" s="7"/>
    </row>
    <row r="13" spans="2:10" x14ac:dyDescent="0.2">
      <c r="B13" s="79" t="s">
        <v>86</v>
      </c>
      <c r="C13" s="79" t="s">
        <v>89</v>
      </c>
      <c r="G13" s="96"/>
      <c r="H13" s="90">
        <f>'Estimation for 2017'!H30</f>
        <v>6.75</v>
      </c>
    </row>
    <row r="14" spans="2:10" x14ac:dyDescent="0.2">
      <c r="B14" s="79" t="s">
        <v>147</v>
      </c>
      <c r="C14" s="79" t="s">
        <v>93</v>
      </c>
      <c r="G14" s="96"/>
      <c r="H14" s="90">
        <f>'Estimation for 2017'!H39</f>
        <v>1.9967012354847666</v>
      </c>
    </row>
    <row r="15" spans="2:10" x14ac:dyDescent="0.2">
      <c r="B15" s="79" t="s">
        <v>161</v>
      </c>
      <c r="C15" s="79" t="s">
        <v>88</v>
      </c>
      <c r="G15" s="96"/>
      <c r="H15" s="85">
        <f>'Realization of 2017'!H28</f>
        <v>86939</v>
      </c>
    </row>
    <row r="16" spans="2:10" x14ac:dyDescent="0.2">
      <c r="B16" s="79" t="s">
        <v>198</v>
      </c>
      <c r="C16" s="79" t="s">
        <v>199</v>
      </c>
      <c r="G16" s="96"/>
      <c r="H16" s="95">
        <f>'Estimation for 2017'!H31</f>
        <v>85.5</v>
      </c>
    </row>
    <row r="17" spans="2:10" x14ac:dyDescent="0.2">
      <c r="B17" s="79" t="s">
        <v>136</v>
      </c>
      <c r="C17" s="79" t="s">
        <v>197</v>
      </c>
      <c r="G17" s="96"/>
      <c r="H17" s="90">
        <f>'Estimation for 2017'!H41</f>
        <v>5.6235697490618994</v>
      </c>
    </row>
    <row r="18" spans="2:10" x14ac:dyDescent="0.2">
      <c r="B18" s="79" t="s">
        <v>135</v>
      </c>
      <c r="C18" s="79" t="s">
        <v>30</v>
      </c>
      <c r="G18" s="96"/>
      <c r="H18" s="90">
        <f>'Estimation for 2017'!H42</f>
        <v>0.30177675948416816</v>
      </c>
    </row>
    <row r="19" spans="2:10" x14ac:dyDescent="0.2">
      <c r="B19" s="79" t="s">
        <v>139</v>
      </c>
      <c r="C19" s="79" t="s">
        <v>138</v>
      </c>
      <c r="G19" s="96"/>
      <c r="H19" s="90">
        <f>'Estimation for 2017'!H43</f>
        <v>19.6629</v>
      </c>
    </row>
    <row r="20" spans="2:10" x14ac:dyDescent="0.2">
      <c r="B20" s="79" t="s">
        <v>141</v>
      </c>
      <c r="C20" s="79" t="s">
        <v>30</v>
      </c>
      <c r="G20" s="96"/>
      <c r="H20" s="90">
        <f>'Estimation for 2017'!H44</f>
        <v>0.1404494</v>
      </c>
    </row>
    <row r="21" spans="2:10" s="7" customFormat="1" x14ac:dyDescent="0.2">
      <c r="B21" s="79" t="s">
        <v>142</v>
      </c>
      <c r="C21" s="79" t="s">
        <v>30</v>
      </c>
      <c r="G21" s="96"/>
      <c r="H21" s="90">
        <f>'Estimation for 2017'!H45</f>
        <v>0.12921340000000001</v>
      </c>
    </row>
    <row r="22" spans="2:10" s="7" customFormat="1" x14ac:dyDescent="0.2">
      <c r="B22" s="79" t="s">
        <v>143</v>
      </c>
      <c r="C22" s="79" t="s">
        <v>30</v>
      </c>
      <c r="G22" s="96"/>
      <c r="H22" s="90">
        <f>'Estimation for 2017'!H46</f>
        <v>0.21</v>
      </c>
    </row>
    <row r="23" spans="2:10" s="7" customFormat="1" x14ac:dyDescent="0.2">
      <c r="B23" s="79" t="s">
        <v>238</v>
      </c>
      <c r="C23" s="79" t="s">
        <v>237</v>
      </c>
      <c r="G23" s="96"/>
      <c r="H23" s="83">
        <v>6</v>
      </c>
      <c r="J23" s="7" t="s">
        <v>240</v>
      </c>
    </row>
    <row r="24" spans="2:10" s="7" customFormat="1" x14ac:dyDescent="0.2">
      <c r="B24" s="79" t="s">
        <v>239</v>
      </c>
      <c r="C24" s="79" t="s">
        <v>237</v>
      </c>
      <c r="G24" s="96"/>
      <c r="H24" s="83">
        <v>6</v>
      </c>
      <c r="J24" s="7" t="s">
        <v>241</v>
      </c>
    </row>
    <row r="25" spans="2:10" s="7" customFormat="1" x14ac:dyDescent="0.2">
      <c r="G25" s="96"/>
      <c r="H25" s="96"/>
    </row>
    <row r="26" spans="2:10" s="80" customFormat="1" x14ac:dyDescent="0.2">
      <c r="B26" s="80" t="s">
        <v>148</v>
      </c>
    </row>
    <row r="27" spans="2:10" s="7" customFormat="1" x14ac:dyDescent="0.2">
      <c r="G27" s="96"/>
      <c r="H27" s="96"/>
    </row>
    <row r="28" spans="2:10" s="7" customFormat="1" x14ac:dyDescent="0.2">
      <c r="B28" s="7" t="s">
        <v>149</v>
      </c>
      <c r="C28" s="7" t="s">
        <v>88</v>
      </c>
      <c r="G28" s="96"/>
      <c r="H28" s="84">
        <f>H15/2</f>
        <v>43469.5</v>
      </c>
      <c r="J28" s="79"/>
    </row>
    <row r="29" spans="2:10" s="7" customFormat="1" x14ac:dyDescent="0.2">
      <c r="B29" s="7" t="s">
        <v>150</v>
      </c>
      <c r="C29" s="7" t="s">
        <v>24</v>
      </c>
      <c r="G29" s="96"/>
      <c r="H29" s="84">
        <f>H28*H13</f>
        <v>293419.125</v>
      </c>
      <c r="J29" s="9"/>
    </row>
    <row r="30" spans="2:10" s="7" customFormat="1" x14ac:dyDescent="0.2">
      <c r="B30" s="7" t="s">
        <v>153</v>
      </c>
      <c r="C30" s="7" t="s">
        <v>151</v>
      </c>
      <c r="G30" s="96"/>
      <c r="H30" s="84">
        <f>H23*H19</f>
        <v>117.9774</v>
      </c>
      <c r="J30" s="9"/>
    </row>
    <row r="31" spans="2:10" s="7" customFormat="1" x14ac:dyDescent="0.2">
      <c r="B31" s="7" t="s">
        <v>155</v>
      </c>
      <c r="C31" s="7" t="s">
        <v>151</v>
      </c>
      <c r="G31" s="96"/>
      <c r="H31" s="103">
        <f>(H23*900*H20)+(H29-H23*1000)*H21</f>
        <v>37896.829126275006</v>
      </c>
      <c r="J31" s="79"/>
    </row>
    <row r="32" spans="2:10" s="7" customFormat="1" x14ac:dyDescent="0.2">
      <c r="B32" s="7" t="s">
        <v>154</v>
      </c>
      <c r="C32" s="7" t="s">
        <v>151</v>
      </c>
      <c r="G32" s="96"/>
      <c r="H32" s="84">
        <f>H29*H22</f>
        <v>61618.016250000001</v>
      </c>
    </row>
    <row r="33" spans="2:8" s="7" customFormat="1" x14ac:dyDescent="0.2">
      <c r="B33" s="7" t="s">
        <v>152</v>
      </c>
      <c r="C33" s="7" t="s">
        <v>151</v>
      </c>
      <c r="G33" s="96"/>
      <c r="H33" s="84">
        <f>SUM(H30:H32)</f>
        <v>99632.822776275018</v>
      </c>
    </row>
    <row r="34" spans="2:8" s="7" customFormat="1" x14ac:dyDescent="0.2">
      <c r="G34" s="96"/>
      <c r="H34" s="96"/>
    </row>
    <row r="35" spans="2:8" s="80" customFormat="1" x14ac:dyDescent="0.2">
      <c r="B35" s="80" t="s">
        <v>156</v>
      </c>
    </row>
    <row r="36" spans="2:8" s="7" customFormat="1" x14ac:dyDescent="0.2">
      <c r="G36" s="96"/>
      <c r="H36" s="96"/>
    </row>
    <row r="37" spans="2:8" s="7" customFormat="1" x14ac:dyDescent="0.2">
      <c r="B37" s="7" t="s">
        <v>242</v>
      </c>
      <c r="C37" s="7" t="s">
        <v>88</v>
      </c>
      <c r="G37" s="96"/>
      <c r="H37" s="84">
        <f>H15/2</f>
        <v>43469.5</v>
      </c>
    </row>
    <row r="38" spans="2:8" s="7" customFormat="1" x14ac:dyDescent="0.2">
      <c r="B38" s="7" t="s">
        <v>150</v>
      </c>
      <c r="C38" s="7" t="s">
        <v>24</v>
      </c>
      <c r="G38" s="96"/>
      <c r="H38" s="84">
        <f>H37*H13</f>
        <v>293419.125</v>
      </c>
    </row>
    <row r="39" spans="2:8" s="7" customFormat="1" x14ac:dyDescent="0.2">
      <c r="B39" s="7" t="s">
        <v>157</v>
      </c>
      <c r="C39" s="7" t="s">
        <v>151</v>
      </c>
      <c r="G39" s="96"/>
      <c r="H39" s="84">
        <f>H24*H16*H17</f>
        <v>2884.8912812687545</v>
      </c>
    </row>
    <row r="40" spans="2:8" s="7" customFormat="1" x14ac:dyDescent="0.2">
      <c r="B40" s="7" t="s">
        <v>158</v>
      </c>
      <c r="C40" s="7" t="s">
        <v>151</v>
      </c>
      <c r="G40" s="96"/>
      <c r="H40" s="84">
        <f>H38*H18</f>
        <v>88547.072713180067</v>
      </c>
    </row>
    <row r="41" spans="2:8" s="7" customFormat="1" x14ac:dyDescent="0.2">
      <c r="B41" s="7" t="s">
        <v>159</v>
      </c>
      <c r="C41" s="7" t="s">
        <v>151</v>
      </c>
      <c r="G41" s="96"/>
      <c r="H41" s="84">
        <f>SUM(H39:H40)</f>
        <v>91431.963994448815</v>
      </c>
    </row>
    <row r="42" spans="2:8" s="7" customFormat="1" x14ac:dyDescent="0.2">
      <c r="G42" s="96"/>
      <c r="H42" s="96"/>
    </row>
    <row r="43" spans="2:8" s="80" customFormat="1" x14ac:dyDescent="0.2">
      <c r="B43" s="80" t="s">
        <v>160</v>
      </c>
    </row>
    <row r="44" spans="2:8" s="7" customFormat="1" x14ac:dyDescent="0.2">
      <c r="G44" s="96"/>
      <c r="H44" s="96"/>
    </row>
    <row r="45" spans="2:8" x14ac:dyDescent="0.2">
      <c r="B45" s="79" t="s">
        <v>161</v>
      </c>
      <c r="C45" s="79" t="s">
        <v>88</v>
      </c>
      <c r="G45" s="96"/>
      <c r="H45" s="85">
        <f>H15</f>
        <v>86939</v>
      </c>
    </row>
    <row r="46" spans="2:8" s="7" customFormat="1" x14ac:dyDescent="0.2">
      <c r="B46" s="79" t="s">
        <v>146</v>
      </c>
      <c r="C46" s="79" t="s">
        <v>93</v>
      </c>
      <c r="G46" s="96"/>
      <c r="H46" s="90">
        <f>H14</f>
        <v>1.9967012354847666</v>
      </c>
    </row>
    <row r="47" spans="2:8" s="7" customFormat="1" x14ac:dyDescent="0.2">
      <c r="B47" s="7" t="s">
        <v>162</v>
      </c>
      <c r="C47" s="7" t="s">
        <v>7</v>
      </c>
      <c r="G47" s="96"/>
      <c r="H47" s="84">
        <f>H45*H46</f>
        <v>173591.20871181012</v>
      </c>
    </row>
    <row r="49" spans="2:10" s="80" customFormat="1" x14ac:dyDescent="0.2">
      <c r="B49" s="80" t="s">
        <v>163</v>
      </c>
    </row>
    <row r="51" spans="2:10" x14ac:dyDescent="0.2">
      <c r="B51" s="79" t="s">
        <v>164</v>
      </c>
      <c r="C51" s="79" t="s">
        <v>7</v>
      </c>
      <c r="G51" s="97"/>
      <c r="H51" s="85">
        <f>H47</f>
        <v>173591.20871181012</v>
      </c>
    </row>
    <row r="52" spans="2:10" x14ac:dyDescent="0.2">
      <c r="B52" s="79" t="s">
        <v>165</v>
      </c>
      <c r="C52" s="79" t="s">
        <v>7</v>
      </c>
      <c r="G52" s="97"/>
      <c r="H52" s="84">
        <f>H33+H41</f>
        <v>191064.78677072382</v>
      </c>
    </row>
    <row r="54" spans="2:10" x14ac:dyDescent="0.2">
      <c r="B54" s="1" t="s">
        <v>144</v>
      </c>
      <c r="C54" s="79" t="s">
        <v>7</v>
      </c>
      <c r="G54" s="98"/>
      <c r="H54" s="86">
        <f>H52-H51</f>
        <v>17473.578058913699</v>
      </c>
      <c r="J54" s="79" t="s">
        <v>309</v>
      </c>
    </row>
    <row r="55" spans="2:10" x14ac:dyDescent="0.2">
      <c r="G55" s="7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8D9"/>
  </sheetPr>
  <dimension ref="B2:H36"/>
  <sheetViews>
    <sheetView showGridLines="0"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1" width="2.85546875" style="79" customWidth="1"/>
    <col min="2" max="2" width="19.140625" style="79" customWidth="1"/>
    <col min="3" max="3" width="20.7109375" style="79" customWidth="1"/>
    <col min="4" max="4" width="56.85546875" style="79" customWidth="1"/>
    <col min="5" max="5" width="29.85546875" style="79" customWidth="1"/>
    <col min="6" max="6" width="24.7109375" style="79" customWidth="1"/>
    <col min="7" max="7" width="37.28515625" style="79" customWidth="1"/>
    <col min="8" max="16384" width="9.140625" style="79"/>
  </cols>
  <sheetData>
    <row r="2" spans="2:8" s="6" customFormat="1" ht="18" x14ac:dyDescent="0.2">
      <c r="B2" s="6" t="s">
        <v>259</v>
      </c>
    </row>
    <row r="4" spans="2:8" s="80" customFormat="1" x14ac:dyDescent="0.2">
      <c r="B4" s="80" t="s">
        <v>170</v>
      </c>
    </row>
    <row r="6" spans="2:8" x14ac:dyDescent="0.2">
      <c r="B6" s="72" t="s">
        <v>260</v>
      </c>
    </row>
    <row r="7" spans="2:8" x14ac:dyDescent="0.2">
      <c r="B7" s="79" t="s">
        <v>261</v>
      </c>
      <c r="H7" s="22"/>
    </row>
    <row r="8" spans="2:8" x14ac:dyDescent="0.2">
      <c r="B8" s="79" t="s">
        <v>262</v>
      </c>
      <c r="H8" s="22"/>
    </row>
    <row r="11" spans="2:8" s="80" customFormat="1" x14ac:dyDescent="0.2">
      <c r="B11" s="80" t="s">
        <v>263</v>
      </c>
    </row>
    <row r="12" spans="2:8" x14ac:dyDescent="0.2">
      <c r="C12" s="7"/>
    </row>
    <row r="13" spans="2:8" x14ac:dyDescent="0.2">
      <c r="B13" s="82" t="s">
        <v>264</v>
      </c>
      <c r="C13" s="7"/>
      <c r="D13" s="82" t="s">
        <v>173</v>
      </c>
      <c r="F13" s="9"/>
    </row>
    <row r="14" spans="2:8" x14ac:dyDescent="0.2">
      <c r="C14" s="7"/>
    </row>
    <row r="15" spans="2:8" x14ac:dyDescent="0.2">
      <c r="B15" s="24">
        <v>123</v>
      </c>
      <c r="C15" s="7"/>
      <c r="D15" s="72" t="s">
        <v>265</v>
      </c>
    </row>
    <row r="16" spans="2:8" x14ac:dyDescent="0.2">
      <c r="B16" s="25">
        <f>B15</f>
        <v>123</v>
      </c>
      <c r="C16" s="7"/>
      <c r="D16" s="79" t="s">
        <v>266</v>
      </c>
    </row>
    <row r="17" spans="2:6" x14ac:dyDescent="0.2">
      <c r="B17" s="23">
        <f>B16+B15</f>
        <v>246</v>
      </c>
      <c r="C17" s="7"/>
      <c r="D17" s="79" t="s">
        <v>267</v>
      </c>
    </row>
    <row r="18" spans="2:6" x14ac:dyDescent="0.2">
      <c r="B18" s="21">
        <f>B16+B17</f>
        <v>369</v>
      </c>
      <c r="C18" s="7"/>
      <c r="D18" s="72" t="s">
        <v>268</v>
      </c>
      <c r="E18" s="9"/>
      <c r="F18" s="4"/>
    </row>
    <row r="19" spans="2:6" x14ac:dyDescent="0.2">
      <c r="B19" s="10"/>
      <c r="C19" s="7"/>
      <c r="D19" s="72" t="s">
        <v>269</v>
      </c>
      <c r="E19" s="9"/>
    </row>
    <row r="20" spans="2:6" x14ac:dyDescent="0.2">
      <c r="B20" s="7"/>
      <c r="C20" s="7"/>
    </row>
    <row r="21" spans="2:6" x14ac:dyDescent="0.2">
      <c r="B21" s="76" t="s">
        <v>270</v>
      </c>
      <c r="C21" s="7"/>
    </row>
    <row r="22" spans="2:6" x14ac:dyDescent="0.2">
      <c r="B22" s="26">
        <f>B18+16</f>
        <v>385</v>
      </c>
      <c r="C22" s="7"/>
      <c r="D22" s="79" t="s">
        <v>271</v>
      </c>
    </row>
    <row r="23" spans="2:6" x14ac:dyDescent="0.2">
      <c r="B23" s="27">
        <f>B16*PI()</f>
        <v>386.41589639154455</v>
      </c>
      <c r="C23" s="12"/>
      <c r="D23" s="79" t="s">
        <v>272</v>
      </c>
    </row>
    <row r="24" spans="2:6" x14ac:dyDescent="0.2">
      <c r="B24" s="12"/>
      <c r="C24" s="12"/>
    </row>
    <row r="26" spans="2:6" x14ac:dyDescent="0.2">
      <c r="B26" s="82" t="s">
        <v>273</v>
      </c>
    </row>
    <row r="27" spans="2:6" x14ac:dyDescent="0.2">
      <c r="B27" s="1"/>
    </row>
    <row r="28" spans="2:6" x14ac:dyDescent="0.2">
      <c r="B28" s="76" t="s">
        <v>274</v>
      </c>
    </row>
    <row r="29" spans="2:6" x14ac:dyDescent="0.2">
      <c r="B29" s="120" t="s">
        <v>9</v>
      </c>
      <c r="C29" s="7"/>
      <c r="D29" s="72" t="s">
        <v>275</v>
      </c>
    </row>
    <row r="30" spans="2:6" x14ac:dyDescent="0.2">
      <c r="B30" s="121" t="s">
        <v>0</v>
      </c>
      <c r="C30" s="7"/>
      <c r="D30" s="72" t="s">
        <v>276</v>
      </c>
    </row>
    <row r="31" spans="2:6" x14ac:dyDescent="0.2">
      <c r="B31" s="122" t="s">
        <v>277</v>
      </c>
      <c r="C31" s="7"/>
      <c r="D31" s="72" t="s">
        <v>278</v>
      </c>
    </row>
    <row r="32" spans="2:6" x14ac:dyDescent="0.2">
      <c r="B32" s="11" t="s">
        <v>277</v>
      </c>
      <c r="C32" s="7"/>
      <c r="D32" s="72" t="s">
        <v>279</v>
      </c>
    </row>
    <row r="33" spans="2:4" x14ac:dyDescent="0.2">
      <c r="C33" s="7"/>
      <c r="D33" s="72"/>
    </row>
    <row r="34" spans="2:4" x14ac:dyDescent="0.2">
      <c r="B34" s="76" t="s">
        <v>280</v>
      </c>
      <c r="C34" s="7"/>
      <c r="D34" s="72"/>
    </row>
    <row r="35" spans="2:4" x14ac:dyDescent="0.2">
      <c r="B35" s="15" t="s">
        <v>1</v>
      </c>
      <c r="C35" s="7"/>
      <c r="D35" s="72" t="s">
        <v>281</v>
      </c>
    </row>
    <row r="36" spans="2:4" x14ac:dyDescent="0.2">
      <c r="B36" s="123" t="s">
        <v>282</v>
      </c>
      <c r="D36" s="72" t="s">
        <v>283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8D9"/>
  </sheetPr>
  <dimension ref="B2:L36"/>
  <sheetViews>
    <sheetView showGridLines="0"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1" width="2.85546875" style="2" customWidth="1"/>
    <col min="2" max="2" width="7.5703125" style="2" customWidth="1"/>
    <col min="3" max="3" width="35.140625" style="2" customWidth="1"/>
    <col min="4" max="5" width="36.28515625" style="2" customWidth="1"/>
    <col min="6" max="6" width="40.7109375" style="2" customWidth="1"/>
    <col min="7" max="7" width="4.5703125" style="2" customWidth="1"/>
    <col min="8" max="8" width="43.42578125" style="2" customWidth="1"/>
    <col min="9" max="9" width="28.7109375" style="2" customWidth="1"/>
    <col min="10" max="10" width="18.42578125" style="2" customWidth="1"/>
    <col min="11" max="12" width="58.42578125" style="2" customWidth="1"/>
    <col min="13" max="16384" width="9.140625" style="2"/>
  </cols>
  <sheetData>
    <row r="2" spans="2:12" s="6" customFormat="1" ht="18" x14ac:dyDescent="0.2">
      <c r="B2" s="6" t="s">
        <v>284</v>
      </c>
    </row>
    <row r="4" spans="2:12" s="80" customFormat="1" x14ac:dyDescent="0.2">
      <c r="B4" s="80" t="s">
        <v>285</v>
      </c>
    </row>
    <row r="5" spans="2:12" s="79" customFormat="1" x14ac:dyDescent="0.2"/>
    <row r="6" spans="2:12" s="79" customFormat="1" x14ac:dyDescent="0.2">
      <c r="B6" s="3" t="s">
        <v>286</v>
      </c>
    </row>
    <row r="7" spans="2:12" s="79" customFormat="1" x14ac:dyDescent="0.2">
      <c r="B7" s="3" t="s">
        <v>287</v>
      </c>
    </row>
    <row r="8" spans="2:12" s="79" customFormat="1" x14ac:dyDescent="0.2"/>
    <row r="9" spans="2:12" s="79" customFormat="1" x14ac:dyDescent="0.2">
      <c r="B9" s="124" t="s">
        <v>252</v>
      </c>
      <c r="C9" s="124" t="s">
        <v>288</v>
      </c>
      <c r="D9" s="124" t="s">
        <v>289</v>
      </c>
      <c r="E9" s="124" t="s">
        <v>290</v>
      </c>
      <c r="F9" s="124" t="s">
        <v>291</v>
      </c>
    </row>
    <row r="10" spans="2:12" s="79" customFormat="1" x14ac:dyDescent="0.2">
      <c r="B10" s="17"/>
      <c r="C10" s="17" t="s">
        <v>292</v>
      </c>
      <c r="D10" s="17" t="s">
        <v>293</v>
      </c>
      <c r="E10" s="17" t="s">
        <v>294</v>
      </c>
      <c r="F10" s="17" t="s">
        <v>295</v>
      </c>
    </row>
    <row r="11" spans="2:12" ht="25.5" x14ac:dyDescent="0.2">
      <c r="B11" s="18">
        <v>1</v>
      </c>
      <c r="C11" s="5" t="s">
        <v>200</v>
      </c>
      <c r="D11" s="104" t="s">
        <v>80</v>
      </c>
      <c r="E11" s="5"/>
      <c r="F11" s="5"/>
      <c r="H11" s="79"/>
      <c r="I11" s="79"/>
      <c r="J11" s="79"/>
      <c r="K11" s="79"/>
      <c r="L11" s="79"/>
    </row>
    <row r="12" spans="2:12" ht="25.5" x14ac:dyDescent="0.2">
      <c r="B12" s="5">
        <v>2</v>
      </c>
      <c r="C12" s="5" t="s">
        <v>201</v>
      </c>
      <c r="D12" s="105" t="s">
        <v>81</v>
      </c>
      <c r="E12" s="5"/>
      <c r="F12" s="5"/>
      <c r="H12" s="79"/>
      <c r="I12" s="79"/>
      <c r="J12" s="79"/>
      <c r="K12" s="79"/>
      <c r="L12" s="79"/>
    </row>
    <row r="13" spans="2:12" s="79" customFormat="1" x14ac:dyDescent="0.2">
      <c r="B13" s="5">
        <v>3</v>
      </c>
      <c r="C13" s="105" t="s">
        <v>210</v>
      </c>
      <c r="D13" s="104" t="s">
        <v>210</v>
      </c>
      <c r="E13" s="5"/>
      <c r="F13" s="5"/>
    </row>
    <row r="14" spans="2:12" ht="25.5" x14ac:dyDescent="0.2">
      <c r="B14" s="18">
        <v>4</v>
      </c>
      <c r="C14" s="107" t="s">
        <v>212</v>
      </c>
      <c r="D14" s="106" t="s">
        <v>211</v>
      </c>
      <c r="E14" s="5"/>
      <c r="F14" s="5"/>
      <c r="H14" s="79"/>
      <c r="I14" s="79"/>
      <c r="J14" s="79"/>
      <c r="K14" s="79"/>
      <c r="L14" s="79"/>
    </row>
    <row r="15" spans="2:12" s="79" customFormat="1" ht="38.25" x14ac:dyDescent="0.2">
      <c r="B15" s="18">
        <v>5</v>
      </c>
      <c r="C15" s="105" t="s">
        <v>140</v>
      </c>
      <c r="D15" s="105" t="s">
        <v>301</v>
      </c>
      <c r="E15" s="5"/>
      <c r="F15" s="5" t="s">
        <v>300</v>
      </c>
    </row>
    <row r="16" spans="2:12" ht="25.5" x14ac:dyDescent="0.2">
      <c r="B16" s="5">
        <v>6</v>
      </c>
      <c r="C16" s="5" t="s">
        <v>219</v>
      </c>
      <c r="D16" s="105" t="s">
        <v>305</v>
      </c>
      <c r="E16" s="5"/>
      <c r="F16" s="5"/>
      <c r="H16" s="79"/>
      <c r="I16" s="79"/>
      <c r="J16" s="79"/>
      <c r="K16" s="79"/>
      <c r="L16" s="79"/>
    </row>
    <row r="17" spans="2:12" ht="25.5" x14ac:dyDescent="0.2">
      <c r="B17" s="5">
        <v>7</v>
      </c>
      <c r="C17" s="5" t="s">
        <v>218</v>
      </c>
      <c r="D17" s="105" t="s">
        <v>306</v>
      </c>
      <c r="E17" s="5"/>
      <c r="F17" s="5"/>
      <c r="H17" s="79"/>
      <c r="I17" s="79"/>
      <c r="J17" s="79"/>
      <c r="K17" s="79"/>
      <c r="L17" s="79"/>
    </row>
    <row r="18" spans="2:12" ht="25.5" x14ac:dyDescent="0.2">
      <c r="B18" s="18">
        <v>8</v>
      </c>
      <c r="C18" s="105" t="s">
        <v>202</v>
      </c>
      <c r="D18" s="105" t="s">
        <v>96</v>
      </c>
      <c r="E18" s="5"/>
      <c r="F18" s="5" t="s">
        <v>296</v>
      </c>
      <c r="H18" s="79"/>
      <c r="I18" s="79"/>
      <c r="J18" s="79"/>
      <c r="K18" s="79"/>
      <c r="L18" s="79"/>
    </row>
    <row r="19" spans="2:12" ht="25.5" x14ac:dyDescent="0.2">
      <c r="B19" s="18">
        <v>9</v>
      </c>
      <c r="C19" s="105" t="s">
        <v>203</v>
      </c>
      <c r="D19" s="105" t="s">
        <v>97</v>
      </c>
      <c r="E19" s="5"/>
      <c r="F19" s="5" t="s">
        <v>297</v>
      </c>
      <c r="H19" s="79"/>
      <c r="I19" s="79"/>
      <c r="J19" s="79"/>
      <c r="K19" s="79"/>
      <c r="L19" s="79"/>
    </row>
    <row r="20" spans="2:12" ht="25.5" x14ac:dyDescent="0.2">
      <c r="B20" s="5">
        <v>10</v>
      </c>
      <c r="C20" s="5" t="s">
        <v>204</v>
      </c>
      <c r="D20" s="105" t="s">
        <v>196</v>
      </c>
      <c r="E20" s="5"/>
      <c r="F20" s="5"/>
      <c r="H20" s="79"/>
      <c r="I20" s="79"/>
      <c r="J20" s="79"/>
      <c r="K20" s="79"/>
      <c r="L20" s="79"/>
    </row>
    <row r="21" spans="2:12" ht="25.5" x14ac:dyDescent="0.2">
      <c r="B21" s="5">
        <v>11</v>
      </c>
      <c r="C21" s="5" t="s">
        <v>205</v>
      </c>
      <c r="D21" s="105" t="s">
        <v>133</v>
      </c>
      <c r="E21" s="5"/>
      <c r="F21" s="5" t="s">
        <v>298</v>
      </c>
      <c r="H21" s="79"/>
      <c r="I21" s="79"/>
      <c r="J21" s="79"/>
      <c r="K21" s="79"/>
      <c r="L21" s="79"/>
    </row>
    <row r="22" spans="2:12" ht="25.5" x14ac:dyDescent="0.2">
      <c r="B22" s="18">
        <v>12</v>
      </c>
      <c r="C22" s="79" t="s">
        <v>167</v>
      </c>
      <c r="D22" s="109"/>
      <c r="E22" s="5"/>
      <c r="F22" s="105" t="s">
        <v>299</v>
      </c>
      <c r="H22" s="79"/>
      <c r="I22" s="79"/>
      <c r="J22" s="79"/>
      <c r="K22" s="79"/>
      <c r="L22" s="79"/>
    </row>
    <row r="23" spans="2:12" s="79" customFormat="1" ht="38.25" x14ac:dyDescent="0.2">
      <c r="B23" s="18">
        <v>13</v>
      </c>
      <c r="C23" s="111" t="s">
        <v>213</v>
      </c>
      <c r="D23" s="5"/>
      <c r="E23" s="5"/>
      <c r="F23" s="105" t="s">
        <v>181</v>
      </c>
    </row>
    <row r="24" spans="2:12" s="79" customFormat="1" ht="25.5" x14ac:dyDescent="0.2">
      <c r="B24" s="5">
        <v>14</v>
      </c>
      <c r="C24" s="5" t="s">
        <v>214</v>
      </c>
      <c r="D24" s="5"/>
      <c r="E24" s="5"/>
      <c r="F24" s="105" t="s">
        <v>185</v>
      </c>
      <c r="H24" s="107"/>
      <c r="I24" s="107"/>
      <c r="J24" s="107"/>
      <c r="K24" s="107"/>
      <c r="L24" s="107"/>
    </row>
    <row r="25" spans="2:12" s="79" customFormat="1" ht="38.25" x14ac:dyDescent="0.2">
      <c r="B25" s="5">
        <v>15</v>
      </c>
      <c r="C25" s="110" t="s">
        <v>206</v>
      </c>
      <c r="D25" s="105" t="s">
        <v>191</v>
      </c>
      <c r="E25" s="5"/>
      <c r="F25" s="105" t="s">
        <v>215</v>
      </c>
      <c r="H25" s="107"/>
      <c r="I25" s="107"/>
      <c r="J25" s="107"/>
      <c r="K25" s="107"/>
      <c r="L25" s="107"/>
    </row>
    <row r="28" spans="2:12" s="79" customFormat="1" x14ac:dyDescent="0.2"/>
    <row r="29" spans="2:12" s="79" customFormat="1" x14ac:dyDescent="0.2"/>
    <row r="30" spans="2:12" s="79" customFormat="1" x14ac:dyDescent="0.2"/>
    <row r="31" spans="2:12" s="79" customFormat="1" x14ac:dyDescent="0.2"/>
    <row r="36" spans="3:3" x14ac:dyDescent="0.2">
      <c r="C36" s="107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20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9" sqref="D9"/>
    </sheetView>
  </sheetViews>
  <sheetFormatPr defaultRowHeight="12.75" x14ac:dyDescent="0.2"/>
  <cols>
    <col min="1" max="1" width="4" style="2" customWidth="1"/>
    <col min="2" max="2" width="47.140625" style="2" customWidth="1"/>
    <col min="3" max="3" width="16.42578125" style="2" customWidth="1"/>
    <col min="4" max="4" width="2.7109375" style="2" customWidth="1"/>
    <col min="5" max="5" width="13.7109375" style="2" customWidth="1"/>
    <col min="6" max="6" width="2.7109375" style="2" customWidth="1"/>
    <col min="7" max="8" width="21.28515625" style="2" customWidth="1"/>
    <col min="9" max="9" width="2.7109375" style="2" customWidth="1"/>
    <col min="10" max="14" width="12.5703125" style="2" customWidth="1"/>
    <col min="15" max="17" width="2.7109375" style="2" customWidth="1"/>
    <col min="18" max="32" width="13.7109375" style="2" customWidth="1"/>
    <col min="33" max="16384" width="9.140625" style="2"/>
  </cols>
  <sheetData>
    <row r="1" spans="1:10" x14ac:dyDescent="0.2">
      <c r="A1" s="112"/>
    </row>
    <row r="2" spans="1:10" s="6" customFormat="1" ht="18" x14ac:dyDescent="0.2">
      <c r="B2" s="6" t="s">
        <v>9</v>
      </c>
    </row>
    <row r="3" spans="1:10" x14ac:dyDescent="0.2">
      <c r="A3" s="112"/>
    </row>
    <row r="4" spans="1:10" x14ac:dyDescent="0.2">
      <c r="A4" s="112"/>
      <c r="B4" s="35" t="s">
        <v>15</v>
      </c>
    </row>
    <row r="5" spans="1:10" x14ac:dyDescent="0.2">
      <c r="A5" s="112"/>
      <c r="B5" s="34" t="s">
        <v>319</v>
      </c>
    </row>
    <row r="6" spans="1:10" x14ac:dyDescent="0.2">
      <c r="A6" s="112"/>
      <c r="B6" s="34"/>
    </row>
    <row r="7" spans="1:10" x14ac:dyDescent="0.2">
      <c r="A7" s="112"/>
    </row>
    <row r="8" spans="1:10" s="80" customFormat="1" x14ac:dyDescent="0.2">
      <c r="B8" s="80" t="s">
        <v>2</v>
      </c>
      <c r="C8" s="80" t="s">
        <v>3</v>
      </c>
      <c r="E8" s="80" t="s">
        <v>5</v>
      </c>
      <c r="G8" s="80" t="s">
        <v>12</v>
      </c>
      <c r="H8" s="80" t="s">
        <v>13</v>
      </c>
      <c r="J8" s="80" t="s">
        <v>6</v>
      </c>
    </row>
    <row r="9" spans="1:10" x14ac:dyDescent="0.2">
      <c r="A9" s="112"/>
    </row>
    <row r="10" spans="1:10" s="80" customFormat="1" x14ac:dyDescent="0.2">
      <c r="B10" s="80" t="s">
        <v>220</v>
      </c>
    </row>
    <row r="11" spans="1:10" x14ac:dyDescent="0.2">
      <c r="A11" s="112"/>
    </row>
    <row r="12" spans="1:10" x14ac:dyDescent="0.2">
      <c r="A12" s="113"/>
      <c r="B12" s="33" t="s">
        <v>53</v>
      </c>
      <c r="C12" s="31"/>
    </row>
    <row r="13" spans="1:10" x14ac:dyDescent="0.2">
      <c r="A13" s="113"/>
      <c r="B13" s="32" t="s">
        <v>121</v>
      </c>
      <c r="C13" s="32" t="s">
        <v>7</v>
      </c>
      <c r="E13" s="84">
        <f>SUM(G13:H13)</f>
        <v>-96807.706479196204</v>
      </c>
      <c r="G13" s="86">
        <f>'Volume-effect correction E'!G31</f>
        <v>-13778.91674484848</v>
      </c>
      <c r="H13" s="86">
        <f>'Volume-effect correction W'!H27</f>
        <v>-83028.789734347723</v>
      </c>
    </row>
    <row r="14" spans="1:10" x14ac:dyDescent="0.2">
      <c r="A14" s="113"/>
    </row>
    <row r="15" spans="1:10" x14ac:dyDescent="0.2">
      <c r="A15" s="113"/>
      <c r="B15" s="33" t="s">
        <v>65</v>
      </c>
      <c r="C15" s="31"/>
    </row>
    <row r="16" spans="1:10" x14ac:dyDescent="0.2">
      <c r="A16" s="113"/>
      <c r="B16" s="32" t="s">
        <v>120</v>
      </c>
      <c r="C16" s="32" t="s">
        <v>7</v>
      </c>
      <c r="E16" s="84">
        <f>SUM(G16:H16)</f>
        <v>39223.463000919321</v>
      </c>
      <c r="G16" s="86">
        <f>'Profit sharing correction'!G56</f>
        <v>-29690.321929292288</v>
      </c>
      <c r="H16" s="86">
        <f>'Profit sharing correction'!H56</f>
        <v>68913.784930211608</v>
      </c>
    </row>
    <row r="17" spans="1:8" x14ac:dyDescent="0.2">
      <c r="A17" s="113"/>
    </row>
    <row r="18" spans="1:8" x14ac:dyDescent="0.2">
      <c r="A18" s="113"/>
      <c r="B18" s="1" t="s">
        <v>221</v>
      </c>
    </row>
    <row r="19" spans="1:8" x14ac:dyDescent="0.2">
      <c r="A19" s="113"/>
      <c r="B19" s="79" t="s">
        <v>105</v>
      </c>
      <c r="C19" s="2" t="s">
        <v>7</v>
      </c>
      <c r="E19" s="84">
        <f>SUM(G19:H19)</f>
        <v>-43188.778061146848</v>
      </c>
      <c r="G19" s="86">
        <f>'Fuel price correction'!G119</f>
        <v>-43188.778061146848</v>
      </c>
      <c r="H19" s="114"/>
    </row>
    <row r="20" spans="1:8" x14ac:dyDescent="0.2">
      <c r="B20" s="2" t="s">
        <v>144</v>
      </c>
      <c r="C20" s="2" t="s">
        <v>7</v>
      </c>
      <c r="E20" s="84">
        <f>SUM(G20:H20)</f>
        <v>17473.578058913699</v>
      </c>
      <c r="G20" s="114"/>
      <c r="H20" s="86">
        <f>'Electricity price correction'!H54</f>
        <v>17473.578058913699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"/>
  <sheetViews>
    <sheetView showGridLines="0" zoomScale="90" zoomScaleNormal="90" workbookViewId="0"/>
  </sheetViews>
  <sheetFormatPr defaultRowHeight="12.75" x14ac:dyDescent="0.2"/>
  <cols>
    <col min="1" max="16384" width="9.140625" style="15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K46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52.140625" style="36" customWidth="1"/>
    <col min="3" max="3" width="16.42578125" style="36" customWidth="1"/>
    <col min="4" max="4" width="2.7109375" style="36" customWidth="1"/>
    <col min="5" max="5" width="13.7109375" style="36" customWidth="1"/>
    <col min="6" max="6" width="2.7109375" style="36" customWidth="1"/>
    <col min="7" max="8" width="21.28515625" style="36" customWidth="1"/>
    <col min="9" max="9" width="2.7109375" style="36" customWidth="1"/>
    <col min="10" max="10" width="49" style="79" bestFit="1" customWidth="1"/>
    <col min="11" max="11" width="12.5703125" style="79" customWidth="1"/>
    <col min="12" max="14" width="12.5703125" style="36" customWidth="1"/>
    <col min="15" max="17" width="2.7109375" style="36" customWidth="1"/>
    <col min="18" max="32" width="13.7109375" style="36" customWidth="1"/>
    <col min="33" max="16384" width="9.140625" style="36"/>
  </cols>
  <sheetData>
    <row r="2" spans="1:11" s="39" customFormat="1" ht="18" x14ac:dyDescent="0.2">
      <c r="A2" s="81"/>
      <c r="B2" s="39" t="s">
        <v>10</v>
      </c>
      <c r="J2" s="81"/>
      <c r="K2" s="81"/>
    </row>
    <row r="4" spans="1:11" x14ac:dyDescent="0.2">
      <c r="B4" s="40" t="s">
        <v>14</v>
      </c>
    </row>
    <row r="5" spans="1:11" x14ac:dyDescent="0.2">
      <c r="B5" s="37" t="s">
        <v>194</v>
      </c>
    </row>
    <row r="6" spans="1:11" x14ac:dyDescent="0.2">
      <c r="B6" s="37"/>
    </row>
    <row r="8" spans="1:11" s="38" customFormat="1" x14ac:dyDescent="0.2">
      <c r="A8" s="80"/>
      <c r="B8" s="38" t="s">
        <v>2</v>
      </c>
      <c r="C8" s="38" t="s">
        <v>3</v>
      </c>
      <c r="E8" s="80" t="s">
        <v>4</v>
      </c>
      <c r="G8" s="38" t="s">
        <v>12</v>
      </c>
      <c r="H8" s="38" t="s">
        <v>13</v>
      </c>
      <c r="J8" s="80" t="s">
        <v>11</v>
      </c>
      <c r="K8" s="80" t="s">
        <v>6</v>
      </c>
    </row>
    <row r="10" spans="1:11" s="38" customFormat="1" x14ac:dyDescent="0.2">
      <c r="A10" s="80"/>
      <c r="B10" s="38" t="s">
        <v>16</v>
      </c>
      <c r="J10" s="80"/>
      <c r="K10" s="80"/>
    </row>
    <row r="12" spans="1:11" x14ac:dyDescent="0.2">
      <c r="A12" s="78"/>
      <c r="B12" s="43" t="s">
        <v>71</v>
      </c>
      <c r="C12" s="41"/>
      <c r="D12" s="41"/>
      <c r="E12" s="41"/>
      <c r="F12" s="41"/>
      <c r="G12" s="79"/>
    </row>
    <row r="13" spans="1:11" x14ac:dyDescent="0.2">
      <c r="B13" s="42" t="s">
        <v>313</v>
      </c>
      <c r="C13" s="42" t="s">
        <v>18</v>
      </c>
      <c r="E13" s="41"/>
      <c r="G13" s="83">
        <v>2941620.9614413702</v>
      </c>
      <c r="H13" s="83">
        <v>173396.87156828199</v>
      </c>
      <c r="J13" s="79" t="s">
        <v>207</v>
      </c>
    </row>
    <row r="14" spans="1:11" x14ac:dyDescent="0.2">
      <c r="B14" s="42" t="s">
        <v>19</v>
      </c>
      <c r="C14" s="42" t="s">
        <v>18</v>
      </c>
      <c r="E14" s="41"/>
      <c r="G14" s="83">
        <v>235844.55248530899</v>
      </c>
      <c r="H14" s="83">
        <v>12086.474796819801</v>
      </c>
      <c r="J14" s="79" t="s">
        <v>207</v>
      </c>
    </row>
    <row r="16" spans="1:11" x14ac:dyDescent="0.2">
      <c r="B16" s="46" t="s">
        <v>21</v>
      </c>
      <c r="C16" s="44"/>
      <c r="E16" s="44"/>
      <c r="G16" s="79"/>
    </row>
    <row r="17" spans="1:11" x14ac:dyDescent="0.2">
      <c r="B17" s="45" t="s">
        <v>216</v>
      </c>
      <c r="C17" s="45" t="s">
        <v>18</v>
      </c>
      <c r="E17" s="44"/>
      <c r="G17" s="83">
        <v>1511746.9859462001</v>
      </c>
      <c r="H17" s="83">
        <v>265919.44637064001</v>
      </c>
      <c r="J17" s="79" t="s">
        <v>207</v>
      </c>
    </row>
    <row r="18" spans="1:11" x14ac:dyDescent="0.2">
      <c r="B18" s="45" t="s">
        <v>23</v>
      </c>
      <c r="C18" s="45" t="s">
        <v>18</v>
      </c>
      <c r="E18" s="44"/>
      <c r="G18" s="83">
        <v>960</v>
      </c>
      <c r="H18" s="83">
        <v>0</v>
      </c>
      <c r="J18" s="79" t="s">
        <v>207</v>
      </c>
    </row>
    <row r="20" spans="1:11" s="47" customFormat="1" x14ac:dyDescent="0.2">
      <c r="A20" s="80"/>
      <c r="B20" s="47" t="s">
        <v>131</v>
      </c>
      <c r="J20" s="80"/>
      <c r="K20" s="80"/>
    </row>
    <row r="22" spans="1:11" s="79" customFormat="1" x14ac:dyDescent="0.2">
      <c r="B22" s="1" t="s">
        <v>84</v>
      </c>
    </row>
    <row r="23" spans="1:11" x14ac:dyDescent="0.2">
      <c r="B23" s="49" t="s">
        <v>28</v>
      </c>
      <c r="C23" s="49" t="s">
        <v>24</v>
      </c>
      <c r="E23" s="48"/>
      <c r="G23" s="83">
        <v>3200000</v>
      </c>
      <c r="J23" s="79" t="s">
        <v>208</v>
      </c>
    </row>
    <row r="24" spans="1:11" x14ac:dyDescent="0.2">
      <c r="B24" s="49" t="s">
        <v>25</v>
      </c>
      <c r="C24" s="49" t="s">
        <v>24</v>
      </c>
      <c r="E24" s="48"/>
      <c r="G24" s="83">
        <v>10704000</v>
      </c>
      <c r="J24" s="79" t="s">
        <v>208</v>
      </c>
    </row>
    <row r="25" spans="1:11" x14ac:dyDescent="0.2">
      <c r="B25" s="49" t="s">
        <v>85</v>
      </c>
      <c r="C25" s="49" t="s">
        <v>24</v>
      </c>
      <c r="E25" s="48"/>
      <c r="G25" s="84">
        <f>G23+G24</f>
        <v>13904000</v>
      </c>
    </row>
    <row r="26" spans="1:11" x14ac:dyDescent="0.2">
      <c r="B26" s="49" t="s">
        <v>134</v>
      </c>
      <c r="C26" s="49" t="s">
        <v>27</v>
      </c>
      <c r="E26" s="48"/>
      <c r="G26" s="88">
        <v>0.26900000000000002</v>
      </c>
      <c r="J26" s="79" t="s">
        <v>208</v>
      </c>
    </row>
    <row r="27" spans="1:11" s="79" customFormat="1" x14ac:dyDescent="0.2">
      <c r="E27" s="78"/>
    </row>
    <row r="28" spans="1:11" s="79" customFormat="1" x14ac:dyDescent="0.2">
      <c r="B28" s="1" t="s">
        <v>83</v>
      </c>
      <c r="E28" s="78"/>
    </row>
    <row r="29" spans="1:11" s="79" customFormat="1" x14ac:dyDescent="0.2">
      <c r="B29" s="79" t="s">
        <v>82</v>
      </c>
      <c r="C29" s="79" t="s">
        <v>88</v>
      </c>
      <c r="E29" s="78"/>
      <c r="H29" s="83">
        <v>67344.479999999996</v>
      </c>
      <c r="J29" s="79" t="s">
        <v>209</v>
      </c>
    </row>
    <row r="30" spans="1:11" s="79" customFormat="1" x14ac:dyDescent="0.2">
      <c r="B30" s="79" t="s">
        <v>86</v>
      </c>
      <c r="C30" s="79" t="s">
        <v>89</v>
      </c>
      <c r="E30" s="78"/>
      <c r="H30" s="88">
        <v>6.75</v>
      </c>
      <c r="J30" s="79" t="s">
        <v>209</v>
      </c>
    </row>
    <row r="31" spans="1:11" s="79" customFormat="1" x14ac:dyDescent="0.2">
      <c r="B31" s="79" t="s">
        <v>198</v>
      </c>
      <c r="C31" s="79" t="s">
        <v>199</v>
      </c>
      <c r="E31" s="78"/>
      <c r="H31" s="94">
        <v>85.5</v>
      </c>
      <c r="J31" s="108" t="s">
        <v>210</v>
      </c>
    </row>
    <row r="33" spans="2:11" s="80" customFormat="1" x14ac:dyDescent="0.2">
      <c r="B33" s="80" t="s">
        <v>29</v>
      </c>
    </row>
    <row r="35" spans="2:11" x14ac:dyDescent="0.2">
      <c r="B35" s="51" t="s">
        <v>92</v>
      </c>
      <c r="C35" s="51" t="s">
        <v>30</v>
      </c>
      <c r="E35" s="50"/>
      <c r="G35" s="89">
        <v>0.13778916744848499</v>
      </c>
      <c r="H35" s="79"/>
      <c r="J35" s="79" t="s">
        <v>208</v>
      </c>
    </row>
    <row r="36" spans="2:11" x14ac:dyDescent="0.2">
      <c r="B36" s="51" t="s">
        <v>91</v>
      </c>
      <c r="C36" s="51" t="s">
        <v>30</v>
      </c>
      <c r="E36" s="50"/>
      <c r="G36" s="89">
        <v>0.26411392003766798</v>
      </c>
      <c r="H36" s="79"/>
      <c r="J36" s="79" t="s">
        <v>208</v>
      </c>
    </row>
    <row r="37" spans="2:11" x14ac:dyDescent="0.2">
      <c r="H37" s="79"/>
    </row>
    <row r="38" spans="2:11" x14ac:dyDescent="0.2">
      <c r="B38" s="36" t="s">
        <v>90</v>
      </c>
      <c r="C38" s="36" t="s">
        <v>93</v>
      </c>
      <c r="H38" s="88">
        <v>4.2373474693101798</v>
      </c>
      <c r="J38" s="79" t="s">
        <v>209</v>
      </c>
    </row>
    <row r="39" spans="2:11" x14ac:dyDescent="0.2">
      <c r="B39" s="79" t="s">
        <v>147</v>
      </c>
      <c r="C39" s="79" t="s">
        <v>93</v>
      </c>
      <c r="H39" s="88">
        <v>1.9967012354847666</v>
      </c>
      <c r="J39" s="79" t="s">
        <v>209</v>
      </c>
    </row>
    <row r="41" spans="2:11" s="79" customFormat="1" x14ac:dyDescent="0.2">
      <c r="B41" s="79" t="s">
        <v>136</v>
      </c>
      <c r="C41" s="79" t="s">
        <v>137</v>
      </c>
      <c r="E41" s="78"/>
      <c r="H41" s="88">
        <v>5.6235697490618994</v>
      </c>
      <c r="J41" s="107" t="s">
        <v>212</v>
      </c>
    </row>
    <row r="42" spans="2:11" s="79" customFormat="1" x14ac:dyDescent="0.2">
      <c r="B42" s="79" t="s">
        <v>166</v>
      </c>
      <c r="C42" s="79" t="s">
        <v>30</v>
      </c>
      <c r="E42" s="78"/>
      <c r="H42" s="88">
        <v>0.30177675948416816</v>
      </c>
      <c r="J42" s="107" t="s">
        <v>212</v>
      </c>
    </row>
    <row r="43" spans="2:11" s="79" customFormat="1" x14ac:dyDescent="0.2">
      <c r="B43" s="79" t="s">
        <v>139</v>
      </c>
      <c r="C43" s="79" t="s">
        <v>138</v>
      </c>
      <c r="E43" s="78"/>
      <c r="H43" s="88">
        <v>19.6629</v>
      </c>
      <c r="J43" s="79" t="s">
        <v>140</v>
      </c>
      <c r="K43" s="19"/>
    </row>
    <row r="44" spans="2:11" s="79" customFormat="1" x14ac:dyDescent="0.2">
      <c r="B44" s="79" t="s">
        <v>141</v>
      </c>
      <c r="C44" s="79" t="s">
        <v>30</v>
      </c>
      <c r="E44" s="78"/>
      <c r="H44" s="88">
        <v>0.1404494</v>
      </c>
      <c r="J44" s="79" t="s">
        <v>140</v>
      </c>
    </row>
    <row r="45" spans="2:11" s="79" customFormat="1" x14ac:dyDescent="0.2">
      <c r="B45" s="79" t="s">
        <v>142</v>
      </c>
      <c r="C45" s="79" t="s">
        <v>30</v>
      </c>
      <c r="E45" s="78"/>
      <c r="H45" s="88">
        <v>0.12921340000000001</v>
      </c>
      <c r="J45" s="79" t="s">
        <v>140</v>
      </c>
    </row>
    <row r="46" spans="2:11" s="79" customFormat="1" x14ac:dyDescent="0.2">
      <c r="B46" s="79" t="s">
        <v>143</v>
      </c>
      <c r="C46" s="79" t="s">
        <v>30</v>
      </c>
      <c r="E46" s="78"/>
      <c r="H46" s="88">
        <v>0.21</v>
      </c>
      <c r="J46" s="79" t="s">
        <v>140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K29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47.140625" style="51" customWidth="1"/>
    <col min="3" max="3" width="16.42578125" style="51" customWidth="1"/>
    <col min="4" max="4" width="2.7109375" style="51" customWidth="1"/>
    <col min="5" max="5" width="13.7109375" style="51" customWidth="1"/>
    <col min="6" max="6" width="2.7109375" style="51" customWidth="1"/>
    <col min="7" max="8" width="21.28515625" style="51" customWidth="1"/>
    <col min="9" max="9" width="2.7109375" style="51" customWidth="1"/>
    <col min="10" max="10" width="49" style="51" customWidth="1"/>
    <col min="11" max="14" width="12.5703125" style="51" customWidth="1"/>
    <col min="15" max="17" width="2.7109375" style="51" customWidth="1"/>
    <col min="18" max="32" width="13.7109375" style="51" customWidth="1"/>
    <col min="33" max="16384" width="9.140625" style="51"/>
  </cols>
  <sheetData>
    <row r="2" spans="1:11" s="54" customFormat="1" ht="18" x14ac:dyDescent="0.2">
      <c r="A2" s="81"/>
      <c r="B2" s="54" t="s">
        <v>217</v>
      </c>
    </row>
    <row r="4" spans="1:11" x14ac:dyDescent="0.2">
      <c r="B4" s="55" t="s">
        <v>14</v>
      </c>
    </row>
    <row r="5" spans="1:11" x14ac:dyDescent="0.2">
      <c r="B5" s="52" t="s">
        <v>31</v>
      </c>
    </row>
    <row r="6" spans="1:11" x14ac:dyDescent="0.2">
      <c r="B6" s="52"/>
    </row>
    <row r="8" spans="1:11" s="53" customFormat="1" x14ac:dyDescent="0.2">
      <c r="A8" s="80"/>
      <c r="B8" s="53" t="s">
        <v>2</v>
      </c>
      <c r="C8" s="53" t="s">
        <v>3</v>
      </c>
      <c r="E8" s="53" t="s">
        <v>4</v>
      </c>
      <c r="G8" s="53" t="s">
        <v>12</v>
      </c>
      <c r="H8" s="53" t="s">
        <v>13</v>
      </c>
      <c r="J8" s="53" t="s">
        <v>11</v>
      </c>
      <c r="K8" s="53" t="s">
        <v>6</v>
      </c>
    </row>
    <row r="10" spans="1:11" s="53" customFormat="1" x14ac:dyDescent="0.2">
      <c r="A10" s="80"/>
      <c r="B10" s="53" t="s">
        <v>77</v>
      </c>
    </row>
    <row r="12" spans="1:11" x14ac:dyDescent="0.2">
      <c r="A12" s="78"/>
      <c r="B12" s="55" t="s">
        <v>71</v>
      </c>
      <c r="C12" s="50"/>
      <c r="D12" s="50"/>
      <c r="E12" s="50"/>
      <c r="F12" s="50"/>
    </row>
    <row r="13" spans="1:11" x14ac:dyDescent="0.2">
      <c r="B13" s="51" t="s">
        <v>313</v>
      </c>
      <c r="C13" s="51" t="s">
        <v>7</v>
      </c>
      <c r="E13" s="50"/>
      <c r="G13" s="83">
        <v>2758298.967421758</v>
      </c>
      <c r="H13" s="83">
        <v>385532.91733306891</v>
      </c>
      <c r="J13" s="51" t="s">
        <v>219</v>
      </c>
    </row>
    <row r="14" spans="1:11" x14ac:dyDescent="0.2">
      <c r="B14" s="51" t="s">
        <v>19</v>
      </c>
      <c r="C14" s="51" t="s">
        <v>7</v>
      </c>
      <c r="E14" s="50"/>
      <c r="G14" s="83">
        <v>267935.10774057469</v>
      </c>
      <c r="H14" s="83">
        <v>33363.147530282709</v>
      </c>
      <c r="J14" s="51" t="s">
        <v>219</v>
      </c>
    </row>
    <row r="15" spans="1:11" s="79" customFormat="1" x14ac:dyDescent="0.2"/>
    <row r="16" spans="1:11" x14ac:dyDescent="0.2">
      <c r="B16" s="55" t="s">
        <v>21</v>
      </c>
      <c r="C16" s="50"/>
      <c r="E16" s="50"/>
      <c r="G16" s="29"/>
      <c r="H16" s="29"/>
    </row>
    <row r="17" spans="1:10" x14ac:dyDescent="0.2">
      <c r="B17" s="51" t="s">
        <v>22</v>
      </c>
      <c r="C17" s="51" t="s">
        <v>7</v>
      </c>
      <c r="E17" s="50"/>
      <c r="G17" s="83">
        <v>1405113.3741707106</v>
      </c>
      <c r="H17" s="83">
        <v>364099.41014049225</v>
      </c>
      <c r="J17" s="51" t="s">
        <v>218</v>
      </c>
    </row>
    <row r="18" spans="1:10" x14ac:dyDescent="0.2">
      <c r="B18" s="51" t="s">
        <v>23</v>
      </c>
      <c r="C18" s="51" t="s">
        <v>7</v>
      </c>
      <c r="E18" s="50"/>
      <c r="G18" s="83">
        <v>2517.8919703673496</v>
      </c>
      <c r="H18" s="83">
        <v>257.94453859047269</v>
      </c>
      <c r="J18" s="51" t="s">
        <v>218</v>
      </c>
    </row>
    <row r="20" spans="1:10" s="53" customFormat="1" x14ac:dyDescent="0.2">
      <c r="A20" s="80"/>
      <c r="B20" s="53" t="s">
        <v>132</v>
      </c>
    </row>
    <row r="22" spans="1:10" s="79" customFormat="1" x14ac:dyDescent="0.2">
      <c r="B22" s="1" t="s">
        <v>94</v>
      </c>
      <c r="J22" s="107"/>
    </row>
    <row r="23" spans="1:10" x14ac:dyDescent="0.2">
      <c r="B23" s="51" t="s">
        <v>28</v>
      </c>
      <c r="C23" s="51" t="s">
        <v>24</v>
      </c>
      <c r="E23" s="50"/>
      <c r="G23" s="83">
        <v>3754874.65</v>
      </c>
      <c r="J23" s="108" t="s">
        <v>202</v>
      </c>
    </row>
    <row r="24" spans="1:10" x14ac:dyDescent="0.2">
      <c r="B24" s="51" t="s">
        <v>25</v>
      </c>
      <c r="C24" s="51" t="s">
        <v>24</v>
      </c>
      <c r="E24" s="50"/>
      <c r="G24" s="83">
        <v>10249125.35</v>
      </c>
      <c r="J24" s="108" t="s">
        <v>202</v>
      </c>
    </row>
    <row r="25" spans="1:10" x14ac:dyDescent="0.2">
      <c r="B25" s="51" t="s">
        <v>26</v>
      </c>
      <c r="C25" s="51" t="s">
        <v>24</v>
      </c>
      <c r="E25" s="50"/>
      <c r="G25" s="84">
        <f>G23+G24</f>
        <v>14004000</v>
      </c>
      <c r="J25" s="107"/>
    </row>
    <row r="26" spans="1:10" x14ac:dyDescent="0.2">
      <c r="J26" s="107"/>
    </row>
    <row r="27" spans="1:10" x14ac:dyDescent="0.2">
      <c r="B27" s="1" t="s">
        <v>95</v>
      </c>
      <c r="C27" s="79"/>
      <c r="J27" s="107"/>
    </row>
    <row r="28" spans="1:10" x14ac:dyDescent="0.2">
      <c r="B28" s="79" t="s">
        <v>82</v>
      </c>
      <c r="C28" s="79" t="s">
        <v>88</v>
      </c>
      <c r="H28" s="83">
        <v>86939</v>
      </c>
      <c r="J28" s="108" t="s">
        <v>203</v>
      </c>
    </row>
    <row r="29" spans="1:10" x14ac:dyDescent="0.2">
      <c r="J29" s="10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L83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D9" sqref="D9"/>
    </sheetView>
  </sheetViews>
  <sheetFormatPr defaultRowHeight="12.75" x14ac:dyDescent="0.2"/>
  <cols>
    <col min="1" max="1" width="2.7109375" style="79" customWidth="1"/>
    <col min="2" max="2" width="47.140625" style="51" customWidth="1"/>
    <col min="3" max="3" width="16.42578125" style="51" bestFit="1" customWidth="1"/>
    <col min="4" max="4" width="2.7109375" style="51" customWidth="1"/>
    <col min="5" max="5" width="13.7109375" style="51" customWidth="1"/>
    <col min="6" max="6" width="2.7109375" style="51" customWidth="1"/>
    <col min="7" max="8" width="21.28515625" style="51" customWidth="1"/>
    <col min="9" max="9" width="2.7109375" style="51" customWidth="1"/>
    <col min="10" max="10" width="49" style="79" customWidth="1"/>
    <col min="11" max="11" width="12.5703125" style="79" customWidth="1"/>
    <col min="12" max="14" width="12.5703125" style="51" customWidth="1"/>
    <col min="15" max="17" width="2.7109375" style="51" customWidth="1"/>
    <col min="18" max="32" width="13.7109375" style="51" customWidth="1"/>
    <col min="33" max="16384" width="9.140625" style="51"/>
  </cols>
  <sheetData>
    <row r="2" spans="1:12" s="54" customFormat="1" ht="18" x14ac:dyDescent="0.2">
      <c r="A2" s="81"/>
      <c r="B2" s="54" t="s">
        <v>32</v>
      </c>
      <c r="J2" s="81"/>
      <c r="K2" s="81"/>
    </row>
    <row r="4" spans="1:12" x14ac:dyDescent="0.2">
      <c r="B4" s="55" t="s">
        <v>14</v>
      </c>
    </row>
    <row r="5" spans="1:12" x14ac:dyDescent="0.2">
      <c r="B5" s="52" t="s">
        <v>33</v>
      </c>
    </row>
    <row r="6" spans="1:12" x14ac:dyDescent="0.2">
      <c r="B6" s="52"/>
    </row>
    <row r="8" spans="1:12" s="53" customFormat="1" x14ac:dyDescent="0.2">
      <c r="A8" s="80"/>
      <c r="B8" s="53" t="s">
        <v>2</v>
      </c>
      <c r="C8" s="53" t="s">
        <v>3</v>
      </c>
      <c r="E8" s="53" t="s">
        <v>4</v>
      </c>
      <c r="G8" s="53" t="s">
        <v>12</v>
      </c>
      <c r="H8" s="53" t="s">
        <v>13</v>
      </c>
      <c r="J8" s="80" t="s">
        <v>11</v>
      </c>
      <c r="K8" s="80" t="s">
        <v>6</v>
      </c>
    </row>
    <row r="9" spans="1:12" x14ac:dyDescent="0.2">
      <c r="L9" s="79"/>
    </row>
    <row r="10" spans="1:12" x14ac:dyDescent="0.2">
      <c r="B10" s="60" t="s">
        <v>34</v>
      </c>
      <c r="C10" s="57"/>
      <c r="E10" s="57"/>
      <c r="L10" s="79"/>
    </row>
    <row r="11" spans="1:12" x14ac:dyDescent="0.2">
      <c r="B11" s="59" t="s">
        <v>35</v>
      </c>
      <c r="C11" s="56" t="s">
        <v>36</v>
      </c>
      <c r="E11" s="56"/>
      <c r="G11" s="83">
        <v>209464</v>
      </c>
      <c r="J11" s="107" t="s">
        <v>204</v>
      </c>
      <c r="L11" s="79"/>
    </row>
    <row r="12" spans="1:12" x14ac:dyDescent="0.2">
      <c r="B12" s="59" t="s">
        <v>37</v>
      </c>
      <c r="C12" s="56" t="s">
        <v>36</v>
      </c>
      <c r="E12" s="56"/>
      <c r="G12" s="83">
        <v>208110</v>
      </c>
      <c r="J12" s="107" t="s">
        <v>204</v>
      </c>
      <c r="L12" s="79"/>
    </row>
    <row r="13" spans="1:12" x14ac:dyDescent="0.2">
      <c r="B13" s="59" t="s">
        <v>38</v>
      </c>
      <c r="C13" s="56" t="s">
        <v>36</v>
      </c>
      <c r="E13" s="56"/>
      <c r="G13" s="83">
        <v>229917</v>
      </c>
      <c r="J13" s="107" t="s">
        <v>204</v>
      </c>
      <c r="L13" s="79"/>
    </row>
    <row r="14" spans="1:12" x14ac:dyDescent="0.2">
      <c r="B14" s="59" t="s">
        <v>39</v>
      </c>
      <c r="C14" s="56" t="s">
        <v>36</v>
      </c>
      <c r="E14" s="56"/>
      <c r="G14" s="83">
        <v>231256</v>
      </c>
      <c r="J14" s="107" t="s">
        <v>204</v>
      </c>
      <c r="L14" s="79"/>
    </row>
    <row r="15" spans="1:12" x14ac:dyDescent="0.2">
      <c r="B15" s="59" t="s">
        <v>40</v>
      </c>
      <c r="C15" s="56" t="s">
        <v>36</v>
      </c>
      <c r="E15" s="56"/>
      <c r="G15" s="83">
        <v>250789</v>
      </c>
      <c r="J15" s="107" t="s">
        <v>204</v>
      </c>
      <c r="L15" s="79"/>
    </row>
    <row r="16" spans="1:12" x14ac:dyDescent="0.2">
      <c r="B16" s="59" t="s">
        <v>41</v>
      </c>
      <c r="C16" s="56" t="s">
        <v>36</v>
      </c>
      <c r="E16" s="56"/>
      <c r="G16" s="83">
        <v>240572</v>
      </c>
      <c r="J16" s="107" t="s">
        <v>204</v>
      </c>
      <c r="L16" s="79"/>
    </row>
    <row r="17" spans="2:12" x14ac:dyDescent="0.2">
      <c r="B17" s="59" t="s">
        <v>42</v>
      </c>
      <c r="C17" s="56" t="s">
        <v>36</v>
      </c>
      <c r="E17" s="56"/>
      <c r="G17" s="83">
        <v>254743</v>
      </c>
      <c r="J17" s="107" t="s">
        <v>204</v>
      </c>
      <c r="L17" s="79"/>
    </row>
    <row r="18" spans="2:12" x14ac:dyDescent="0.2">
      <c r="B18" s="59" t="s">
        <v>43</v>
      </c>
      <c r="C18" s="56" t="s">
        <v>36</v>
      </c>
      <c r="E18" s="56"/>
      <c r="G18" s="83">
        <v>272430</v>
      </c>
      <c r="J18" s="107" t="s">
        <v>204</v>
      </c>
      <c r="L18" s="79"/>
    </row>
    <row r="19" spans="2:12" x14ac:dyDescent="0.2">
      <c r="B19" s="59" t="s">
        <v>44</v>
      </c>
      <c r="C19" s="56" t="s">
        <v>36</v>
      </c>
      <c r="E19" s="56"/>
      <c r="G19" s="83">
        <v>258031</v>
      </c>
      <c r="J19" s="107" t="s">
        <v>204</v>
      </c>
      <c r="L19" s="79"/>
    </row>
    <row r="20" spans="2:12" x14ac:dyDescent="0.2">
      <c r="B20" s="59" t="s">
        <v>45</v>
      </c>
      <c r="C20" s="56" t="s">
        <v>36</v>
      </c>
      <c r="E20" s="56"/>
      <c r="G20" s="83">
        <v>272823</v>
      </c>
      <c r="J20" s="107" t="s">
        <v>204</v>
      </c>
      <c r="L20" s="79"/>
    </row>
    <row r="21" spans="2:12" x14ac:dyDescent="0.2">
      <c r="B21" s="59" t="s">
        <v>46</v>
      </c>
      <c r="C21" s="56" t="s">
        <v>36</v>
      </c>
      <c r="E21" s="56"/>
      <c r="G21" s="83">
        <v>212979</v>
      </c>
      <c r="J21" s="107" t="s">
        <v>204</v>
      </c>
      <c r="L21" s="79"/>
    </row>
    <row r="22" spans="2:12" x14ac:dyDescent="0.2">
      <c r="B22" s="59" t="s">
        <v>47</v>
      </c>
      <c r="C22" s="56" t="s">
        <v>36</v>
      </c>
      <c r="E22" s="56"/>
      <c r="G22" s="83">
        <v>178473</v>
      </c>
      <c r="J22" s="107" t="s">
        <v>204</v>
      </c>
      <c r="L22" s="79"/>
    </row>
    <row r="23" spans="2:12" x14ac:dyDescent="0.2">
      <c r="B23" s="59"/>
      <c r="C23" s="56"/>
      <c r="E23" s="56"/>
      <c r="L23" s="79"/>
    </row>
    <row r="24" spans="2:12" x14ac:dyDescent="0.2">
      <c r="B24" s="61" t="s">
        <v>48</v>
      </c>
      <c r="C24" s="56"/>
      <c r="E24" s="56"/>
      <c r="J24" s="107"/>
      <c r="L24" s="79"/>
    </row>
    <row r="25" spans="2:12" x14ac:dyDescent="0.2">
      <c r="B25" s="59" t="s">
        <v>49</v>
      </c>
      <c r="C25" s="56" t="s">
        <v>50</v>
      </c>
      <c r="E25" s="56"/>
      <c r="G25" s="99">
        <v>0.56000000000000005</v>
      </c>
      <c r="J25" s="107" t="s">
        <v>205</v>
      </c>
      <c r="L25" s="79"/>
    </row>
    <row r="26" spans="2:12" x14ac:dyDescent="0.2">
      <c r="B26" s="59" t="s">
        <v>51</v>
      </c>
      <c r="C26" s="56" t="s">
        <v>50</v>
      </c>
      <c r="E26" s="56"/>
      <c r="G26" s="99">
        <v>0.61</v>
      </c>
      <c r="J26" s="107" t="s">
        <v>205</v>
      </c>
      <c r="L26" s="79"/>
    </row>
    <row r="27" spans="2:12" x14ac:dyDescent="0.2">
      <c r="B27" s="59" t="s">
        <v>35</v>
      </c>
      <c r="C27" s="56" t="s">
        <v>52</v>
      </c>
      <c r="E27" s="56"/>
      <c r="G27" s="89">
        <v>0.63868626589771993</v>
      </c>
      <c r="J27" s="107" t="s">
        <v>204</v>
      </c>
      <c r="L27" s="79"/>
    </row>
    <row r="28" spans="2:12" x14ac:dyDescent="0.2">
      <c r="B28" s="59" t="s">
        <v>37</v>
      </c>
      <c r="C28" s="56" t="s">
        <v>52</v>
      </c>
      <c r="E28" s="56"/>
      <c r="G28" s="89">
        <v>0.64401134015664785</v>
      </c>
      <c r="J28" s="107" t="s">
        <v>204</v>
      </c>
      <c r="L28" s="79"/>
    </row>
    <row r="29" spans="2:12" x14ac:dyDescent="0.2">
      <c r="B29" s="59" t="s">
        <v>38</v>
      </c>
      <c r="C29" s="56" t="s">
        <v>52</v>
      </c>
      <c r="E29" s="56"/>
      <c r="G29" s="89">
        <v>0.63261509414266881</v>
      </c>
      <c r="J29" s="107" t="s">
        <v>204</v>
      </c>
      <c r="L29" s="79"/>
    </row>
    <row r="30" spans="2:12" x14ac:dyDescent="0.2">
      <c r="B30" s="59" t="s">
        <v>39</v>
      </c>
      <c r="C30" s="56" t="s">
        <v>52</v>
      </c>
      <c r="E30" s="56"/>
      <c r="G30" s="89">
        <v>0.62363033694260905</v>
      </c>
      <c r="J30" s="107" t="s">
        <v>204</v>
      </c>
      <c r="L30" s="79"/>
    </row>
    <row r="31" spans="2:12" x14ac:dyDescent="0.2">
      <c r="B31" s="59" t="s">
        <v>40</v>
      </c>
      <c r="C31" s="56" t="s">
        <v>52</v>
      </c>
      <c r="E31" s="56"/>
      <c r="G31" s="89">
        <v>0.61150689942541336</v>
      </c>
      <c r="J31" s="107" t="s">
        <v>204</v>
      </c>
      <c r="L31" s="79"/>
    </row>
    <row r="32" spans="2:12" x14ac:dyDescent="0.2">
      <c r="B32" s="59" t="s">
        <v>41</v>
      </c>
      <c r="C32" s="56" t="s">
        <v>52</v>
      </c>
      <c r="E32" s="56"/>
      <c r="G32" s="89">
        <v>0.58622890361305569</v>
      </c>
      <c r="J32" s="107" t="s">
        <v>204</v>
      </c>
      <c r="L32" s="79"/>
    </row>
    <row r="33" spans="2:12" x14ac:dyDescent="0.2">
      <c r="B33" s="59" t="s">
        <v>42</v>
      </c>
      <c r="C33" s="56" t="s">
        <v>52</v>
      </c>
      <c r="E33" s="56"/>
      <c r="G33" s="89">
        <v>0.59110400992372714</v>
      </c>
      <c r="J33" s="107" t="s">
        <v>204</v>
      </c>
      <c r="L33" s="79"/>
    </row>
    <row r="34" spans="2:12" x14ac:dyDescent="0.2">
      <c r="B34" s="59" t="s">
        <v>43</v>
      </c>
      <c r="C34" s="56" t="s">
        <v>52</v>
      </c>
      <c r="E34" s="56"/>
      <c r="G34" s="89">
        <v>0.61899358440700358</v>
      </c>
      <c r="J34" s="107" t="s">
        <v>204</v>
      </c>
      <c r="L34" s="79"/>
    </row>
    <row r="35" spans="2:12" x14ac:dyDescent="0.2">
      <c r="B35" s="59" t="s">
        <v>44</v>
      </c>
      <c r="C35" s="56" t="s">
        <v>52</v>
      </c>
      <c r="E35" s="56"/>
      <c r="G35" s="89">
        <v>0.65098140300971585</v>
      </c>
      <c r="J35" s="107" t="s">
        <v>204</v>
      </c>
      <c r="L35" s="79"/>
    </row>
    <row r="36" spans="2:12" x14ac:dyDescent="0.2">
      <c r="B36" s="59" t="s">
        <v>45</v>
      </c>
      <c r="C36" s="56" t="s">
        <v>52</v>
      </c>
      <c r="E36" s="56"/>
      <c r="G36" s="89">
        <v>0.65694608885614503</v>
      </c>
      <c r="J36" s="107" t="s">
        <v>204</v>
      </c>
    </row>
    <row r="37" spans="2:12" x14ac:dyDescent="0.2">
      <c r="B37" s="59" t="s">
        <v>46</v>
      </c>
      <c r="C37" s="56" t="s">
        <v>52</v>
      </c>
      <c r="E37" s="56"/>
      <c r="G37" s="89">
        <v>0.70420765897107229</v>
      </c>
      <c r="J37" s="107" t="s">
        <v>204</v>
      </c>
    </row>
    <row r="38" spans="2:12" x14ac:dyDescent="0.2">
      <c r="B38" s="59" t="s">
        <v>47</v>
      </c>
      <c r="C38" s="56" t="s">
        <v>52</v>
      </c>
      <c r="E38" s="56"/>
      <c r="G38" s="89">
        <v>0.70305189020187953</v>
      </c>
      <c r="J38" s="107" t="s">
        <v>204</v>
      </c>
    </row>
    <row r="39" spans="2:12" x14ac:dyDescent="0.2">
      <c r="G39" s="29"/>
    </row>
    <row r="40" spans="2:12" x14ac:dyDescent="0.2">
      <c r="B40" s="61" t="s">
        <v>100</v>
      </c>
      <c r="C40" s="78"/>
      <c r="D40" s="79"/>
      <c r="E40" s="78"/>
      <c r="F40" s="79"/>
      <c r="G40" s="29"/>
    </row>
    <row r="41" spans="2:12" x14ac:dyDescent="0.2">
      <c r="B41" s="59" t="s">
        <v>35</v>
      </c>
      <c r="C41" s="78" t="s">
        <v>24</v>
      </c>
      <c r="D41" s="79"/>
      <c r="E41" s="78"/>
      <c r="F41" s="79"/>
      <c r="G41" s="83">
        <v>1004000</v>
      </c>
      <c r="J41" s="79" t="s">
        <v>167</v>
      </c>
    </row>
    <row r="42" spans="2:12" x14ac:dyDescent="0.2">
      <c r="B42" s="59" t="s">
        <v>37</v>
      </c>
      <c r="C42" s="78" t="s">
        <v>24</v>
      </c>
      <c r="D42" s="79"/>
      <c r="E42" s="78"/>
      <c r="F42" s="79"/>
      <c r="G42" s="83">
        <v>972000</v>
      </c>
      <c r="J42" s="79" t="s">
        <v>167</v>
      </c>
    </row>
    <row r="43" spans="2:12" x14ac:dyDescent="0.2">
      <c r="B43" s="59" t="s">
        <v>38</v>
      </c>
      <c r="C43" s="78" t="s">
        <v>24</v>
      </c>
      <c r="D43" s="79"/>
      <c r="E43" s="78"/>
      <c r="F43" s="79"/>
      <c r="G43" s="83">
        <v>1097000</v>
      </c>
      <c r="J43" s="79" t="s">
        <v>167</v>
      </c>
    </row>
    <row r="44" spans="2:12" x14ac:dyDescent="0.2">
      <c r="B44" s="59" t="s">
        <v>39</v>
      </c>
      <c r="C44" s="78" t="s">
        <v>24</v>
      </c>
      <c r="D44" s="79"/>
      <c r="E44" s="78"/>
      <c r="F44" s="79"/>
      <c r="G44" s="83">
        <v>1107000</v>
      </c>
      <c r="J44" s="79" t="s">
        <v>167</v>
      </c>
    </row>
    <row r="45" spans="2:12" x14ac:dyDescent="0.2">
      <c r="B45" s="59" t="s">
        <v>40</v>
      </c>
      <c r="C45" s="78" t="s">
        <v>24</v>
      </c>
      <c r="D45" s="79"/>
      <c r="E45" s="78"/>
      <c r="F45" s="79"/>
      <c r="G45" s="83">
        <v>1215000</v>
      </c>
      <c r="J45" s="79" t="s">
        <v>167</v>
      </c>
    </row>
    <row r="46" spans="2:12" x14ac:dyDescent="0.2">
      <c r="B46" s="59" t="s">
        <v>41</v>
      </c>
      <c r="C46" s="78" t="s">
        <v>24</v>
      </c>
      <c r="D46" s="79"/>
      <c r="E46" s="78"/>
      <c r="F46" s="79"/>
      <c r="G46" s="83">
        <v>1238000</v>
      </c>
      <c r="J46" s="79" t="s">
        <v>167</v>
      </c>
    </row>
    <row r="47" spans="2:12" x14ac:dyDescent="0.2">
      <c r="B47" s="59" t="s">
        <v>42</v>
      </c>
      <c r="C47" s="78" t="s">
        <v>24</v>
      </c>
      <c r="D47" s="79"/>
      <c r="E47" s="78"/>
      <c r="F47" s="79"/>
      <c r="G47" s="83">
        <v>1314000</v>
      </c>
      <c r="J47" s="79" t="s">
        <v>167</v>
      </c>
    </row>
    <row r="48" spans="2:12" x14ac:dyDescent="0.2">
      <c r="B48" s="59" t="s">
        <v>43</v>
      </c>
      <c r="C48" s="78" t="s">
        <v>24</v>
      </c>
      <c r="D48" s="79"/>
      <c r="E48" s="78"/>
      <c r="F48" s="79"/>
      <c r="G48" s="83">
        <v>1369000</v>
      </c>
      <c r="J48" s="79" t="s">
        <v>167</v>
      </c>
    </row>
    <row r="49" spans="2:10" x14ac:dyDescent="0.2">
      <c r="B49" s="59" t="s">
        <v>44</v>
      </c>
      <c r="C49" s="78" t="s">
        <v>24</v>
      </c>
      <c r="D49" s="79"/>
      <c r="E49" s="78"/>
      <c r="F49" s="79"/>
      <c r="G49" s="83">
        <v>1137000</v>
      </c>
      <c r="J49" s="79" t="s">
        <v>167</v>
      </c>
    </row>
    <row r="50" spans="2:10" x14ac:dyDescent="0.2">
      <c r="B50" s="59" t="s">
        <v>45</v>
      </c>
      <c r="C50" s="78" t="s">
        <v>24</v>
      </c>
      <c r="D50" s="79"/>
      <c r="E50" s="78"/>
      <c r="F50" s="79"/>
      <c r="G50" s="83">
        <v>1297000</v>
      </c>
      <c r="J50" s="79" t="s">
        <v>167</v>
      </c>
    </row>
    <row r="51" spans="2:10" x14ac:dyDescent="0.2">
      <c r="B51" s="59" t="s">
        <v>46</v>
      </c>
      <c r="C51" s="78" t="s">
        <v>24</v>
      </c>
      <c r="D51" s="79"/>
      <c r="E51" s="78"/>
      <c r="F51" s="79"/>
      <c r="G51" s="83">
        <v>1184000</v>
      </c>
      <c r="J51" s="79" t="s">
        <v>167</v>
      </c>
    </row>
    <row r="52" spans="2:10" x14ac:dyDescent="0.2">
      <c r="B52" s="59" t="s">
        <v>47</v>
      </c>
      <c r="C52" s="78" t="s">
        <v>24</v>
      </c>
      <c r="D52" s="79"/>
      <c r="E52" s="78"/>
      <c r="F52" s="79"/>
      <c r="G52" s="83">
        <v>1073000</v>
      </c>
      <c r="J52" s="79" t="s">
        <v>167</v>
      </c>
    </row>
    <row r="53" spans="2:10" x14ac:dyDescent="0.2">
      <c r="B53" s="61" t="s">
        <v>102</v>
      </c>
      <c r="C53" s="78" t="s">
        <v>24</v>
      </c>
      <c r="D53" s="79"/>
      <c r="E53" s="78"/>
      <c r="F53" s="79"/>
      <c r="G53" s="84">
        <f>SUM(G41:G52)</f>
        <v>14007000</v>
      </c>
    </row>
    <row r="54" spans="2:10" x14ac:dyDescent="0.2">
      <c r="B54" s="59"/>
      <c r="C54" s="56"/>
      <c r="E54" s="56"/>
    </row>
    <row r="55" spans="2:10" x14ac:dyDescent="0.2">
      <c r="B55" s="61" t="s">
        <v>99</v>
      </c>
      <c r="C55" s="56"/>
      <c r="E55" s="56"/>
    </row>
    <row r="56" spans="2:10" x14ac:dyDescent="0.2">
      <c r="B56" s="59" t="s">
        <v>35</v>
      </c>
      <c r="C56" s="56" t="s">
        <v>24</v>
      </c>
      <c r="E56" s="56"/>
      <c r="G56" s="83">
        <v>215634</v>
      </c>
      <c r="J56" s="79" t="s">
        <v>167</v>
      </c>
    </row>
    <row r="57" spans="2:10" x14ac:dyDescent="0.2">
      <c r="B57" s="59" t="s">
        <v>37</v>
      </c>
      <c r="C57" s="56" t="s">
        <v>24</v>
      </c>
      <c r="E57" s="56"/>
      <c r="G57" s="83">
        <v>226556</v>
      </c>
      <c r="J57" s="79" t="s">
        <v>167</v>
      </c>
    </row>
    <row r="58" spans="2:10" x14ac:dyDescent="0.2">
      <c r="B58" s="59" t="s">
        <v>38</v>
      </c>
      <c r="C58" s="56" t="s">
        <v>24</v>
      </c>
      <c r="E58" s="56"/>
      <c r="G58" s="83">
        <v>262142</v>
      </c>
      <c r="J58" s="79" t="s">
        <v>167</v>
      </c>
    </row>
    <row r="59" spans="2:10" x14ac:dyDescent="0.2">
      <c r="B59" s="59" t="s">
        <v>39</v>
      </c>
      <c r="C59" s="56" t="s">
        <v>24</v>
      </c>
      <c r="E59" s="56"/>
      <c r="G59" s="83">
        <v>258324</v>
      </c>
      <c r="J59" s="79" t="s">
        <v>167</v>
      </c>
    </row>
    <row r="60" spans="2:10" x14ac:dyDescent="0.2">
      <c r="B60" s="59" t="s">
        <v>40</v>
      </c>
      <c r="C60" s="56" t="s">
        <v>24</v>
      </c>
      <c r="E60" s="56"/>
      <c r="G60" s="83">
        <v>293575</v>
      </c>
      <c r="J60" s="79" t="s">
        <v>167</v>
      </c>
    </row>
    <row r="61" spans="2:10" x14ac:dyDescent="0.2">
      <c r="B61" s="59" t="s">
        <v>41</v>
      </c>
      <c r="C61" s="56" t="s">
        <v>24</v>
      </c>
      <c r="E61" s="56"/>
      <c r="G61" s="83">
        <v>357299</v>
      </c>
      <c r="J61" s="79" t="s">
        <v>167</v>
      </c>
    </row>
    <row r="62" spans="2:10" x14ac:dyDescent="0.2">
      <c r="B62" s="59" t="s">
        <v>42</v>
      </c>
      <c r="C62" s="56" t="s">
        <v>24</v>
      </c>
      <c r="E62" s="56"/>
      <c r="G62" s="83">
        <v>388147</v>
      </c>
      <c r="J62" s="79" t="s">
        <v>167</v>
      </c>
    </row>
    <row r="63" spans="2:10" x14ac:dyDescent="0.2">
      <c r="B63" s="59" t="s">
        <v>43</v>
      </c>
      <c r="C63" s="56" t="s">
        <v>24</v>
      </c>
      <c r="E63" s="56"/>
      <c r="G63" s="83">
        <v>373910</v>
      </c>
      <c r="J63" s="79" t="s">
        <v>167</v>
      </c>
    </row>
    <row r="64" spans="2:10" x14ac:dyDescent="0.2">
      <c r="B64" s="59" t="s">
        <v>44</v>
      </c>
      <c r="C64" s="56" t="s">
        <v>24</v>
      </c>
      <c r="E64" s="56"/>
      <c r="G64" s="83">
        <v>235395</v>
      </c>
      <c r="J64" s="79" t="s">
        <v>167</v>
      </c>
    </row>
    <row r="65" spans="2:10" x14ac:dyDescent="0.2">
      <c r="B65" s="59" t="s">
        <v>45</v>
      </c>
      <c r="C65" s="56" t="s">
        <v>24</v>
      </c>
      <c r="E65" s="56"/>
      <c r="G65" s="83">
        <v>286102</v>
      </c>
      <c r="J65" s="79" t="s">
        <v>167</v>
      </c>
    </row>
    <row r="66" spans="2:10" x14ac:dyDescent="0.2">
      <c r="B66" s="59" t="s">
        <v>46</v>
      </c>
      <c r="C66" s="56" t="s">
        <v>24</v>
      </c>
      <c r="E66" s="56"/>
      <c r="G66" s="83">
        <v>426425</v>
      </c>
      <c r="J66" s="79" t="s">
        <v>167</v>
      </c>
    </row>
    <row r="67" spans="2:10" x14ac:dyDescent="0.2">
      <c r="B67" s="59" t="s">
        <v>47</v>
      </c>
      <c r="C67" s="56" t="s">
        <v>24</v>
      </c>
      <c r="E67" s="56"/>
      <c r="G67" s="83">
        <v>443585</v>
      </c>
      <c r="J67" s="79" t="s">
        <v>167</v>
      </c>
    </row>
    <row r="68" spans="2:10" s="79" customFormat="1" x14ac:dyDescent="0.2">
      <c r="B68" s="61" t="s">
        <v>103</v>
      </c>
      <c r="C68" s="78" t="s">
        <v>24</v>
      </c>
      <c r="E68" s="78"/>
      <c r="G68" s="84">
        <f>SUM(G56:G67)</f>
        <v>3767094</v>
      </c>
    </row>
    <row r="69" spans="2:10" x14ac:dyDescent="0.2">
      <c r="G69" s="29"/>
    </row>
    <row r="70" spans="2:10" x14ac:dyDescent="0.2">
      <c r="B70" s="61" t="s">
        <v>98</v>
      </c>
      <c r="C70" s="78"/>
      <c r="D70" s="79"/>
      <c r="E70" s="78"/>
      <c r="F70" s="79"/>
      <c r="G70" s="29"/>
    </row>
    <row r="71" spans="2:10" x14ac:dyDescent="0.2">
      <c r="B71" s="59" t="s">
        <v>35</v>
      </c>
      <c r="C71" s="78" t="s">
        <v>24</v>
      </c>
      <c r="D71" s="79"/>
      <c r="E71" s="78"/>
      <c r="F71" s="79"/>
      <c r="G71" s="84">
        <f>G41-G56</f>
        <v>788366</v>
      </c>
    </row>
    <row r="72" spans="2:10" x14ac:dyDescent="0.2">
      <c r="B72" s="59" t="s">
        <v>37</v>
      </c>
      <c r="C72" s="78" t="s">
        <v>24</v>
      </c>
      <c r="D72" s="79"/>
      <c r="E72" s="78"/>
      <c r="F72" s="79"/>
      <c r="G72" s="84">
        <f>G42-G57</f>
        <v>745444</v>
      </c>
    </row>
    <row r="73" spans="2:10" x14ac:dyDescent="0.2">
      <c r="B73" s="59" t="s">
        <v>38</v>
      </c>
      <c r="C73" s="78" t="s">
        <v>24</v>
      </c>
      <c r="D73" s="79"/>
      <c r="E73" s="78"/>
      <c r="F73" s="79"/>
      <c r="G73" s="84">
        <f t="shared" ref="G73:G82" si="0">G43-G58</f>
        <v>834858</v>
      </c>
    </row>
    <row r="74" spans="2:10" x14ac:dyDescent="0.2">
      <c r="B74" s="59" t="s">
        <v>39</v>
      </c>
      <c r="C74" s="78" t="s">
        <v>24</v>
      </c>
      <c r="D74" s="79"/>
      <c r="E74" s="78"/>
      <c r="F74" s="79"/>
      <c r="G74" s="84">
        <f t="shared" si="0"/>
        <v>848676</v>
      </c>
    </row>
    <row r="75" spans="2:10" x14ac:dyDescent="0.2">
      <c r="B75" s="59" t="s">
        <v>40</v>
      </c>
      <c r="C75" s="78" t="s">
        <v>24</v>
      </c>
      <c r="D75" s="79"/>
      <c r="E75" s="78"/>
      <c r="F75" s="79"/>
      <c r="G75" s="84">
        <f t="shared" si="0"/>
        <v>921425</v>
      </c>
    </row>
    <row r="76" spans="2:10" x14ac:dyDescent="0.2">
      <c r="B76" s="59" t="s">
        <v>41</v>
      </c>
      <c r="C76" s="78" t="s">
        <v>24</v>
      </c>
      <c r="D76" s="79"/>
      <c r="E76" s="78"/>
      <c r="F76" s="79"/>
      <c r="G76" s="84">
        <f t="shared" si="0"/>
        <v>880701</v>
      </c>
    </row>
    <row r="77" spans="2:10" x14ac:dyDescent="0.2">
      <c r="B77" s="59" t="s">
        <v>42</v>
      </c>
      <c r="C77" s="78" t="s">
        <v>24</v>
      </c>
      <c r="D77" s="79"/>
      <c r="E77" s="78"/>
      <c r="F77" s="79"/>
      <c r="G77" s="84">
        <f t="shared" si="0"/>
        <v>925853</v>
      </c>
    </row>
    <row r="78" spans="2:10" x14ac:dyDescent="0.2">
      <c r="B78" s="59" t="s">
        <v>43</v>
      </c>
      <c r="C78" s="78" t="s">
        <v>24</v>
      </c>
      <c r="D78" s="79"/>
      <c r="E78" s="78"/>
      <c r="F78" s="79"/>
      <c r="G78" s="84">
        <f t="shared" si="0"/>
        <v>995090</v>
      </c>
    </row>
    <row r="79" spans="2:10" x14ac:dyDescent="0.2">
      <c r="B79" s="59" t="s">
        <v>44</v>
      </c>
      <c r="C79" s="78" t="s">
        <v>24</v>
      </c>
      <c r="D79" s="79"/>
      <c r="E79" s="78"/>
      <c r="F79" s="79"/>
      <c r="G79" s="84">
        <f t="shared" si="0"/>
        <v>901605</v>
      </c>
    </row>
    <row r="80" spans="2:10" x14ac:dyDescent="0.2">
      <c r="B80" s="59" t="s">
        <v>45</v>
      </c>
      <c r="C80" s="78" t="s">
        <v>24</v>
      </c>
      <c r="D80" s="79"/>
      <c r="E80" s="78"/>
      <c r="F80" s="79"/>
      <c r="G80" s="84">
        <f t="shared" si="0"/>
        <v>1010898</v>
      </c>
    </row>
    <row r="81" spans="2:7" x14ac:dyDescent="0.2">
      <c r="B81" s="59" t="s">
        <v>46</v>
      </c>
      <c r="C81" s="78" t="s">
        <v>24</v>
      </c>
      <c r="D81" s="79"/>
      <c r="E81" s="78"/>
      <c r="F81" s="79"/>
      <c r="G81" s="84">
        <f t="shared" si="0"/>
        <v>757575</v>
      </c>
    </row>
    <row r="82" spans="2:7" x14ac:dyDescent="0.2">
      <c r="B82" s="59" t="s">
        <v>47</v>
      </c>
      <c r="C82" s="78" t="s">
        <v>24</v>
      </c>
      <c r="D82" s="79"/>
      <c r="E82" s="78"/>
      <c r="F82" s="79"/>
      <c r="G82" s="84">
        <f t="shared" si="0"/>
        <v>629415</v>
      </c>
    </row>
    <row r="83" spans="2:7" s="79" customFormat="1" x14ac:dyDescent="0.2">
      <c r="B83" s="61" t="s">
        <v>101</v>
      </c>
      <c r="C83" s="78" t="s">
        <v>24</v>
      </c>
      <c r="E83" s="78"/>
      <c r="G83" s="84">
        <f>SUM(G71:G82)</f>
        <v>10239906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R29"/>
  <sheetViews>
    <sheetView showGridLines="0" zoomScale="85" zoomScaleNormal="85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G15" sqref="G15"/>
    </sheetView>
  </sheetViews>
  <sheetFormatPr defaultRowHeight="12.75" x14ac:dyDescent="0.2"/>
  <cols>
    <col min="1" max="1" width="4.5703125" style="79" customWidth="1"/>
    <col min="2" max="2" width="41.42578125" style="79" customWidth="1"/>
    <col min="3" max="5" width="4.5703125" style="79" customWidth="1"/>
    <col min="6" max="6" width="13.7109375" style="79" customWidth="1"/>
    <col min="7" max="7" width="2.7109375" style="79" customWidth="1"/>
    <col min="8" max="8" width="13.7109375" style="79" customWidth="1"/>
    <col min="9" max="9" width="2.7109375" style="79" customWidth="1"/>
    <col min="10" max="10" width="13.7109375" style="79" customWidth="1"/>
    <col min="11" max="11" width="2.7109375" style="79" customWidth="1"/>
    <col min="12" max="12" width="13.5703125" style="79" customWidth="1"/>
    <col min="13" max="14" width="12.5703125" style="79" customWidth="1"/>
    <col min="15" max="15" width="2.7109375" style="79" customWidth="1"/>
    <col min="16" max="16" width="17.140625" style="79" customWidth="1"/>
    <col min="17" max="17" width="2.7109375" style="79" customWidth="1"/>
    <col min="18" max="18" width="13.7109375" style="79" customWidth="1"/>
    <col min="19" max="19" width="2.7109375" style="79" customWidth="1"/>
    <col min="20" max="34" width="13.7109375" style="79" customWidth="1"/>
    <col min="35" max="16384" width="9.140625" style="79"/>
  </cols>
  <sheetData>
    <row r="2" spans="1:18" s="81" customFormat="1" ht="18" x14ac:dyDescent="0.2">
      <c r="B2" s="81" t="s">
        <v>168</v>
      </c>
    </row>
    <row r="4" spans="1:18" x14ac:dyDescent="0.2">
      <c r="A4" s="1"/>
      <c r="B4" s="82" t="s">
        <v>14</v>
      </c>
      <c r="C4" s="1"/>
      <c r="D4" s="1"/>
      <c r="L4" s="78"/>
    </row>
    <row r="5" spans="1:18" x14ac:dyDescent="0.2">
      <c r="A5" s="72"/>
      <c r="B5" s="72" t="s">
        <v>169</v>
      </c>
      <c r="C5" s="72"/>
      <c r="D5" s="72"/>
      <c r="H5" s="69"/>
    </row>
    <row r="6" spans="1:18" x14ac:dyDescent="0.2">
      <c r="A6" s="72"/>
      <c r="B6" s="72"/>
      <c r="C6" s="72"/>
      <c r="D6" s="72"/>
      <c r="H6" s="69"/>
    </row>
    <row r="7" spans="1:18" x14ac:dyDescent="0.2">
      <c r="A7" s="72"/>
      <c r="B7" s="76" t="s">
        <v>170</v>
      </c>
      <c r="C7" s="72"/>
      <c r="D7" s="72"/>
      <c r="H7" s="69"/>
    </row>
    <row r="8" spans="1:18" x14ac:dyDescent="0.2">
      <c r="A8" s="72"/>
      <c r="B8" s="3" t="s">
        <v>171</v>
      </c>
      <c r="C8" s="72"/>
      <c r="D8" s="72"/>
    </row>
    <row r="9" spans="1:18" x14ac:dyDescent="0.2">
      <c r="A9" s="72"/>
      <c r="B9" s="3" t="s">
        <v>172</v>
      </c>
      <c r="C9" s="72"/>
      <c r="D9" s="72"/>
    </row>
    <row r="11" spans="1:18" x14ac:dyDescent="0.2">
      <c r="B11" s="3" t="s">
        <v>303</v>
      </c>
    </row>
    <row r="13" spans="1:18" s="80" customFormat="1" x14ac:dyDescent="0.2">
      <c r="B13" s="80" t="s">
        <v>173</v>
      </c>
      <c r="F13" s="80" t="s">
        <v>174</v>
      </c>
      <c r="H13" s="80" t="s">
        <v>4</v>
      </c>
      <c r="J13" s="80" t="s">
        <v>5</v>
      </c>
      <c r="P13" s="80" t="s">
        <v>11</v>
      </c>
      <c r="R13" s="80" t="s">
        <v>175</v>
      </c>
    </row>
    <row r="16" spans="1:18" s="80" customFormat="1" x14ac:dyDescent="0.2">
      <c r="B16" s="80" t="s">
        <v>176</v>
      </c>
      <c r="L16" s="80" t="s">
        <v>177</v>
      </c>
      <c r="M16" s="80" t="s">
        <v>178</v>
      </c>
      <c r="N16" s="80" t="s">
        <v>179</v>
      </c>
    </row>
    <row r="18" spans="2:18" x14ac:dyDescent="0.2">
      <c r="B18" s="79" t="s">
        <v>180</v>
      </c>
      <c r="F18" s="79" t="s">
        <v>20</v>
      </c>
      <c r="L18" s="100">
        <f>-1*0.9%</f>
        <v>-9.0000000000000011E-3</v>
      </c>
      <c r="M18" s="100">
        <f>-1*0.4%</f>
        <v>-4.0000000000000001E-3</v>
      </c>
      <c r="N18" s="100">
        <f>-1*0.5%</f>
        <v>-5.0000000000000001E-3</v>
      </c>
      <c r="P18" s="78" t="s">
        <v>213</v>
      </c>
      <c r="R18" s="72"/>
    </row>
    <row r="19" spans="2:18" x14ac:dyDescent="0.2">
      <c r="B19" s="79" t="s">
        <v>182</v>
      </c>
      <c r="F19" s="79" t="s">
        <v>20</v>
      </c>
      <c r="L19" s="100">
        <v>6.0000000000000001E-3</v>
      </c>
      <c r="M19" s="100">
        <v>2E-3</v>
      </c>
      <c r="N19" s="100">
        <f>-1*0.9%</f>
        <v>-9.0000000000000011E-3</v>
      </c>
    </row>
    <row r="20" spans="2:18" x14ac:dyDescent="0.2">
      <c r="B20" s="79" t="s">
        <v>183</v>
      </c>
      <c r="F20" s="79" t="s">
        <v>20</v>
      </c>
      <c r="L20" s="100">
        <v>6.0000000000000001E-3</v>
      </c>
      <c r="M20" s="100">
        <f>-1*1.3%</f>
        <v>-1.3000000000000001E-2</v>
      </c>
      <c r="N20" s="100">
        <v>2.1000000000000001E-2</v>
      </c>
    </row>
    <row r="21" spans="2:18" x14ac:dyDescent="0.2">
      <c r="B21" s="79" t="s">
        <v>184</v>
      </c>
      <c r="F21" s="79" t="s">
        <v>20</v>
      </c>
      <c r="L21" s="100">
        <v>3.5000000000000003E-2</v>
      </c>
      <c r="M21" s="100">
        <v>4.3999999999999997E-2</v>
      </c>
      <c r="N21" s="100">
        <v>1.0999999999999999E-2</v>
      </c>
      <c r="P21" s="79" t="s">
        <v>214</v>
      </c>
    </row>
    <row r="24" spans="2:18" s="80" customFormat="1" ht="38.25" x14ac:dyDescent="0.2">
      <c r="B24" s="80" t="s">
        <v>186</v>
      </c>
      <c r="L24" s="101" t="s">
        <v>187</v>
      </c>
      <c r="M24" s="101" t="s">
        <v>188</v>
      </c>
      <c r="N24" s="101" t="s">
        <v>189</v>
      </c>
    </row>
    <row r="26" spans="2:18" x14ac:dyDescent="0.2">
      <c r="B26" s="79" t="s">
        <v>190</v>
      </c>
      <c r="F26" s="79" t="s">
        <v>20</v>
      </c>
      <c r="L26" s="30">
        <v>6.5699999999999995E-2</v>
      </c>
      <c r="M26" s="30">
        <v>6.4799999999999996E-2</v>
      </c>
      <c r="N26" s="30">
        <v>6.7400000000000002E-2</v>
      </c>
      <c r="P26" s="79" t="s">
        <v>206</v>
      </c>
    </row>
    <row r="27" spans="2:18" x14ac:dyDescent="0.2">
      <c r="B27" s="79" t="s">
        <v>192</v>
      </c>
      <c r="F27" s="79" t="s">
        <v>20</v>
      </c>
      <c r="L27" s="30">
        <v>6.4899999999999999E-2</v>
      </c>
      <c r="M27" s="30">
        <v>6.4000000000000001E-2</v>
      </c>
      <c r="N27" s="30">
        <v>6.6600000000000006E-2</v>
      </c>
    </row>
    <row r="28" spans="2:18" x14ac:dyDescent="0.2">
      <c r="B28" s="79" t="s">
        <v>193</v>
      </c>
      <c r="F28" s="79" t="s">
        <v>20</v>
      </c>
      <c r="L28" s="30">
        <v>6.4100000000000004E-2</v>
      </c>
      <c r="M28" s="30">
        <v>6.3200000000000006E-2</v>
      </c>
      <c r="N28" s="30">
        <v>6.5799999999999997E-2</v>
      </c>
    </row>
    <row r="29" spans="2:18" x14ac:dyDescent="0.2">
      <c r="F29" s="79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B76403CB6F24694D915B3C168C0E6" ma:contentTypeVersion="0" ma:contentTypeDescription="Een nieuw document maken." ma:contentTypeScope="" ma:versionID="bf02a18621bcb6325d2ad5de47f96f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DAB9D1-B815-4B0E-93E7-4496A7FE99F6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BDC70D-3516-47CA-A74A-26D77D0F6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Title page</vt:lpstr>
      <vt:lpstr>Explanation</vt:lpstr>
      <vt:lpstr>Sources and applications</vt:lpstr>
      <vt:lpstr>Result</vt:lpstr>
      <vt:lpstr>Input --&gt;</vt:lpstr>
      <vt:lpstr>Estimation for 2017</vt:lpstr>
      <vt:lpstr>Realization of 2017</vt:lpstr>
      <vt:lpstr>Fuel costs</vt:lpstr>
      <vt:lpstr>CPI &amp; WACC</vt:lpstr>
      <vt:lpstr>Calculations --&gt;</vt:lpstr>
      <vt:lpstr>Volume-effect correction E</vt:lpstr>
      <vt:lpstr>Volume-effect correction W</vt:lpstr>
      <vt:lpstr>Profit sharing correction</vt:lpstr>
      <vt:lpstr>Fuel price correction</vt:lpstr>
      <vt:lpstr>Electricity price correction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2018-05-15T11:27:11Z</dcterms:created>
  <dcterms:modified xsi:type="dcterms:W3CDTF">2018-12-14T09:44:44Z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0x010100E20B76403CB6F24694D915B3C168C0E6</vt:lpwstr>
  </property>
</Properties>
</file>