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0" yWindow="510" windowWidth="12885" windowHeight="10575"/>
  </bookViews>
  <sheets>
    <sheet name="Front Page" sheetId="18" r:id="rId1"/>
    <sheet name="Explanatory Notes" sheetId="19" r:id="rId2"/>
    <sheet name="Result -&gt;" sheetId="23" r:id="rId3"/>
    <sheet name="User tariff SEC jul-dec 2018" sheetId="30" r:id="rId4"/>
    <sheet name="Appendix 1 " sheetId="33" r:id="rId5"/>
    <sheet name="Input-&gt;" sheetId="11" r:id="rId6"/>
    <sheet name="Input data production" sheetId="20" r:id="rId7"/>
    <sheet name="Input data fuel purchase" sheetId="24" r:id="rId8"/>
    <sheet name="Calculations--&gt;" sheetId="13" r:id="rId9"/>
    <sheet name="Monthly fuel prices" sheetId="32" r:id="rId10"/>
    <sheet name="New estimation production price" sheetId="25" r:id="rId11"/>
    <sheet name="Corr fuel price difference " sheetId="28" r:id="rId12"/>
  </sheets>
  <calcPr calcId="145621"/>
</workbook>
</file>

<file path=xl/calcChain.xml><?xml version="1.0" encoding="utf-8"?>
<calcChain xmlns="http://schemas.openxmlformats.org/spreadsheetml/2006/main">
  <c r="J60" i="32" l="1"/>
  <c r="F64" i="32"/>
  <c r="J64" i="32"/>
  <c r="H30" i="25" l="1"/>
  <c r="H24" i="25"/>
  <c r="V41" i="28" l="1"/>
  <c r="V48" i="28"/>
  <c r="G12" i="33" l="1"/>
  <c r="H17" i="32" l="1"/>
  <c r="H18" i="32"/>
  <c r="H19" i="32"/>
  <c r="H20" i="32"/>
  <c r="H21" i="32"/>
  <c r="H22" i="32"/>
  <c r="H23" i="32"/>
  <c r="H24" i="32"/>
  <c r="H25" i="32"/>
  <c r="H26" i="32"/>
  <c r="H27" i="32"/>
  <c r="H28" i="32"/>
  <c r="H29" i="32"/>
  <c r="H30" i="32"/>
  <c r="H31" i="32"/>
  <c r="H32" i="32"/>
  <c r="H33" i="32"/>
  <c r="H34" i="32"/>
  <c r="H35" i="32"/>
  <c r="H36" i="32"/>
  <c r="H37" i="32"/>
  <c r="H38" i="32"/>
  <c r="H39" i="32"/>
  <c r="H40" i="32"/>
  <c r="H41" i="32"/>
  <c r="H42" i="32"/>
  <c r="H43" i="32"/>
  <c r="F17" i="32"/>
  <c r="F18" i="32"/>
  <c r="F19" i="32"/>
  <c r="F20" i="32"/>
  <c r="F21" i="32"/>
  <c r="F22" i="32"/>
  <c r="F23" i="32"/>
  <c r="F24" i="32"/>
  <c r="F25" i="32"/>
  <c r="F26" i="32"/>
  <c r="F27" i="32"/>
  <c r="F28" i="32"/>
  <c r="F29" i="32"/>
  <c r="F30" i="32"/>
  <c r="F31" i="32"/>
  <c r="F32" i="32"/>
  <c r="F33" i="32"/>
  <c r="J37" i="32" s="1"/>
  <c r="F34" i="32"/>
  <c r="F35" i="32"/>
  <c r="F36" i="32"/>
  <c r="F37" i="32"/>
  <c r="F38" i="32"/>
  <c r="F39" i="32"/>
  <c r="F40" i="32"/>
  <c r="F41" i="32"/>
  <c r="F42" i="32"/>
  <c r="J43" i="32" s="1"/>
  <c r="F43" i="32"/>
  <c r="B43"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J25" i="32" l="1"/>
  <c r="J41" i="32"/>
  <c r="J32" i="32"/>
  <c r="J29" i="32"/>
  <c r="J23" i="32"/>
  <c r="H16" i="30"/>
  <c r="G22" i="33" s="1"/>
  <c r="U41" i="28"/>
  <c r="T41" i="28"/>
  <c r="H73" i="20"/>
  <c r="H69" i="20"/>
  <c r="H65" i="20"/>
  <c r="H61" i="20"/>
  <c r="S41" i="28" s="1"/>
  <c r="H57" i="20"/>
  <c r="R41" i="28" s="1"/>
  <c r="Q41" i="28"/>
  <c r="P41" i="28"/>
  <c r="O41" i="28"/>
  <c r="N41" i="28"/>
  <c r="M41" i="28"/>
  <c r="L41" i="28"/>
  <c r="H38" i="28"/>
  <c r="H35" i="28"/>
  <c r="H34" i="28"/>
  <c r="H31" i="28"/>
  <c r="H30" i="28"/>
  <c r="H26" i="28"/>
  <c r="H23" i="28"/>
  <c r="H22" i="28"/>
  <c r="L46" i="28" s="1"/>
  <c r="H19" i="28"/>
  <c r="H18" i="28"/>
  <c r="N50" i="28" l="1"/>
  <c r="P48" i="28"/>
  <c r="L48" i="28"/>
  <c r="S46" i="28"/>
  <c r="O46" i="28"/>
  <c r="V63" i="28"/>
  <c r="U63" i="28"/>
  <c r="T63" i="28"/>
  <c r="S63" i="28"/>
  <c r="R63" i="28"/>
  <c r="Q63" i="28"/>
  <c r="P63" i="28"/>
  <c r="O63" i="28"/>
  <c r="N63" i="28"/>
  <c r="M63" i="28"/>
  <c r="L63" i="28"/>
  <c r="T60" i="28"/>
  <c r="T50" i="28"/>
  <c r="U46" i="28"/>
  <c r="P60" i="28"/>
  <c r="P50" i="28"/>
  <c r="Q46" i="28"/>
  <c r="H20" i="28"/>
  <c r="O49" i="28" s="1"/>
  <c r="N48" i="28"/>
  <c r="Q49" i="28" l="1"/>
  <c r="V50" i="28"/>
  <c r="N46" i="28"/>
  <c r="R46" i="28"/>
  <c r="V46" i="28"/>
  <c r="O48" i="28"/>
  <c r="S48" i="28"/>
  <c r="L49" i="28"/>
  <c r="P49" i="28"/>
  <c r="M50" i="28"/>
  <c r="Q50" i="28"/>
  <c r="U50" i="28"/>
  <c r="M60" i="28"/>
  <c r="Q60" i="28"/>
  <c r="U60" i="28"/>
  <c r="N60" i="28"/>
  <c r="R60" i="28"/>
  <c r="V60" i="28"/>
  <c r="M49" i="28"/>
  <c r="P46" i="28"/>
  <c r="T46" i="28"/>
  <c r="M48" i="28"/>
  <c r="Q48" i="28"/>
  <c r="U48" i="28"/>
  <c r="N49" i="28"/>
  <c r="O50" i="28"/>
  <c r="S50" i="28"/>
  <c r="O60" i="28"/>
  <c r="S60" i="28"/>
  <c r="T48" i="28"/>
  <c r="R50" i="28"/>
  <c r="H32" i="28"/>
  <c r="M46" i="28"/>
  <c r="R48" i="28"/>
  <c r="L50" i="28"/>
  <c r="L60" i="28"/>
  <c r="S49" i="28" l="1"/>
  <c r="H74" i="28"/>
  <c r="H75" i="28" s="1"/>
  <c r="V49" i="28"/>
  <c r="R49" i="28"/>
  <c r="U49" i="28"/>
  <c r="T49" i="28"/>
  <c r="B48" i="32" l="1"/>
  <c r="F48" i="32"/>
  <c r="H48" i="32"/>
  <c r="B49" i="32"/>
  <c r="F49" i="32"/>
  <c r="H49" i="32"/>
  <c r="B50" i="32"/>
  <c r="F50" i="32"/>
  <c r="H50" i="32"/>
  <c r="B51" i="32"/>
  <c r="F51" i="32"/>
  <c r="J52" i="32" s="1"/>
  <c r="H51" i="32"/>
  <c r="B52" i="32"/>
  <c r="F52" i="32"/>
  <c r="H52" i="32"/>
  <c r="B53" i="32"/>
  <c r="F53" i="32"/>
  <c r="H53" i="32"/>
  <c r="B54" i="32"/>
  <c r="F54" i="32"/>
  <c r="H54" i="32"/>
  <c r="B55" i="32"/>
  <c r="F55" i="32"/>
  <c r="H55" i="32"/>
  <c r="B56" i="32"/>
  <c r="F56" i="32"/>
  <c r="H56" i="32"/>
  <c r="B57" i="32"/>
  <c r="F57" i="32"/>
  <c r="H57" i="32"/>
  <c r="B58" i="32"/>
  <c r="F58" i="32"/>
  <c r="H58" i="32"/>
  <c r="B59" i="32"/>
  <c r="F59" i="32"/>
  <c r="H59" i="32"/>
  <c r="B60" i="32"/>
  <c r="F60" i="32"/>
  <c r="H60" i="32"/>
  <c r="B61" i="32"/>
  <c r="F61" i="32"/>
  <c r="H61" i="32"/>
  <c r="B62" i="32"/>
  <c r="F62" i="32"/>
  <c r="H62" i="32"/>
  <c r="B47" i="32"/>
  <c r="F47" i="32"/>
  <c r="J50" i="32" s="1"/>
  <c r="H47" i="32"/>
  <c r="H16" i="32"/>
  <c r="F16" i="32"/>
  <c r="J19" i="32" s="1"/>
  <c r="J59" i="32" l="1"/>
  <c r="J56" i="32"/>
  <c r="T52" i="28" s="1"/>
  <c r="V53" i="28" s="1"/>
  <c r="V55" i="28" s="1"/>
  <c r="V61" i="28" s="1"/>
  <c r="V65" i="28" s="1"/>
  <c r="K52" i="28"/>
  <c r="M53" i="28" s="1"/>
  <c r="M55" i="28" s="1"/>
  <c r="M61" i="28" s="1"/>
  <c r="M65" i="28" s="1"/>
  <c r="Q52" i="28"/>
  <c r="S53" i="28" s="1"/>
  <c r="S55" i="28" s="1"/>
  <c r="S61" i="28" s="1"/>
  <c r="S65" i="28" s="1"/>
  <c r="P52" i="28"/>
  <c r="R53" i="28" s="1"/>
  <c r="R55" i="28" s="1"/>
  <c r="R61" i="28" s="1"/>
  <c r="R65" i="28" s="1"/>
  <c r="N52" i="28"/>
  <c r="P53" i="28" s="1"/>
  <c r="P55" i="28" s="1"/>
  <c r="P61" i="28" s="1"/>
  <c r="P65" i="28" s="1"/>
  <c r="M52" i="28"/>
  <c r="O53" i="28" s="1"/>
  <c r="O55" i="28" s="1"/>
  <c r="O61" i="28" s="1"/>
  <c r="O65" i="28" s="1"/>
  <c r="R52" i="28"/>
  <c r="T53" i="28" s="1"/>
  <c r="T55" i="28" s="1"/>
  <c r="T61" i="28" s="1"/>
  <c r="T65" i="28" s="1"/>
  <c r="L52" i="28"/>
  <c r="N53" i="28" s="1"/>
  <c r="N55" i="28" s="1"/>
  <c r="N61" i="28" s="1"/>
  <c r="N65" i="28" s="1"/>
  <c r="S52" i="28"/>
  <c r="U53" i="28" s="1"/>
  <c r="U55" i="28" s="1"/>
  <c r="U61" i="28" s="1"/>
  <c r="U65" i="28" s="1"/>
  <c r="J52" i="28"/>
  <c r="L53" i="28" s="1"/>
  <c r="L55" i="28" s="1"/>
  <c r="L61" i="28" s="1"/>
  <c r="L65" i="28" s="1"/>
  <c r="O52" i="28"/>
  <c r="Q53" i="28" s="1"/>
  <c r="Q55" i="28" s="1"/>
  <c r="Q61" i="28" s="1"/>
  <c r="Q65" i="28" s="1"/>
  <c r="B16" i="32"/>
  <c r="H66" i="28" l="1"/>
  <c r="G19" i="33" s="1"/>
  <c r="H67" i="28"/>
  <c r="G20" i="33" s="1"/>
  <c r="G16" i="33" l="1"/>
  <c r="G15" i="33"/>
  <c r="H21" i="30"/>
  <c r="G27" i="33" s="1"/>
  <c r="H12" i="28" l="1"/>
  <c r="H69" i="28" l="1"/>
  <c r="H15" i="30" s="1"/>
  <c r="H19" i="25"/>
  <c r="H20" i="25"/>
  <c r="H18" i="25"/>
  <c r="H15" i="25"/>
  <c r="H14" i="25"/>
  <c r="G21" i="33" l="1"/>
  <c r="G23" i="33" s="1"/>
  <c r="H17" i="30"/>
  <c r="H16" i="25"/>
  <c r="H21" i="25" l="1"/>
  <c r="H12" i="30"/>
  <c r="H20" i="30" s="1"/>
  <c r="G26" i="33" s="1"/>
  <c r="H32" i="20"/>
  <c r="H15" i="20"/>
  <c r="H20" i="20" s="1"/>
  <c r="H37" i="20" l="1"/>
  <c r="B20" i="19"/>
  <c r="B27" i="19" s="1"/>
  <c r="H22" i="30" l="1"/>
  <c r="G28" i="33" s="1"/>
  <c r="B21" i="19"/>
  <c r="B22" i="19" s="1"/>
  <c r="B26" i="19"/>
</calcChain>
</file>

<file path=xl/comments1.xml><?xml version="1.0" encoding="utf-8"?>
<comments xmlns="http://schemas.openxmlformats.org/spreadsheetml/2006/main">
  <authors>
    <author>Auteur</author>
  </authors>
  <commentList>
    <comment ref="B26"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<sst xmlns="http://schemas.openxmlformats.org/spreadsheetml/2006/main" count="567" uniqueCount="285">
  <si>
    <t>%</t>
  </si>
  <si>
    <t>kWh</t>
  </si>
  <si>
    <t>liters/kWh</t>
  </si>
  <si>
    <t>USD/liter</t>
  </si>
  <si>
    <t>USD/kWh</t>
  </si>
  <si>
    <t>Toelichting</t>
  </si>
  <si>
    <t>USD</t>
  </si>
  <si>
    <t>Hoort bij besluit(en):</t>
  </si>
  <si>
    <t>Kenmerk besluit(en)</t>
  </si>
  <si>
    <t>Resultaat</t>
  </si>
  <si>
    <t>Data</t>
  </si>
  <si>
    <t>Berekening</t>
  </si>
  <si>
    <t>Input --&gt;</t>
  </si>
  <si>
    <t>Data on production of electricity in 2017 (based on full year)</t>
  </si>
  <si>
    <t>Production volume by fuel 2018</t>
  </si>
  <si>
    <t>Production volume by solar 2018</t>
  </si>
  <si>
    <t>Total expected production volume 2018</t>
  </si>
  <si>
    <t>Production price electricity excl fuel:</t>
  </si>
  <si>
    <t>Production yield based on fuel</t>
  </si>
  <si>
    <t>Price fuel</t>
  </si>
  <si>
    <t>Production price electriciy - fuel part</t>
  </si>
  <si>
    <t>Variable distribution tariff electricity 2018</t>
  </si>
  <si>
    <t>Network loss</t>
  </si>
  <si>
    <t>Tariffs a set for second half of 2017</t>
  </si>
  <si>
    <t>Production price electricity 2017</t>
  </si>
  <si>
    <t>Production volume by fuel 2017</t>
  </si>
  <si>
    <t>Production volume by solar 2017</t>
  </si>
  <si>
    <t>Total expected production volume 2017</t>
  </si>
  <si>
    <t>Data on production of electricity in 2018</t>
  </si>
  <si>
    <t>Tariffs a set for 2018</t>
  </si>
  <si>
    <t>Production price electricity 2018</t>
  </si>
  <si>
    <t>Variable distribution tariff electricity 2017 (per july 1, 2017)</t>
  </si>
  <si>
    <t>Description calculation</t>
  </si>
  <si>
    <t>Description</t>
  </si>
  <si>
    <t>Unit</t>
  </si>
  <si>
    <t>Constant</t>
  </si>
  <si>
    <t>Remarks</t>
  </si>
  <si>
    <t>Relevant data for calculation</t>
  </si>
  <si>
    <t>New estimation of production price per July 1, 2018</t>
  </si>
  <si>
    <t>Fuel price</t>
  </si>
  <si>
    <t>New estimated production price</t>
  </si>
  <si>
    <t>Data on production and fuel prices</t>
  </si>
  <si>
    <t>USD, price level 2017</t>
  </si>
  <si>
    <t>USD, price level 2018</t>
  </si>
  <si>
    <t>Input daily fuel prices and volumes</t>
  </si>
  <si>
    <t>CPI</t>
  </si>
  <si>
    <t>CPI from 2017 to 2018</t>
  </si>
  <si>
    <t>No estimation by season, estimation is 50% of year total</t>
  </si>
  <si>
    <t>Period (dates) with uniform price level</t>
  </si>
  <si>
    <t>liter</t>
  </si>
  <si>
    <t>Volume purchased</t>
  </si>
  <si>
    <t>Invoice (date)</t>
  </si>
  <si>
    <t>Source</t>
  </si>
  <si>
    <t>Remark</t>
  </si>
  <si>
    <t>Based on latest invoice</t>
  </si>
  <si>
    <t>Front Page</t>
  </si>
  <si>
    <t>About this document</t>
  </si>
  <si>
    <t xml:space="preserve">Case number </t>
  </si>
  <si>
    <t>Title</t>
  </si>
  <si>
    <t>Status of the document</t>
  </si>
  <si>
    <t>Final version?</t>
  </si>
  <si>
    <t>Explanatory notes</t>
  </si>
  <si>
    <t xml:space="preserve">Explanatory notes </t>
  </si>
  <si>
    <t>This document contains the model that the Authority for Consumers &amp; Markets uses to calculate the correction of the variable distribution tarriff for elektricity per 1 July 2018</t>
  </si>
  <si>
    <t>Explanation of the calculation</t>
  </si>
  <si>
    <t xml:space="preserve">The variable distribution tariff is adapted by making two correction. </t>
  </si>
  <si>
    <t>1. The fuel component is updated, this means that the estimation used in the tariff decision in 2018 is updated to have the tariff match the actual fuel prices more closely</t>
  </si>
  <si>
    <t>For both above mentioned corrections, other values and parameters will remain as were determined in the tariffdecision for 2018</t>
  </si>
  <si>
    <t>Legend and use of cell colours and sheetcolours</t>
  </si>
  <si>
    <t>Cellcolours Numbers</t>
  </si>
  <si>
    <t xml:space="preserve">Description </t>
  </si>
  <si>
    <t xml:space="preserve">Data and input (please mention the source); for een information request, you have to fill this cell </t>
  </si>
  <si>
    <t>Value that is imported without calculation from another sheet</t>
  </si>
  <si>
    <t xml:space="preserve">Calculated value </t>
  </si>
  <si>
    <t>Calculated value that is used on another sheet, including the end result</t>
  </si>
  <si>
    <t xml:space="preserve">Cell is not applicible, however is used in a formula </t>
  </si>
  <si>
    <t>Specials</t>
  </si>
  <si>
    <t>Value or calculation that requires special attention</t>
  </si>
  <si>
    <t>Value or calculation that is not correct at the moment</t>
  </si>
  <si>
    <t xml:space="preserve">Sheet colours </t>
  </si>
  <si>
    <t>Sheets with results/output</t>
  </si>
  <si>
    <t>Sheets with input</t>
  </si>
  <si>
    <t>sheets wih calculations</t>
  </si>
  <si>
    <t xml:space="preserve">Sheet contains incorrect calculations or input or that is not up-to-date </t>
  </si>
  <si>
    <t xml:space="preserve">Empty sheet that is used as chapter marker </t>
  </si>
  <si>
    <t>Standardised sheets that contains general information</t>
  </si>
  <si>
    <t xml:space="preserve">Description result </t>
  </si>
  <si>
    <t xml:space="preserve">Calculation new variable distribution tariff </t>
  </si>
  <si>
    <t xml:space="preserve">Total amount to be corrected </t>
  </si>
  <si>
    <t>Estimated production volume for the period 1 July to 31 December 2018</t>
  </si>
  <si>
    <t>Calculation correct for fuel price difference in kWh</t>
  </si>
  <si>
    <t xml:space="preserve">New estimation production price + correction for fuel price difference </t>
  </si>
  <si>
    <t>New variable distribution tariff for the period 1 July to  31 December 2018 (incl corrections)</t>
  </si>
  <si>
    <t>Input data on production</t>
  </si>
  <si>
    <t xml:space="preserve">Description data </t>
  </si>
  <si>
    <t xml:space="preserve">The monthly fuel prices are the basis for the correction for the fuelcomponent the tariffs and for the correction of the fuel price differences </t>
  </si>
  <si>
    <t xml:space="preserve">ACM corrects the tariffs for the period 1 July to 31 December 2018 for this difference in costs. </t>
  </si>
  <si>
    <t>Correction of fuel price differences</t>
  </si>
  <si>
    <t>Calculation for the correction of the variable distribution tariff for SEC as of July 1, 2018</t>
  </si>
  <si>
    <t>2. The difference in the realised fuel prices paid by SEC and the estimation of the fuel prices for the second half of 2017 and the first half of 2018, will be corrected in the tarifff for july-december 2018</t>
  </si>
  <si>
    <t xml:space="preserve">Updated variable distribution tariff for elektricity for SEC for 1 July to 31 December 2018 </t>
  </si>
  <si>
    <t>Below the two corrections form the new variable distribution tariff for SEC in the period 1 July to 31 December 2018.</t>
  </si>
  <si>
    <t>Parameters on production and distribution SEC (based on tariff decision 2017 and 2018)</t>
  </si>
  <si>
    <t>Calculation of the production price Elektricity for SEC BV, December 2016</t>
  </si>
  <si>
    <t>Calculation of the distribution tariffs Elektricity for SEC BV, May 2017</t>
  </si>
  <si>
    <t>Tariff decision for SEC 2018, based on CBS data</t>
  </si>
  <si>
    <t>Fuel prices SEC 2017 (July - December)</t>
  </si>
  <si>
    <t>Fuel prices SEC 2018 (Januari - May)</t>
  </si>
  <si>
    <t>On this sheet ACM calculates the new production price for SEC based on the most recent fuel invoice.</t>
  </si>
  <si>
    <t xml:space="preserve">The realised cost for SEC for the second half of 2017 and the first half of 2018 deviated from the estimated  costs due to an difference in the fuel price.  </t>
  </si>
  <si>
    <t>Calculation for the tariffs of SEC bv 2018, December 2017</t>
  </si>
  <si>
    <t>Invoice 7 July 2017</t>
  </si>
  <si>
    <t>Invoice 11 August 2017</t>
  </si>
  <si>
    <t>July_1</t>
  </si>
  <si>
    <t>July_2</t>
  </si>
  <si>
    <t>Invoice 17July 2017</t>
  </si>
  <si>
    <t>Invoice 21 September 2017</t>
  </si>
  <si>
    <t>September_1</t>
  </si>
  <si>
    <t>September_2</t>
  </si>
  <si>
    <t>Invoice 22 September 2017</t>
  </si>
  <si>
    <t>September_3</t>
  </si>
  <si>
    <t>Invoice 4 September 2017</t>
  </si>
  <si>
    <t>August_1</t>
  </si>
  <si>
    <t>August_2</t>
  </si>
  <si>
    <t>Invoice 7 August 2017</t>
  </si>
  <si>
    <t>August_3</t>
  </si>
  <si>
    <t>August_4</t>
  </si>
  <si>
    <t>Invoice 8 August 2017</t>
  </si>
  <si>
    <t>November_1</t>
  </si>
  <si>
    <t>November_2</t>
  </si>
  <si>
    <t>Invoice 4 October 2017</t>
  </si>
  <si>
    <t>Invoice 5 October 2017</t>
  </si>
  <si>
    <t>Invoice 11 Octokber 2017</t>
  </si>
  <si>
    <t>Invoice 26 October 2017</t>
  </si>
  <si>
    <t>Invoice 8 November 2017</t>
  </si>
  <si>
    <t>November_3</t>
  </si>
  <si>
    <t>Invoice 28 November 2017</t>
  </si>
  <si>
    <t>November_4</t>
  </si>
  <si>
    <t>Invoice 24 November 2017</t>
  </si>
  <si>
    <t>December_1</t>
  </si>
  <si>
    <t>December_2</t>
  </si>
  <si>
    <t>Invoice 22 December 2017</t>
  </si>
  <si>
    <t>January_1</t>
  </si>
  <si>
    <t>Invoice 3 January 2018</t>
  </si>
  <si>
    <t>Feburary_1</t>
  </si>
  <si>
    <t>Feburary_2</t>
  </si>
  <si>
    <t>January_2</t>
  </si>
  <si>
    <t>Invoice 23 January 2018</t>
  </si>
  <si>
    <t>January_3</t>
  </si>
  <si>
    <t>January_4</t>
  </si>
  <si>
    <t>Invoice 22 Januari 2018</t>
  </si>
  <si>
    <t>Invoice 15 March 2018</t>
  </si>
  <si>
    <t>Invoice 12 February 2018</t>
  </si>
  <si>
    <t>Invoice 9 February 2018</t>
  </si>
  <si>
    <t>Invoice 16 March 2018</t>
  </si>
  <si>
    <t>Invoice 23 March 2018</t>
  </si>
  <si>
    <t>March_1</t>
  </si>
  <si>
    <t>March_2</t>
  </si>
  <si>
    <t>April_1</t>
  </si>
  <si>
    <t>March_3</t>
  </si>
  <si>
    <t>March_4</t>
  </si>
  <si>
    <t>Invoice 23 April 2018</t>
  </si>
  <si>
    <t>April_2</t>
  </si>
  <si>
    <t>April_3</t>
  </si>
  <si>
    <t>Invoice 24 April 2018</t>
  </si>
  <si>
    <t>Network losses</t>
  </si>
  <si>
    <t>In this sheet ACM imports the data from the tariff decisions for 2017 and 2018 and the realised production of Saba Electric for the periode July 1st 2017-May 2018</t>
  </si>
  <si>
    <t>Realised production by SEC</t>
  </si>
  <si>
    <t>Production SEC July 2017</t>
  </si>
  <si>
    <t>Production SEC August 2017</t>
  </si>
  <si>
    <t>Production SEC September 2017</t>
  </si>
  <si>
    <t>Production SEC October 2017</t>
  </si>
  <si>
    <t>Production SEC November 2017</t>
  </si>
  <si>
    <t>Production SEC December 2017</t>
  </si>
  <si>
    <t>Input Saba Electric May 24rd (Excel file 'new production 2016 - 2017 - 2018)</t>
  </si>
  <si>
    <t>Production SEC January 2018 - diesel</t>
  </si>
  <si>
    <t>Production SEC January 2018 - solar</t>
  </si>
  <si>
    <t>Production SEC February 2018 - diesel</t>
  </si>
  <si>
    <t>Production SEC February 2018 - solar</t>
  </si>
  <si>
    <t>Production SEC March 2018 - diesel</t>
  </si>
  <si>
    <t>Production SEC March 2018 - solar</t>
  </si>
  <si>
    <t>Production SEC April 2018 - diesel</t>
  </si>
  <si>
    <t>Production SEC April 2018 - solar</t>
  </si>
  <si>
    <t>Production SEC May 2018 - diesel</t>
  </si>
  <si>
    <t>Production SEC May 2018 - solar</t>
  </si>
  <si>
    <t>Marga Buys - Trimp</t>
  </si>
  <si>
    <t>marga.buys-trimp@acm.nl</t>
  </si>
  <si>
    <t>00599 - 7810084</t>
  </si>
  <si>
    <t>CaribischNederland@acm.nl</t>
  </si>
  <si>
    <t>October_1</t>
  </si>
  <si>
    <t>October_2</t>
  </si>
  <si>
    <t>October_3</t>
  </si>
  <si>
    <t>October_4</t>
  </si>
  <si>
    <t>October_5</t>
  </si>
  <si>
    <t>Calculation of monthly fuel prices</t>
  </si>
  <si>
    <t>Based on the invoice data, we calculated the monthly fuel prices. These are used the calculation of the fuel price differences</t>
  </si>
  <si>
    <t>May 2017</t>
  </si>
  <si>
    <t>Data on fuel</t>
  </si>
  <si>
    <t>May - December 2017</t>
  </si>
  <si>
    <t>Fuel Price
(in USD/liter)</t>
  </si>
  <si>
    <t>Volume 
(in liter)</t>
  </si>
  <si>
    <t>Weighted average fuel price (in USD/liter)</t>
  </si>
  <si>
    <t>Expected production volume 2017 by fuel</t>
  </si>
  <si>
    <t>Expected production volume 2017 by solar</t>
  </si>
  <si>
    <t>Tariffs set for second half of 2017</t>
  </si>
  <si>
    <t>Expected production volume 2018 by fuel</t>
  </si>
  <si>
    <t>Expected production volume 2018 by solar</t>
  </si>
  <si>
    <t>Tariffs set for 2018</t>
  </si>
  <si>
    <t>Actual production</t>
  </si>
  <si>
    <t>Realised production volume (total)</t>
  </si>
  <si>
    <t>Calculation monthly production price</t>
  </si>
  <si>
    <t>Expected production volume by fuel</t>
  </si>
  <si>
    <t>Total expected production volume</t>
  </si>
  <si>
    <t>Actual fuel prices per month (weighted average)</t>
  </si>
  <si>
    <t>Fuel component in production price on T-2 basis</t>
  </si>
  <si>
    <t>Production price based on monthly fuel component</t>
  </si>
  <si>
    <t>Calculation correction for fuel price difference</t>
  </si>
  <si>
    <t>Production price as set in tariff decision</t>
  </si>
  <si>
    <t>Difference in production price, based on fuel component</t>
  </si>
  <si>
    <t>Monthly correction for fuel price difference</t>
  </si>
  <si>
    <t>Correction for fuel price difference for July - Dec 2017</t>
  </si>
  <si>
    <t>Total correction for fuel price difference for July 2017 - May 2018</t>
  </si>
  <si>
    <t>Estimation of production by STUCO for period July - December 2018</t>
  </si>
  <si>
    <t>Estimation total production by STUCO 2018</t>
  </si>
  <si>
    <t>Estimation of production for period Jul - Dec 2018</t>
  </si>
  <si>
    <t>Jun 2017</t>
  </si>
  <si>
    <t>Jul 2017</t>
  </si>
  <si>
    <t>Aug 2017</t>
  </si>
  <si>
    <t>Sept 2017</t>
  </si>
  <si>
    <t>Oct 2017</t>
  </si>
  <si>
    <t>Nov 2017</t>
  </si>
  <si>
    <t>Dec 2017</t>
  </si>
  <si>
    <t>Jan 2018</t>
  </si>
  <si>
    <t>Feb 2018</t>
  </si>
  <si>
    <t>Mar 2018</t>
  </si>
  <si>
    <t>Apr 2018</t>
  </si>
  <si>
    <t>May 2018</t>
  </si>
  <si>
    <t>Total production January 2018</t>
  </si>
  <si>
    <t>Total production Fabruary 2018</t>
  </si>
  <si>
    <t>Total production March 2018</t>
  </si>
  <si>
    <t>Total production April 2018</t>
  </si>
  <si>
    <t>Total production May 2018</t>
  </si>
  <si>
    <t>Input Saba Electric June 2nd (Excel file 'new production 2016 - 2017 - 2018)</t>
  </si>
  <si>
    <t>May_1</t>
  </si>
  <si>
    <t>May_2</t>
  </si>
  <si>
    <t>Invoice 10 May 2017</t>
  </si>
  <si>
    <t>Invoice 11 May 2017</t>
  </si>
  <si>
    <t>Invoice 29 May 2017</t>
  </si>
  <si>
    <t>May_3</t>
  </si>
  <si>
    <t>May_4</t>
  </si>
  <si>
    <t>June_1</t>
  </si>
  <si>
    <t>Invoice 13 June 2017</t>
  </si>
  <si>
    <t>Invoice 14 June 2017</t>
  </si>
  <si>
    <t>June_2</t>
  </si>
  <si>
    <t>June_3</t>
  </si>
  <si>
    <t>Invoice 26 June 2017</t>
  </si>
  <si>
    <t>June_4</t>
  </si>
  <si>
    <t>Invoice 15 May 2018</t>
  </si>
  <si>
    <t xml:space="preserve">Appendix 1 </t>
  </si>
  <si>
    <t xml:space="preserve">Amount to be corrected </t>
  </si>
  <si>
    <t xml:space="preserve">Key Parameters </t>
  </si>
  <si>
    <t>Total correction</t>
  </si>
  <si>
    <t>Correction Jul- dec 2017</t>
  </si>
  <si>
    <t>Correction Jan- may 2018</t>
  </si>
  <si>
    <t>USD/Liter</t>
  </si>
  <si>
    <t>New Estimation production price</t>
  </si>
  <si>
    <t xml:space="preserve">Estimation New production price </t>
  </si>
  <si>
    <t xml:space="preserve">New variable distribution tariff </t>
  </si>
  <si>
    <t xml:space="preserve">Total production </t>
  </si>
  <si>
    <t xml:space="preserve">New variable distribution tariff for the period 1 July to  31 December 2018 </t>
  </si>
  <si>
    <t>Key figures decision for variable distribution tariff for 1 July- 31 Dec 2018</t>
  </si>
  <si>
    <t>In the expected production the new solar park was not yet accounted for</t>
  </si>
  <si>
    <t>Correction for fuel price difference for Jan - May 2018</t>
  </si>
  <si>
    <t>Fuel price month May 2018</t>
  </si>
  <si>
    <t>Add-on per kWh for the fuel price difference</t>
  </si>
  <si>
    <t>Yes</t>
  </si>
  <si>
    <t>Contact information ACM</t>
  </si>
  <si>
    <t>Invoice June 1 2018</t>
  </si>
  <si>
    <t>Invoice June 2 2018</t>
  </si>
  <si>
    <t>January - May 2018</t>
  </si>
  <si>
    <t>most recente fuel price</t>
  </si>
  <si>
    <t>Most recent fuel price</t>
  </si>
  <si>
    <t>ACM/UIT/495887</t>
  </si>
  <si>
    <t>ACM/18/033308</t>
  </si>
  <si>
    <t>Beschikking tot vaststelling van het maximale variabele gebruikstarief van elektriciteit per 1 juli 2018 voor SEC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</si>
</sst>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_(* #,##0.00_);_(* \(#,##0.00\);_(* &quot;-&quot;??_);_(@_)"/>
    <numFmt numFmtId="167" formatCode="_([$€]* #,##0.00_);_([$€]* \(#,##0.00\);_([$€]* &quot;-&quot;??_);_(@_)"/>
    <numFmt numFmtId="168" formatCode="_ * #,##0.0000_ ;_ * \-#,##0.0000_ ;_ * &quot;-&quot;??_ ;_ @_ "/>
    <numFmt numFmtId="169" formatCode="#,##0.0000"/>
    <numFmt numFmtId="170" formatCode="_ * #,##0_ ;_ * \-#,##0_ ;_ * &quot;-&quot;????_ ;_ @_ "/>
    <numFmt numFmtId="171" formatCode="0.0%"/>
    <numFmt numFmtId="172" formatCode="0.0000"/>
  </numFmts>
  <fonts count="6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color indexed="8"/>
      <name val="MS Sans Serif"/>
      <family val="2"/>
    </font>
    <font>
      <sz val="10"/>
      <name val="Times New Roman"/>
      <family val="1"/>
    </font>
    <font>
      <sz val="8"/>
      <color indexed="81"/>
      <name val="Tahoma"/>
      <family val="2"/>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sz val="12"/>
      <name val="Times New Roman"/>
      <family val="1"/>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10"/>
      <color rgb="FF000000"/>
      <name val="Arial"/>
      <family val="2"/>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8"/>
      <name val="Arial"/>
      <family val="2"/>
    </font>
    <font>
      <b/>
      <sz val="14"/>
      <color theme="0"/>
      <name val="Arial"/>
      <family val="2"/>
    </font>
    <font>
      <b/>
      <sz val="10"/>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14"/>
      <name val="Arial"/>
      <family val="2"/>
    </font>
    <font>
      <i/>
      <sz val="10"/>
      <name val="Arial"/>
      <family val="2"/>
    </font>
    <font>
      <b/>
      <sz val="14"/>
      <color rgb="FFFF0000"/>
      <name val="Arial"/>
      <family val="2"/>
    </font>
    <font>
      <sz val="10"/>
      <name val="Arial"/>
      <family val="2"/>
    </font>
    <font>
      <u/>
      <sz val="11"/>
      <color theme="10"/>
      <name val="Calibri"/>
      <family val="2"/>
      <scheme val="minor"/>
    </font>
    <font>
      <u/>
      <sz val="10"/>
      <color theme="10"/>
      <name val="Arial"/>
      <family val="2"/>
    </font>
    <font>
      <b/>
      <i/>
      <sz val="10"/>
      <name val="Arial"/>
      <family val="2"/>
    </font>
    <font>
      <sz val="9.5"/>
      <color theme="1"/>
      <name val="Arial"/>
      <family val="2"/>
    </font>
  </fonts>
  <fills count="4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rgb="FFFFCCFF"/>
        <bgColor indexed="64"/>
      </patternFill>
    </fill>
    <fill>
      <patternFill patternType="solid">
        <fgColor rgb="FFCCFFCC"/>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C99"/>
        <bgColor indexed="64"/>
      </patternFill>
    </fill>
    <fill>
      <patternFill patternType="solid">
        <fgColor theme="0" tint="-0.249977111117893"/>
        <bgColor indexed="64"/>
      </patternFill>
    </fill>
    <fill>
      <patternFill patternType="solid">
        <fgColor rgb="FF5F1F7A"/>
        <bgColor indexed="64"/>
      </patternFill>
    </fill>
    <fill>
      <patternFill patternType="solid">
        <fgColor rgb="FFADB2C9"/>
        <bgColor indexed="64"/>
      </patternFill>
    </fill>
    <fill>
      <patternFill patternType="solid">
        <fgColor rgb="FFCCC8D9"/>
        <bgColor indexed="64"/>
      </patternFill>
    </fill>
    <fill>
      <patternFill patternType="solid">
        <fgColor rgb="FFFF00FF"/>
        <bgColor indexed="64"/>
      </patternFill>
    </fill>
    <fill>
      <patternFill patternType="solid">
        <fgColor rgb="FF7030A0"/>
        <bgColor indexed="64"/>
      </patternFill>
    </fill>
    <fill>
      <patternFill patternType="solid">
        <fgColor indexed="43"/>
        <bgColor indexed="64"/>
      </patternFill>
    </fill>
    <fill>
      <patternFill patternType="solid">
        <fgColor indexed="14"/>
        <bgColor indexed="64"/>
      </patternFill>
    </fill>
    <fill>
      <patternFill patternType="solid">
        <fgColor theme="0" tint="-4.9989318521683403E-2"/>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5">
    <xf numFmtId="0" fontId="0"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165" fontId="9" fillId="0" borderId="0" applyFont="0" applyFill="0" applyBorder="0" applyAlignment="0" applyProtection="0"/>
    <xf numFmtId="0" fontId="9" fillId="0" borderId="0"/>
    <xf numFmtId="0" fontId="7" fillId="0" borderId="0"/>
    <xf numFmtId="0" fontId="7" fillId="0" borderId="0"/>
    <xf numFmtId="0" fontId="7" fillId="0" borderId="0"/>
    <xf numFmtId="0" fontId="7" fillId="0" borderId="0"/>
    <xf numFmtId="0" fontId="8" fillId="0" borderId="0"/>
    <xf numFmtId="0" fontId="7" fillId="0" borderId="0"/>
    <xf numFmtId="0" fontId="11" fillId="10" borderId="0" applyNumberFormat="0" applyBorder="0" applyAlignment="0" applyProtection="0"/>
    <xf numFmtId="0" fontId="12" fillId="10" borderId="0" applyNumberFormat="0" applyBorder="0" applyAlignment="0" applyProtection="0"/>
    <xf numFmtId="0" fontId="11"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6" borderId="0" applyNumberFormat="0" applyBorder="0" applyAlignment="0" applyProtection="0"/>
    <xf numFmtId="0" fontId="11"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8"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1" fillId="16" borderId="0" applyNumberFormat="0" applyBorder="0" applyAlignment="0" applyProtection="0"/>
    <xf numFmtId="0" fontId="12" fillId="16" borderId="0" applyNumberFormat="0" applyBorder="0" applyAlignment="0" applyProtection="0"/>
    <xf numFmtId="0" fontId="11" fillId="19"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8" borderId="0" applyNumberFormat="0" applyBorder="0" applyAlignment="0" applyProtection="0"/>
    <xf numFmtId="0" fontId="14" fillId="18" borderId="0" applyNumberFormat="0" applyBorder="0" applyAlignment="0" applyProtection="0"/>
    <xf numFmtId="0" fontId="13" fillId="21"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25" borderId="0" applyNumberFormat="0" applyBorder="0" applyAlignment="0" applyProtection="0"/>
    <xf numFmtId="0" fontId="14" fillId="25" borderId="0" applyNumberFormat="0" applyBorder="0" applyAlignment="0" applyProtection="0"/>
    <xf numFmtId="0" fontId="13" fillId="26" borderId="0" applyNumberFormat="0" applyBorder="0" applyAlignment="0" applyProtection="0"/>
    <xf numFmtId="0" fontId="14" fillId="26" borderId="0" applyNumberFormat="0" applyBorder="0" applyAlignment="0" applyProtection="0"/>
    <xf numFmtId="0" fontId="13" fillId="21"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4" fillId="22" borderId="0" applyNumberFormat="0" applyBorder="0" applyAlignment="0" applyProtection="0"/>
    <xf numFmtId="0" fontId="13" fillId="27" borderId="0" applyNumberFormat="0" applyBorder="0" applyAlignment="0" applyProtection="0"/>
    <xf numFmtId="0" fontId="14" fillId="27"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7" fillId="28" borderId="3" applyNumberFormat="0" applyAlignment="0" applyProtection="0"/>
    <xf numFmtId="0" fontId="17" fillId="28" borderId="3" applyNumberFormat="0" applyAlignment="0" applyProtection="0"/>
    <xf numFmtId="0" fontId="18" fillId="28" borderId="3" applyNumberFormat="0" applyAlignment="0" applyProtection="0"/>
    <xf numFmtId="0" fontId="19" fillId="29" borderId="4" applyNumberFormat="0" applyAlignment="0" applyProtection="0"/>
    <xf numFmtId="0" fontId="20" fillId="29" borderId="4" applyNumberFormat="0" applyAlignment="0" applyProtection="0"/>
    <xf numFmtId="166" fontId="21" fillId="0" borderId="0" applyFont="0" applyFill="0" applyBorder="0" applyAlignment="0" applyProtection="0"/>
    <xf numFmtId="0" fontId="19" fillId="29" borderId="4" applyNumberFormat="0" applyAlignment="0" applyProtection="0"/>
    <xf numFmtId="167" fontId="7" fillId="0" borderId="0" applyFont="0" applyFill="0" applyBorder="0" applyAlignment="0" applyProtection="0"/>
    <xf numFmtId="167" fontId="7"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12"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7" fillId="0" borderId="0"/>
    <xf numFmtId="0" fontId="28" fillId="0" borderId="6"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3"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5" borderId="3" applyNumberFormat="0" applyAlignment="0" applyProtection="0"/>
    <xf numFmtId="0" fontId="35" fillId="15" borderId="3" applyNumberFormat="0" applyAlignment="0" applyProtection="0"/>
    <xf numFmtId="0" fontId="34" fillId="15" borderId="3"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xf numFmtId="0" fontId="28" fillId="0" borderId="6" applyNumberFormat="0" applyFill="0" applyAlignment="0" applyProtection="0"/>
    <xf numFmtId="0" fontId="30"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4" fillId="0" borderId="5" applyNumberFormat="0" applyFill="0" applyAlignment="0" applyProtection="0"/>
    <xf numFmtId="0" fontId="36" fillId="0" borderId="5" applyNumberFormat="0" applyFill="0" applyAlignment="0" applyProtection="0"/>
    <xf numFmtId="0" fontId="37" fillId="30" borderId="0" applyNumberFormat="0" applyBorder="0" applyAlignment="0" applyProtection="0"/>
    <xf numFmtId="0" fontId="37" fillId="30" borderId="0" applyNumberFormat="0" applyBorder="0" applyAlignment="0" applyProtection="0"/>
    <xf numFmtId="0" fontId="38" fillId="30" borderId="0" applyNumberFormat="0" applyBorder="0" applyAlignment="0" applyProtection="0"/>
    <xf numFmtId="0" fontId="39" fillId="0" borderId="0"/>
    <xf numFmtId="0" fontId="40" fillId="0" borderId="0"/>
    <xf numFmtId="0" fontId="7" fillId="31" borderId="9" applyNumberFormat="0" applyFont="0" applyAlignment="0" applyProtection="0"/>
    <xf numFmtId="0" fontId="21" fillId="31" borderId="9" applyNumberFormat="0" applyFont="0" applyAlignment="0" applyProtection="0"/>
    <xf numFmtId="0" fontId="7" fillId="31" borderId="9" applyNumberFormat="0" applyFont="0" applyAlignment="0" applyProtection="0"/>
    <xf numFmtId="0" fontId="15" fillId="11" borderId="0" applyNumberFormat="0" applyBorder="0" applyAlignment="0" applyProtection="0"/>
    <xf numFmtId="0" fontId="41" fillId="28" borderId="10" applyNumberFormat="0" applyAlignment="0" applyProtection="0"/>
    <xf numFmtId="0" fontId="42" fillId="28" borderId="10" applyNumberFormat="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0" fontId="43" fillId="0" borderId="0"/>
    <xf numFmtId="0" fontId="43" fillId="0" borderId="0"/>
    <xf numFmtId="0" fontId="7" fillId="0" borderId="0"/>
    <xf numFmtId="0" fontId="7" fillId="0" borderId="0"/>
    <xf numFmtId="0" fontId="7" fillId="0" borderId="0"/>
    <xf numFmtId="0" fontId="7" fillId="0" borderId="0" applyFill="0"/>
    <xf numFmtId="0" fontId="6"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1" applyNumberFormat="0" applyFill="0" applyAlignment="0" applyProtection="0"/>
    <xf numFmtId="0" fontId="45" fillId="0" borderId="11" applyNumberFormat="0" applyFill="0" applyAlignment="0" applyProtection="0"/>
    <xf numFmtId="0" fontId="46" fillId="0" borderId="11" applyNumberFormat="0" applyFill="0" applyAlignment="0" applyProtection="0"/>
    <xf numFmtId="0" fontId="41" fillId="28" borderId="10" applyNumberFormat="0" applyAlignment="0" applyProtection="0"/>
    <xf numFmtId="0" fontId="2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ont="0" applyBorder="0" applyAlignment="0" applyProtection="0"/>
    <xf numFmtId="0" fontId="7" fillId="0" borderId="0"/>
    <xf numFmtId="0" fontId="7" fillId="0" borderId="0"/>
    <xf numFmtId="44" fontId="7" fillId="0" borderId="0" applyFont="0" applyFill="0" applyBorder="0" applyAlignment="0" applyProtection="0"/>
    <xf numFmtId="49" fontId="50" fillId="34" borderId="1">
      <alignment vertical="top"/>
    </xf>
    <xf numFmtId="49" fontId="51" fillId="35" borderId="1">
      <alignment vertical="top"/>
    </xf>
    <xf numFmtId="0" fontId="7" fillId="0" borderId="0">
      <alignment vertical="top"/>
    </xf>
    <xf numFmtId="49" fontId="51" fillId="36" borderId="1">
      <alignment vertical="top"/>
    </xf>
    <xf numFmtId="49" fontId="51" fillId="0" borderId="0">
      <alignment vertical="top"/>
    </xf>
    <xf numFmtId="43" fontId="7" fillId="9" borderId="0">
      <alignment vertical="top"/>
    </xf>
    <xf numFmtId="43" fontId="7" fillId="3" borderId="0">
      <alignment vertical="top"/>
    </xf>
    <xf numFmtId="43" fontId="7" fillId="7" borderId="0">
      <alignment vertical="top"/>
    </xf>
    <xf numFmtId="43" fontId="7" fillId="8" borderId="0">
      <alignment vertical="top"/>
    </xf>
    <xf numFmtId="43" fontId="7" fillId="37" borderId="0">
      <alignment vertical="top"/>
    </xf>
    <xf numFmtId="43" fontId="7" fillId="32" borderId="0">
      <alignment vertical="top"/>
    </xf>
    <xf numFmtId="49" fontId="55" fillId="0" borderId="0">
      <alignment vertical="top"/>
    </xf>
    <xf numFmtId="49" fontId="57" fillId="0" borderId="0">
      <alignment vertical="top"/>
    </xf>
    <xf numFmtId="0" fontId="59" fillId="0" borderId="0"/>
    <xf numFmtId="166" fontId="59" fillId="0" borderId="0" applyFont="0" applyFill="0" applyBorder="0" applyAlignment="0" applyProtection="0"/>
    <xf numFmtId="0" fontId="60" fillId="0" borderId="0" applyNumberFormat="0" applyFill="0" applyBorder="0" applyAlignment="0" applyProtection="0"/>
  </cellStyleXfs>
  <cellXfs count="100">
    <xf numFmtId="0" fontId="0" fillId="0" borderId="0" xfId="0"/>
    <xf numFmtId="0" fontId="0" fillId="33" borderId="0" xfId="0" applyFill="1"/>
    <xf numFmtId="49" fontId="50" fillId="34" borderId="1" xfId="139" applyFont="1">
      <alignment vertical="top"/>
    </xf>
    <xf numFmtId="0" fontId="52" fillId="0" borderId="0" xfId="0" applyFont="1"/>
    <xf numFmtId="0" fontId="7" fillId="0" borderId="0" xfId="0" applyFont="1"/>
    <xf numFmtId="0" fontId="53" fillId="0" borderId="0" xfId="0" applyFont="1"/>
    <xf numFmtId="0" fontId="52" fillId="0" borderId="0" xfId="0" applyFont="1" applyFill="1"/>
    <xf numFmtId="0" fontId="50" fillId="34" borderId="1" xfId="141" applyFont="1" applyFill="1" applyBorder="1">
      <alignment vertical="top"/>
    </xf>
    <xf numFmtId="0" fontId="56" fillId="34" borderId="1" xfId="141" applyFont="1" applyFill="1" applyBorder="1">
      <alignment vertical="top"/>
    </xf>
    <xf numFmtId="0" fontId="7" fillId="0" borderId="0" xfId="141" applyFont="1">
      <alignment vertical="top"/>
    </xf>
    <xf numFmtId="0" fontId="7" fillId="0" borderId="0" xfId="141">
      <alignment vertical="top"/>
    </xf>
    <xf numFmtId="49" fontId="51" fillId="36" borderId="1" xfId="142">
      <alignment vertical="top"/>
    </xf>
    <xf numFmtId="0" fontId="7" fillId="0" borderId="0" xfId="141" applyFill="1">
      <alignment vertical="top"/>
    </xf>
    <xf numFmtId="0" fontId="7" fillId="0" borderId="2" xfId="141" applyFont="1" applyBorder="1" applyAlignment="1">
      <alignment horizontal="left" vertical="top" wrapText="1"/>
    </xf>
    <xf numFmtId="0" fontId="7" fillId="0" borderId="2" xfId="141" applyBorder="1" applyAlignment="1">
      <alignment horizontal="left" vertical="top" wrapText="1"/>
    </xf>
    <xf numFmtId="0" fontId="55" fillId="0" borderId="0" xfId="141" applyFont="1">
      <alignment vertical="top"/>
    </xf>
    <xf numFmtId="0" fontId="50" fillId="38" borderId="1" xfId="141" applyFont="1" applyFill="1" applyBorder="1">
      <alignment vertical="top"/>
    </xf>
    <xf numFmtId="0" fontId="56" fillId="38" borderId="1" xfId="141" applyFont="1" applyFill="1" applyBorder="1">
      <alignment vertical="top"/>
    </xf>
    <xf numFmtId="0" fontId="58" fillId="38" borderId="1" xfId="141" applyFont="1" applyFill="1" applyBorder="1">
      <alignment vertical="top"/>
    </xf>
    <xf numFmtId="0" fontId="51" fillId="0" borderId="0" xfId="141" applyFont="1">
      <alignment vertical="top"/>
    </xf>
    <xf numFmtId="0" fontId="55" fillId="0" borderId="0" xfId="141" applyFont="1" applyFill="1">
      <alignment vertical="top"/>
    </xf>
    <xf numFmtId="0" fontId="7" fillId="4" borderId="0" xfId="141" applyFill="1">
      <alignment vertical="top"/>
    </xf>
    <xf numFmtId="0" fontId="7" fillId="5" borderId="0" xfId="141" applyFill="1">
      <alignment vertical="top"/>
    </xf>
    <xf numFmtId="0" fontId="7" fillId="39" borderId="0" xfId="141" applyFill="1">
      <alignment vertical="top"/>
    </xf>
    <xf numFmtId="0" fontId="7" fillId="6" borderId="0" xfId="141" applyFill="1">
      <alignment vertical="top"/>
    </xf>
    <xf numFmtId="0" fontId="7" fillId="2" borderId="0" xfId="141" applyFill="1">
      <alignment vertical="top"/>
    </xf>
    <xf numFmtId="0" fontId="57" fillId="0" borderId="0" xfId="141" applyFont="1" applyFill="1">
      <alignment vertical="top"/>
    </xf>
    <xf numFmtId="1" fontId="7" fillId="7" borderId="0" xfId="141" applyNumberFormat="1" applyFill="1">
      <alignment vertical="top"/>
    </xf>
    <xf numFmtId="2" fontId="7" fillId="40" borderId="0" xfId="141" applyNumberFormat="1" applyFill="1">
      <alignment vertical="top"/>
    </xf>
    <xf numFmtId="1" fontId="7" fillId="0" borderId="0" xfId="141" applyNumberFormat="1" applyFill="1">
      <alignment vertical="top"/>
    </xf>
    <xf numFmtId="0" fontId="57" fillId="0" borderId="0" xfId="141" applyFont="1">
      <alignment vertical="top"/>
    </xf>
    <xf numFmtId="0" fontId="7" fillId="6" borderId="0" xfId="141" applyFont="1" applyFill="1">
      <alignment vertical="top"/>
    </xf>
    <xf numFmtId="0" fontId="7" fillId="4" borderId="0" xfId="141" applyFont="1" applyFill="1">
      <alignment vertical="top"/>
    </xf>
    <xf numFmtId="0" fontId="7" fillId="39" borderId="0" xfId="141" applyFont="1" applyFill="1">
      <alignment vertical="top"/>
    </xf>
    <xf numFmtId="0" fontId="7" fillId="41" borderId="0" xfId="141" applyFill="1">
      <alignment vertical="top"/>
    </xf>
    <xf numFmtId="49" fontId="7" fillId="36" borderId="0" xfId="142" applyFont="1" applyBorder="1">
      <alignment vertical="top"/>
    </xf>
    <xf numFmtId="0" fontId="5" fillId="0" borderId="0" xfId="0" applyFont="1"/>
    <xf numFmtId="0" fontId="54" fillId="0" borderId="0" xfId="141" applyFont="1">
      <alignment vertical="top"/>
    </xf>
    <xf numFmtId="0" fontId="50" fillId="34" borderId="1" xfId="139" applyNumberFormat="1">
      <alignment vertical="top"/>
    </xf>
    <xf numFmtId="49" fontId="5" fillId="0" borderId="0" xfId="0" applyNumberFormat="1" applyFont="1"/>
    <xf numFmtId="49" fontId="51" fillId="36" borderId="1" xfId="142" applyFont="1">
      <alignment vertical="top"/>
    </xf>
    <xf numFmtId="164" fontId="7" fillId="32" borderId="0" xfId="149" applyNumberFormat="1">
      <alignment vertical="top"/>
    </xf>
    <xf numFmtId="168" fontId="7" fillId="32" borderId="0" xfId="149" applyNumberFormat="1">
      <alignment vertical="top"/>
    </xf>
    <xf numFmtId="10" fontId="7" fillId="32" borderId="0" xfId="2" applyNumberFormat="1" applyFont="1" applyFill="1" applyAlignment="1">
      <alignment vertical="top"/>
    </xf>
    <xf numFmtId="168" fontId="7" fillId="3" borderId="0" xfId="1" applyNumberFormat="1" applyFont="1" applyFill="1" applyAlignment="1">
      <alignment vertical="top"/>
    </xf>
    <xf numFmtId="168" fontId="7" fillId="9" borderId="0" xfId="1" applyNumberFormat="1" applyFont="1" applyFill="1" applyAlignment="1">
      <alignment vertical="top"/>
    </xf>
    <xf numFmtId="168" fontId="7" fillId="32" borderId="0" xfId="1" applyNumberFormat="1" applyFont="1" applyFill="1" applyAlignment="1">
      <alignment vertical="top"/>
    </xf>
    <xf numFmtId="170" fontId="7" fillId="9" borderId="0" xfId="141" applyNumberFormat="1" applyFill="1">
      <alignment vertical="top"/>
    </xf>
    <xf numFmtId="164" fontId="7" fillId="32" borderId="0" xfId="1" applyNumberFormat="1" applyFont="1" applyFill="1" applyAlignment="1">
      <alignment vertical="top"/>
    </xf>
    <xf numFmtId="0" fontId="4" fillId="0" borderId="0" xfId="0" applyFont="1"/>
    <xf numFmtId="168" fontId="7" fillId="8" borderId="0" xfId="147" applyNumberFormat="1">
      <alignment vertical="top"/>
    </xf>
    <xf numFmtId="164" fontId="7" fillId="8" borderId="0" xfId="147" applyNumberFormat="1">
      <alignment vertical="top"/>
    </xf>
    <xf numFmtId="164" fontId="7" fillId="3" borderId="0" xfId="145" applyNumberFormat="1">
      <alignment vertical="top"/>
    </xf>
    <xf numFmtId="168" fontId="7" fillId="3" borderId="0" xfId="145" applyNumberFormat="1">
      <alignment vertical="top"/>
    </xf>
    <xf numFmtId="171" fontId="7" fillId="8" borderId="0" xfId="2" applyNumberFormat="1" applyFont="1" applyFill="1" applyAlignment="1">
      <alignment vertical="top"/>
    </xf>
    <xf numFmtId="171" fontId="7" fillId="32" borderId="0" xfId="2" applyNumberFormat="1" applyFont="1" applyFill="1" applyAlignment="1">
      <alignment vertical="top"/>
    </xf>
    <xf numFmtId="169" fontId="5" fillId="8" borderId="0" xfId="0" applyNumberFormat="1" applyFont="1" applyFill="1"/>
    <xf numFmtId="164" fontId="5" fillId="8" borderId="0" xfId="1" applyNumberFormat="1" applyFont="1" applyFill="1"/>
    <xf numFmtId="164" fontId="7" fillId="8" borderId="0" xfId="1" applyNumberFormat="1" applyFont="1" applyFill="1" applyAlignment="1">
      <alignment vertical="top"/>
    </xf>
    <xf numFmtId="169" fontId="7" fillId="8" borderId="0" xfId="141" applyNumberFormat="1" applyFill="1">
      <alignment vertical="top"/>
    </xf>
    <xf numFmtId="0" fontId="3" fillId="0" borderId="0" xfId="0" applyFont="1"/>
    <xf numFmtId="16" fontId="7" fillId="0" borderId="0" xfId="141" applyNumberFormat="1">
      <alignment vertical="top"/>
    </xf>
    <xf numFmtId="16" fontId="7" fillId="0" borderId="0" xfId="141" applyNumberFormat="1" applyAlignment="1">
      <alignment horizontal="left" vertical="top"/>
    </xf>
    <xf numFmtId="0" fontId="2" fillId="0" borderId="0" xfId="0" applyFont="1"/>
    <xf numFmtId="49" fontId="51" fillId="36" borderId="1" xfId="142" applyAlignment="1">
      <alignment vertical="top" wrapText="1"/>
    </xf>
    <xf numFmtId="43" fontId="7" fillId="32" borderId="0" xfId="149">
      <alignment vertical="top"/>
    </xf>
    <xf numFmtId="168" fontId="7" fillId="0" borderId="0" xfId="141" applyNumberFormat="1">
      <alignment vertical="top"/>
    </xf>
    <xf numFmtId="164" fontId="7" fillId="0" borderId="0" xfId="141" applyNumberFormat="1">
      <alignment vertical="top"/>
    </xf>
    <xf numFmtId="172" fontId="7" fillId="9" borderId="0" xfId="141" applyNumberFormat="1" applyFill="1">
      <alignment vertical="top"/>
    </xf>
    <xf numFmtId="172" fontId="7" fillId="0" borderId="0" xfId="141" applyNumberFormat="1">
      <alignment vertical="top"/>
    </xf>
    <xf numFmtId="168" fontId="7" fillId="32" borderId="0" xfId="141" applyNumberFormat="1" applyFill="1">
      <alignment vertical="top"/>
    </xf>
    <xf numFmtId="164" fontId="7" fillId="32" borderId="0" xfId="141" applyNumberFormat="1" applyFill="1">
      <alignment vertical="top"/>
    </xf>
    <xf numFmtId="168" fontId="7" fillId="3" borderId="0" xfId="141" applyNumberFormat="1" applyFill="1">
      <alignment vertical="top"/>
    </xf>
    <xf numFmtId="168" fontId="7" fillId="0" borderId="0" xfId="141" applyNumberFormat="1" applyFill="1">
      <alignment vertical="top"/>
    </xf>
    <xf numFmtId="170" fontId="7" fillId="3" borderId="0" xfId="141" applyNumberFormat="1" applyFill="1">
      <alignment vertical="top"/>
    </xf>
    <xf numFmtId="10" fontId="7" fillId="8" borderId="0" xfId="2" applyNumberFormat="1" applyFont="1" applyFill="1" applyAlignment="1">
      <alignment vertical="top"/>
    </xf>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0" xfId="0" applyFont="1" applyBorder="1"/>
    <xf numFmtId="0" fontId="2" fillId="0" borderId="18" xfId="0" applyFont="1" applyBorder="1"/>
    <xf numFmtId="0" fontId="53" fillId="0" borderId="0" xfId="0" applyFont="1" applyBorder="1"/>
    <xf numFmtId="171" fontId="2" fillId="41" borderId="0" xfId="2" applyNumberFormat="1" applyFont="1" applyFill="1" applyBorder="1"/>
    <xf numFmtId="164" fontId="2" fillId="41" borderId="0" xfId="1" applyNumberFormat="1" applyFont="1" applyFill="1" applyBorder="1"/>
    <xf numFmtId="0" fontId="3" fillId="0" borderId="0" xfId="0" applyFont="1" applyBorder="1"/>
    <xf numFmtId="0" fontId="7" fillId="0" borderId="0" xfId="141" applyBorder="1">
      <alignment vertical="top"/>
    </xf>
    <xf numFmtId="10" fontId="2" fillId="41" borderId="0" xfId="0" applyNumberFormat="1" applyFont="1" applyFill="1" applyBorder="1"/>
    <xf numFmtId="0" fontId="2" fillId="0" borderId="19" xfId="0" applyFont="1" applyBorder="1"/>
    <xf numFmtId="0" fontId="2" fillId="0" borderId="20" xfId="0" applyFont="1" applyBorder="1"/>
    <xf numFmtId="0" fontId="2" fillId="0" borderId="21" xfId="0" applyFont="1" applyBorder="1"/>
    <xf numFmtId="49" fontId="51" fillId="36" borderId="12" xfId="142" applyBorder="1">
      <alignment vertical="top"/>
    </xf>
    <xf numFmtId="49" fontId="51" fillId="36" borderId="1" xfId="142" applyBorder="1">
      <alignment vertical="top"/>
    </xf>
    <xf numFmtId="49" fontId="51" fillId="36" borderId="13" xfId="142" applyBorder="1">
      <alignment vertical="top"/>
    </xf>
    <xf numFmtId="0" fontId="1" fillId="0" borderId="0" xfId="0" applyFont="1" applyBorder="1"/>
    <xf numFmtId="168" fontId="2" fillId="41" borderId="0" xfId="1" applyNumberFormat="1" applyFont="1" applyFill="1" applyBorder="1"/>
    <xf numFmtId="0" fontId="61" fillId="0" borderId="0" xfId="154" applyFont="1" applyAlignment="1">
      <alignment vertical="top"/>
    </xf>
    <xf numFmtId="168" fontId="7" fillId="0" borderId="0" xfId="148" applyNumberFormat="1" applyFill="1">
      <alignment vertical="top"/>
    </xf>
    <xf numFmtId="0" fontId="62" fillId="0" borderId="0" xfId="141" applyFont="1">
      <alignment vertical="top"/>
    </xf>
    <xf numFmtId="0" fontId="63" fillId="0" borderId="2" xfId="0" applyFont="1" applyBorder="1"/>
  </cellXfs>
  <cellStyles count="155">
    <cellStyle name="_x000d__x000a_JournalTemplate=C:\COMFO\CTALK\JOURSTD.TPL_x000d__x000a_LbStateAddress=3 3 0 251 1 89 2 311_x000d__x000a_LbStateJou" xfId="6"/>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8"/>
    <cellStyle name="_x000d__x000a_JournalTemplate=C:\COMFO\CTALK\JOURSTD.TPL_x000d__x000a_LbStateAddress=3 3 0 251 1 89 2 311_x000d__x000a_LbStateJou 3" xfId="9"/>
    <cellStyle name="_x000d__x000a_JournalTemplate=C:\COMFO\CTALK\JOURSTD.TPL_x000d__x000a_LbStateAddress=3 3 0 251 1 89 2 311_x000d__x000a_LbStateJou 4" xfId="10"/>
    <cellStyle name="_x000d__x000a_JournalTemplate=C:\COMFO\CTALK\JOURSTD.TPL_x000d__x000a_LbStateAddress=3 3 0 251 1 89 2 311_x000d__x000a_LbStateJou_100720 berekening x-factoren NG4R v4.2" xfId="11"/>
    <cellStyle name="_kop1 Bladtitel" xfId="139"/>
    <cellStyle name="_kop2 Bloktitel" xfId="140"/>
    <cellStyle name="_kop2 Bloktitel 2" xfId="142"/>
    <cellStyle name="_kop3 Subkop" xfId="143"/>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3" xfId="49"/>
    <cellStyle name="Accent2 2" xfId="50"/>
    <cellStyle name="Accent2 3" xfId="51"/>
    <cellStyle name="Accent3 2" xfId="52"/>
    <cellStyle name="Accent3 3" xfId="53"/>
    <cellStyle name="Accent4 2" xfId="54"/>
    <cellStyle name="Accent4 3" xfId="55"/>
    <cellStyle name="Accent5 2" xfId="56"/>
    <cellStyle name="Accent5 3" xfId="57"/>
    <cellStyle name="Accent6 2" xfId="58"/>
    <cellStyle name="Accent6 3" xfId="59"/>
    <cellStyle name="Bad" xfId="60"/>
    <cellStyle name="Bad 2" xfId="61"/>
    <cellStyle name="Berekening 2" xfId="62"/>
    <cellStyle name="Calculation" xfId="63"/>
    <cellStyle name="Calculation 2" xfId="64"/>
    <cellStyle name="Cel (tussen)resultaat" xfId="144"/>
    <cellStyle name="Cel Berekening" xfId="145"/>
    <cellStyle name="Cel Bijzonderheid" xfId="146"/>
    <cellStyle name="Cel Input" xfId="147"/>
    <cellStyle name="Cel PM extern" xfId="148"/>
    <cellStyle name="Cel Verwijzing" xfId="149"/>
    <cellStyle name="Check Cell" xfId="65"/>
    <cellStyle name="Check Cell 2" xfId="66"/>
    <cellStyle name="Comma 2" xfId="67"/>
    <cellStyle name="Comma 3" xfId="4"/>
    <cellStyle name="Controlecel 2" xfId="68"/>
    <cellStyle name="Euro" xfId="69"/>
    <cellStyle name="Euro 2" xfId="70"/>
    <cellStyle name="Explanatory Text" xfId="71"/>
    <cellStyle name="Explanatory Text 2" xfId="72"/>
    <cellStyle name="Gekoppelde cel 2" xfId="73"/>
    <cellStyle name="Goed 2" xfId="74"/>
    <cellStyle name="Good" xfId="75"/>
    <cellStyle name="Good 2" xfId="76"/>
    <cellStyle name="Header"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154" builtinId="8"/>
    <cellStyle name="Input" xfId="86"/>
    <cellStyle name="Input 2" xfId="87"/>
    <cellStyle name="Invoer 2" xfId="88"/>
    <cellStyle name="Komma" xfId="1" builtinId="3"/>
    <cellStyle name="Komma 14 2" xfId="89"/>
    <cellStyle name="Komma 2" xfId="90"/>
    <cellStyle name="Komma 2 2" xfId="91"/>
    <cellStyle name="Komma 2 3" xfId="92"/>
    <cellStyle name="Komma 3" xfId="93"/>
    <cellStyle name="Komma 3 2" xfId="94"/>
    <cellStyle name="Komma 4" xfId="95"/>
    <cellStyle name="Komma 5" xfId="96"/>
    <cellStyle name="Komma 6" xfId="153"/>
    <cellStyle name="Kop 1 2" xfId="97"/>
    <cellStyle name="Kop 2 2" xfId="98"/>
    <cellStyle name="Kop 3 2" xfId="99"/>
    <cellStyle name="Kop 4 2" xfId="100"/>
    <cellStyle name="Linked Cell" xfId="101"/>
    <cellStyle name="Linked Cell 2" xfId="102"/>
    <cellStyle name="Neutraal 2" xfId="103"/>
    <cellStyle name="Neutral" xfId="104"/>
    <cellStyle name="Neutral 2" xfId="105"/>
    <cellStyle name="Normal 14" xfId="136"/>
    <cellStyle name="Normal 2" xfId="106"/>
    <cellStyle name="Normal 3" xfId="5"/>
    <cellStyle name="Normal_# klanten" xfId="107"/>
    <cellStyle name="Note" xfId="108"/>
    <cellStyle name="Note 2" xfId="109"/>
    <cellStyle name="Notitie 2" xfId="110"/>
    <cellStyle name="Ongeldig 2" xfId="111"/>
    <cellStyle name="Opm. INTERN" xfId="150"/>
    <cellStyle name="Output" xfId="112"/>
    <cellStyle name="Output 2" xfId="113"/>
    <cellStyle name="Procent" xfId="2" builtinId="5"/>
    <cellStyle name="Procent 2" xfId="114"/>
    <cellStyle name="Procent 3" xfId="115"/>
    <cellStyle name="Procent 4" xfId="116"/>
    <cellStyle name="Standaard" xfId="0" builtinId="0"/>
    <cellStyle name="Standaard 2" xfId="117"/>
    <cellStyle name="Standaard 2 2" xfId="118"/>
    <cellStyle name="Standaard 2 3" xfId="119"/>
    <cellStyle name="Standaard 2 4" xfId="120"/>
    <cellStyle name="Standaard 3" xfId="121"/>
    <cellStyle name="Standaard 3 2" xfId="137"/>
    <cellStyle name="Standaard 4" xfId="122"/>
    <cellStyle name="Standaard 5" xfId="123"/>
    <cellStyle name="Standaard 6" xfId="3"/>
    <cellStyle name="Standaard 7" xfId="152"/>
    <cellStyle name="Standaard ACM-DE" xfId="141"/>
    <cellStyle name="Titel 2" xfId="124"/>
    <cellStyle name="Title" xfId="125"/>
    <cellStyle name="Title 2" xfId="126"/>
    <cellStyle name="Toelichting" xfId="151"/>
    <cellStyle name="Totaal 2" xfId="127"/>
    <cellStyle name="Total" xfId="128"/>
    <cellStyle name="Total 2" xfId="129"/>
    <cellStyle name="Uitvoer 2" xfId="130"/>
    <cellStyle name="Valuta 2" xfId="138"/>
    <cellStyle name="Verklarende tekst 2" xfId="131"/>
    <cellStyle name="Waarschuwingstekst 2" xfId="132"/>
    <cellStyle name="Warning Text" xfId="133"/>
    <cellStyle name="Warning Text 2" xfId="134"/>
    <cellStyle name="WIt" xfId="135"/>
  </cellStyles>
  <dxfs count="0"/>
  <tableStyles count="0" defaultTableStyle="TableStyleMedium2" defaultPivotStyle="PivotStyleMedium9"/>
  <colors>
    <mruColors>
      <color rgb="FFCCFFFF"/>
      <color rgb="FFCCFFCC"/>
      <color rgb="FFFFFFCC"/>
      <color rgb="FFFF00FF"/>
      <color rgb="FFFFCC99"/>
      <color rgb="FFFFCC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ibischNederland@acm.nl" TargetMode="External"/><Relationship Id="rId1" Type="http://schemas.openxmlformats.org/officeDocument/2006/relationships/hyperlink" Target="mailto:marga.buys-trimp@acm.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29"/>
  <sheetViews>
    <sheetView showGridLines="0" tabSelected="1" zoomScale="85" zoomScaleNormal="85" workbookViewId="0">
      <pane ySplit="3" topLeftCell="A4" activePane="bottomLeft" state="frozen"/>
      <selection activeCell="A4" sqref="A4"/>
      <selection pane="bottomLeft"/>
    </sheetView>
  </sheetViews>
  <sheetFormatPr defaultRowHeight="12.75"/>
  <cols>
    <col min="1" max="1" width="2.85546875" style="10" customWidth="1"/>
    <col min="2" max="2" width="39.85546875" style="10" customWidth="1"/>
    <col min="3" max="3" width="96.28515625" style="10" customWidth="1"/>
    <col min="4" max="16384" width="9.140625" style="10"/>
  </cols>
  <sheetData>
    <row r="2" spans="2:3" s="8" customFormat="1" ht="18">
      <c r="B2" s="7" t="s">
        <v>55</v>
      </c>
    </row>
    <row r="6" spans="2:3">
      <c r="B6" s="9"/>
    </row>
    <row r="13" spans="2:3" s="11" customFormat="1">
      <c r="B13" s="11" t="s">
        <v>56</v>
      </c>
    </row>
    <row r="14" spans="2:3" s="12" customFormat="1"/>
    <row r="15" spans="2:3">
      <c r="B15" s="13" t="s">
        <v>57</v>
      </c>
      <c r="C15" s="99" t="s">
        <v>283</v>
      </c>
    </row>
    <row r="16" spans="2:3">
      <c r="B16" s="13" t="s">
        <v>58</v>
      </c>
      <c r="C16" s="14" t="s">
        <v>98</v>
      </c>
    </row>
    <row r="17" spans="2:3">
      <c r="B17" s="13" t="s">
        <v>7</v>
      </c>
      <c r="C17" s="14" t="s">
        <v>284</v>
      </c>
    </row>
    <row r="18" spans="2:3">
      <c r="B18" s="13" t="s">
        <v>8</v>
      </c>
      <c r="C18" s="99" t="s">
        <v>282</v>
      </c>
    </row>
    <row r="21" spans="2:3" s="11" customFormat="1">
      <c r="B21" s="11" t="s">
        <v>59</v>
      </c>
    </row>
    <row r="23" spans="2:3">
      <c r="B23" s="13" t="s">
        <v>60</v>
      </c>
      <c r="C23" s="14" t="s">
        <v>275</v>
      </c>
    </row>
    <row r="26" spans="2:3" s="11" customFormat="1">
      <c r="B26" s="11" t="s">
        <v>276</v>
      </c>
    </row>
    <row r="27" spans="2:3">
      <c r="C27" s="9"/>
    </row>
    <row r="28" spans="2:3">
      <c r="B28" s="9" t="s">
        <v>185</v>
      </c>
      <c r="C28" s="96" t="s">
        <v>186</v>
      </c>
    </row>
    <row r="29" spans="2:3">
      <c r="B29" s="10" t="s">
        <v>187</v>
      </c>
      <c r="C29" s="96" t="s">
        <v>188</v>
      </c>
    </row>
  </sheetData>
  <hyperlinks>
    <hyperlink ref="C28" r:id="rId1"/>
    <hyperlink ref="C29" r:id="rId2"/>
  </hyperlinks>
  <pageMargins left="0.75" right="0.75" top="1" bottom="1" header="0.5" footer="0.5"/>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64"/>
  <sheetViews>
    <sheetView showGridLines="0" zoomScale="85" zoomScaleNormal="85" workbookViewId="0">
      <pane xSplit="6" ySplit="10" topLeftCell="G32" activePane="bottomRight" state="frozen"/>
      <selection activeCell="J76" sqref="J76"/>
      <selection pane="topRight" activeCell="J76" sqref="J76"/>
      <selection pane="bottomLeft" activeCell="J76" sqref="J76"/>
      <selection pane="bottomRight"/>
    </sheetView>
  </sheetViews>
  <sheetFormatPr defaultRowHeight="12.75"/>
  <cols>
    <col min="1" max="1" width="4" style="10" customWidth="1"/>
    <col min="2" max="2" width="59.5703125" style="10" customWidth="1"/>
    <col min="3" max="5" width="3.5703125" style="10" customWidth="1"/>
    <col min="6" max="6" width="25.7109375" style="10" customWidth="1"/>
    <col min="7" max="7" width="3.5703125" style="10" customWidth="1"/>
    <col min="8" max="8" width="25.7109375" style="10" customWidth="1"/>
    <col min="9" max="9" width="3.5703125" style="10" customWidth="1"/>
    <col min="10" max="10" width="25.7109375" style="10" customWidth="1"/>
    <col min="11" max="11" width="3.5703125" style="10" customWidth="1"/>
    <col min="12" max="12" width="25.7109375" style="10" customWidth="1"/>
    <col min="13" max="13" width="3.5703125" style="10" customWidth="1"/>
    <col min="14" max="16384" width="9.140625" style="10"/>
  </cols>
  <sheetData>
    <row r="2" spans="2:10" s="38" customFormat="1" ht="18">
      <c r="B2" s="38" t="s">
        <v>194</v>
      </c>
    </row>
    <row r="4" spans="2:10">
      <c r="B4" s="19" t="s">
        <v>32</v>
      </c>
      <c r="C4" s="19"/>
      <c r="D4" s="19"/>
    </row>
    <row r="5" spans="2:10">
      <c r="B5" s="9" t="s">
        <v>195</v>
      </c>
      <c r="C5" s="9"/>
      <c r="D5" s="9"/>
      <c r="H5" s="37"/>
    </row>
    <row r="6" spans="2:10">
      <c r="B6" s="9"/>
      <c r="C6" s="9"/>
      <c r="D6" s="9"/>
      <c r="H6" s="37"/>
    </row>
    <row r="8" spans="2:10">
      <c r="B8" s="9"/>
    </row>
    <row r="9" spans="2:10" s="11" customFormat="1" ht="25.5">
      <c r="B9" s="11" t="s">
        <v>33</v>
      </c>
      <c r="F9" s="64" t="s">
        <v>199</v>
      </c>
      <c r="H9" s="64" t="s">
        <v>200</v>
      </c>
      <c r="J9" s="64" t="s">
        <v>201</v>
      </c>
    </row>
    <row r="12" spans="2:10" s="11" customFormat="1">
      <c r="B12" s="11" t="s">
        <v>197</v>
      </c>
    </row>
    <row r="14" spans="2:10">
      <c r="B14" s="19" t="s">
        <v>198</v>
      </c>
    </row>
    <row r="16" spans="2:10">
      <c r="B16" s="65" t="str">
        <f>'Input data fuel purchase'!B20</f>
        <v>May_1</v>
      </c>
      <c r="F16" s="42">
        <f>'Input data fuel purchase'!H20</f>
        <v>0.66869999999999996</v>
      </c>
      <c r="H16" s="41">
        <f>'Input data fuel purchase'!L20</f>
        <v>43000</v>
      </c>
    </row>
    <row r="17" spans="2:10">
      <c r="B17" s="65" t="str">
        <f>'Input data fuel purchase'!B21</f>
        <v>May_2</v>
      </c>
      <c r="F17" s="42">
        <f>'Input data fuel purchase'!H21</f>
        <v>0.66869999999999996</v>
      </c>
      <c r="H17" s="41">
        <f>'Input data fuel purchase'!L21</f>
        <v>43500</v>
      </c>
    </row>
    <row r="18" spans="2:10">
      <c r="B18" s="65" t="str">
        <f>'Input data fuel purchase'!B22</f>
        <v>May_3</v>
      </c>
      <c r="F18" s="42">
        <f>'Input data fuel purchase'!H22</f>
        <v>0.66869999999999996</v>
      </c>
      <c r="H18" s="41">
        <f>'Input data fuel purchase'!L22</f>
        <v>15961</v>
      </c>
    </row>
    <row r="19" spans="2:10">
      <c r="B19" s="65" t="str">
        <f>'Input data fuel purchase'!B23</f>
        <v>May_4</v>
      </c>
      <c r="F19" s="42">
        <f>'Input data fuel purchase'!H23</f>
        <v>0.66579999999999995</v>
      </c>
      <c r="H19" s="41">
        <f>'Input data fuel purchase'!L23</f>
        <v>112039</v>
      </c>
      <c r="J19" s="68">
        <f>SUMPRODUCT(F16:F19,H16:H19)/SUM(H16:H19)</f>
        <v>0.66718525361305359</v>
      </c>
    </row>
    <row r="20" spans="2:10">
      <c r="B20" s="65" t="str">
        <f>'Input data fuel purchase'!B24</f>
        <v>June_1</v>
      </c>
      <c r="F20" s="42">
        <f>'Input data fuel purchase'!H24</f>
        <v>0.66579999999999995</v>
      </c>
      <c r="H20" s="41">
        <f>'Input data fuel purchase'!L24</f>
        <v>85500</v>
      </c>
    </row>
    <row r="21" spans="2:10">
      <c r="B21" s="65" t="str">
        <f>'Input data fuel purchase'!B25</f>
        <v>June_2</v>
      </c>
      <c r="F21" s="42">
        <f>'Input data fuel purchase'!H25</f>
        <v>0.66579999999999995</v>
      </c>
      <c r="H21" s="41">
        <f>'Input data fuel purchase'!L25</f>
        <v>16000</v>
      </c>
    </row>
    <row r="22" spans="2:10">
      <c r="B22" s="65" t="str">
        <f>'Input data fuel purchase'!B26</f>
        <v>June_3</v>
      </c>
      <c r="F22" s="42">
        <f>'Input data fuel purchase'!H26</f>
        <v>0.66579999999999995</v>
      </c>
      <c r="H22" s="41">
        <f>'Input data fuel purchase'!L26</f>
        <v>39642</v>
      </c>
    </row>
    <row r="23" spans="2:10">
      <c r="B23" s="65" t="str">
        <f>'Input data fuel purchase'!B27</f>
        <v>June_4</v>
      </c>
      <c r="F23" s="42">
        <f>'Input data fuel purchase'!H27</f>
        <v>0.63070000000000004</v>
      </c>
      <c r="H23" s="41">
        <f>'Input data fuel purchase'!L27</f>
        <v>30558</v>
      </c>
      <c r="J23" s="68">
        <f>SUMPRODUCT(F20:F23,H20:H23)/SUM(H20:H23)</f>
        <v>0.6595531403610948</v>
      </c>
    </row>
    <row r="24" spans="2:10">
      <c r="B24" s="65" t="str">
        <f>'Input data fuel purchase'!B28</f>
        <v>July_1</v>
      </c>
      <c r="F24" s="42">
        <f>'Input data fuel purchase'!H28</f>
        <v>0.60370000000000001</v>
      </c>
      <c r="H24" s="41">
        <f>'Input data fuel purchase'!L28</f>
        <v>43000</v>
      </c>
    </row>
    <row r="25" spans="2:10">
      <c r="B25" s="65" t="str">
        <f>'Input data fuel purchase'!B29</f>
        <v>July_2</v>
      </c>
      <c r="F25" s="42">
        <f>'Input data fuel purchase'!H29</f>
        <v>0.60880000000000001</v>
      </c>
      <c r="H25" s="41">
        <f>'Input data fuel purchase'!L29</f>
        <v>43500</v>
      </c>
      <c r="J25" s="68">
        <f>SUMPRODUCT(F24:F25,H24:H25)/SUM(H24:H25)</f>
        <v>0.60626473988439311</v>
      </c>
    </row>
    <row r="26" spans="2:10">
      <c r="B26" s="65" t="str">
        <f>'Input data fuel purchase'!B30</f>
        <v>August_1</v>
      </c>
      <c r="F26" s="42">
        <f>'Input data fuel purchase'!H30</f>
        <v>0.66020000000000001</v>
      </c>
      <c r="H26" s="41">
        <f>'Input data fuel purchase'!L30</f>
        <v>43000</v>
      </c>
    </row>
    <row r="27" spans="2:10">
      <c r="B27" s="65" t="str">
        <f>'Input data fuel purchase'!B31</f>
        <v>August_2</v>
      </c>
      <c r="F27" s="42">
        <f>'Input data fuel purchase'!H31</f>
        <v>0.60370000000000001</v>
      </c>
      <c r="H27" s="41">
        <f>'Input data fuel purchase'!L31</f>
        <v>31652</v>
      </c>
      <c r="J27" s="69"/>
    </row>
    <row r="28" spans="2:10">
      <c r="B28" s="65" t="str">
        <f>'Input data fuel purchase'!B32</f>
        <v>August_3</v>
      </c>
      <c r="F28" s="42">
        <f>'Input data fuel purchase'!H32</f>
        <v>0.66020000000000001</v>
      </c>
      <c r="H28" s="41">
        <f>'Input data fuel purchase'!L32</f>
        <v>10348</v>
      </c>
    </row>
    <row r="29" spans="2:10">
      <c r="B29" s="65" t="str">
        <f>'Input data fuel purchase'!B33</f>
        <v>August_4</v>
      </c>
      <c r="F29" s="42">
        <f>'Input data fuel purchase'!H33</f>
        <v>0.66020000000000001</v>
      </c>
      <c r="H29" s="41">
        <f>'Input data fuel purchase'!L33</f>
        <v>130500</v>
      </c>
      <c r="J29" s="68">
        <f>SUMPRODUCT(F26:F29,H26:H29)/SUM(H26:H29)</f>
        <v>0.65190144779582371</v>
      </c>
    </row>
    <row r="30" spans="2:10">
      <c r="B30" s="65" t="str">
        <f>'Input data fuel purchase'!B34</f>
        <v>September_1</v>
      </c>
      <c r="F30" s="42">
        <f>'Input data fuel purchase'!H34</f>
        <v>0.66020000000000001</v>
      </c>
      <c r="H30" s="41">
        <f>'Input data fuel purchase'!L34</f>
        <v>173250</v>
      </c>
      <c r="J30" s="69"/>
    </row>
    <row r="31" spans="2:10">
      <c r="B31" s="65" t="str">
        <f>'Input data fuel purchase'!B35</f>
        <v>September_2</v>
      </c>
      <c r="F31" s="42">
        <f>'Input data fuel purchase'!H35</f>
        <v>0.66020000000000001</v>
      </c>
      <c r="H31" s="41">
        <f>'Input data fuel purchase'!L35</f>
        <v>43100</v>
      </c>
    </row>
    <row r="32" spans="2:10">
      <c r="B32" s="65" t="str">
        <f>'Input data fuel purchase'!B36</f>
        <v>September_3</v>
      </c>
      <c r="F32" s="42">
        <f>'Input data fuel purchase'!H36</f>
        <v>0.66020000000000001</v>
      </c>
      <c r="H32" s="41">
        <f>'Input data fuel purchase'!L36</f>
        <v>28000</v>
      </c>
      <c r="J32" s="68">
        <f>SUMPRODUCT(F30:F32,H30:H32)/SUM(H30:H32)</f>
        <v>0.66020000000000012</v>
      </c>
    </row>
    <row r="33" spans="2:10">
      <c r="B33" s="65" t="str">
        <f>'Input data fuel purchase'!B37</f>
        <v>October_1</v>
      </c>
      <c r="F33" s="42">
        <f>'Input data fuel purchase'!H37</f>
        <v>0.66020000000000001</v>
      </c>
      <c r="H33" s="41">
        <f>'Input data fuel purchase'!L37</f>
        <v>37793</v>
      </c>
      <c r="J33" s="69"/>
    </row>
    <row r="34" spans="2:10">
      <c r="B34" s="65" t="str">
        <f>'Input data fuel purchase'!B38</f>
        <v>October_2</v>
      </c>
      <c r="F34" s="42">
        <f>'Input data fuel purchase'!H38</f>
        <v>0.71950000000000003</v>
      </c>
      <c r="H34" s="41">
        <f>'Input data fuel purchase'!L38</f>
        <v>11407</v>
      </c>
      <c r="J34" s="69"/>
    </row>
    <row r="35" spans="2:10">
      <c r="B35" s="65" t="str">
        <f>'Input data fuel purchase'!B39</f>
        <v>October_3</v>
      </c>
      <c r="F35" s="42">
        <f>'Input data fuel purchase'!H39</f>
        <v>0.71950000000000003</v>
      </c>
      <c r="H35" s="41">
        <f>'Input data fuel purchase'!L39</f>
        <v>60500</v>
      </c>
      <c r="J35" s="69"/>
    </row>
    <row r="36" spans="2:10">
      <c r="B36" s="65" t="str">
        <f>'Input data fuel purchase'!B40</f>
        <v>October_4</v>
      </c>
      <c r="F36" s="42">
        <f>'Input data fuel purchase'!H40</f>
        <v>0.71950000000000003</v>
      </c>
      <c r="H36" s="41">
        <f>'Input data fuel purchase'!L40</f>
        <v>43000</v>
      </c>
    </row>
    <row r="37" spans="2:10">
      <c r="B37" s="65" t="str">
        <f>'Input data fuel purchase'!B41</f>
        <v>October_5</v>
      </c>
      <c r="F37" s="42">
        <f>'Input data fuel purchase'!H41</f>
        <v>0.71950000000000003</v>
      </c>
      <c r="H37" s="41">
        <f>'Input data fuel purchase'!L41</f>
        <v>85700</v>
      </c>
      <c r="J37" s="68">
        <f>SUMPRODUCT(F33:F37,H33:H37)/SUM(H33:H37)</f>
        <v>0.71009930830536905</v>
      </c>
    </row>
    <row r="38" spans="2:10">
      <c r="B38" s="65" t="str">
        <f>'Input data fuel purchase'!B42</f>
        <v>November_1</v>
      </c>
      <c r="F38" s="42">
        <f>'Input data fuel purchase'!H42</f>
        <v>0.71950000000000003</v>
      </c>
      <c r="H38" s="41">
        <f>'Input data fuel purchase'!L42</f>
        <v>38760</v>
      </c>
      <c r="J38" s="69"/>
    </row>
    <row r="39" spans="2:10">
      <c r="B39" s="65" t="str">
        <f>'Input data fuel purchase'!B43</f>
        <v>November_2</v>
      </c>
      <c r="F39" s="42">
        <f>'Input data fuel purchase'!H43</f>
        <v>0.66839999999999999</v>
      </c>
      <c r="H39" s="41">
        <f>'Input data fuel purchase'!L43</f>
        <v>48740</v>
      </c>
      <c r="J39" s="69"/>
    </row>
    <row r="40" spans="2:10">
      <c r="B40" s="65" t="str">
        <f>'Input data fuel purchase'!B44</f>
        <v>November_3</v>
      </c>
      <c r="F40" s="42">
        <f>'Input data fuel purchase'!H44</f>
        <v>0.74309999999999998</v>
      </c>
      <c r="H40" s="41">
        <f>'Input data fuel purchase'!L44</f>
        <v>29700</v>
      </c>
    </row>
    <row r="41" spans="2:10">
      <c r="B41" s="65" t="str">
        <f>'Input data fuel purchase'!B45</f>
        <v>November_4</v>
      </c>
      <c r="F41" s="42">
        <f>'Input data fuel purchase'!H45</f>
        <v>0.71330000000000005</v>
      </c>
      <c r="H41" s="41">
        <f>'Input data fuel purchase'!L45</f>
        <v>86400</v>
      </c>
      <c r="J41" s="68">
        <f>SUMPRODUCT(F38:F41,H38:H41)/SUM(H38:H41)</f>
        <v>0.70807871316306481</v>
      </c>
    </row>
    <row r="42" spans="2:10">
      <c r="B42" s="65" t="str">
        <f>'Input data fuel purchase'!B46</f>
        <v>December_1</v>
      </c>
      <c r="F42" s="42">
        <f>'Input data fuel purchase'!H46</f>
        <v>0.68840000000000001</v>
      </c>
      <c r="H42" s="41">
        <f>'Input data fuel purchase'!L46</f>
        <v>29363</v>
      </c>
    </row>
    <row r="43" spans="2:10">
      <c r="B43" s="65" t="str">
        <f>'Input data fuel purchase'!B47</f>
        <v>December_2</v>
      </c>
      <c r="F43" s="42">
        <f>'Input data fuel purchase'!H47</f>
        <v>0.74490000000000001</v>
      </c>
      <c r="H43" s="41">
        <f>'Input data fuel purchase'!L47</f>
        <v>143637</v>
      </c>
      <c r="J43" s="68">
        <f>SUMPRODUCT(F42:F43,H42:H43)/SUM(H42:H43)</f>
        <v>0.73531034971098264</v>
      </c>
    </row>
    <row r="44" spans="2:10">
      <c r="F44" s="66"/>
      <c r="H44" s="67"/>
      <c r="J44" s="69"/>
    </row>
    <row r="45" spans="2:10">
      <c r="B45" s="19" t="s">
        <v>279</v>
      </c>
      <c r="F45" s="66"/>
      <c r="H45" s="67"/>
      <c r="J45" s="69"/>
    </row>
    <row r="46" spans="2:10">
      <c r="F46" s="66"/>
      <c r="H46" s="67"/>
      <c r="J46" s="69"/>
    </row>
    <row r="47" spans="2:10">
      <c r="B47" s="65" t="str">
        <f>'Input data fuel purchase'!B54</f>
        <v>January_1</v>
      </c>
      <c r="F47" s="42">
        <f>'Input data fuel purchase'!H54</f>
        <v>0.74490000000000001</v>
      </c>
      <c r="H47" s="41">
        <f>'Input data fuel purchase'!L54</f>
        <v>43200</v>
      </c>
      <c r="J47" s="69"/>
    </row>
    <row r="48" spans="2:10">
      <c r="B48" s="65" t="str">
        <f>'Input data fuel purchase'!B55</f>
        <v>January_2</v>
      </c>
      <c r="F48" s="42">
        <f>'Input data fuel purchase'!H55</f>
        <v>0.74490000000000001</v>
      </c>
      <c r="H48" s="41">
        <f>'Input data fuel purchase'!L55</f>
        <v>55752</v>
      </c>
      <c r="J48" s="69"/>
    </row>
    <row r="49" spans="2:10">
      <c r="B49" s="65" t="str">
        <f>'Input data fuel purchase'!B56</f>
        <v>January_3</v>
      </c>
      <c r="F49" s="42">
        <f>'Input data fuel purchase'!H56</f>
        <v>0.78159999999999996</v>
      </c>
      <c r="H49" s="41">
        <f>'Input data fuel purchase'!L56</f>
        <v>29998</v>
      </c>
      <c r="J49" s="69"/>
    </row>
    <row r="50" spans="2:10">
      <c r="B50" s="65" t="str">
        <f>'Input data fuel purchase'!B57</f>
        <v>January_4</v>
      </c>
      <c r="F50" s="42">
        <f>'Input data fuel purchase'!H57</f>
        <v>0.78159999999999996</v>
      </c>
      <c r="H50" s="41">
        <f>'Input data fuel purchase'!L57</f>
        <v>42500</v>
      </c>
      <c r="J50" s="68">
        <f>SUMPRODUCT(F47:F50,H47:H50)/SUM(H47:H50)</f>
        <v>0.76041867366579174</v>
      </c>
    </row>
    <row r="51" spans="2:10">
      <c r="B51" s="65" t="str">
        <f>'Input data fuel purchase'!B58</f>
        <v>Feburary_1</v>
      </c>
      <c r="F51" s="42">
        <f>'Input data fuel purchase'!H58</f>
        <v>0.78159999999999996</v>
      </c>
      <c r="H51" s="41">
        <f>'Input data fuel purchase'!L58</f>
        <v>43000</v>
      </c>
      <c r="J51" s="69"/>
    </row>
    <row r="52" spans="2:10">
      <c r="B52" s="65" t="str">
        <f>'Input data fuel purchase'!B59</f>
        <v>Feburary_2</v>
      </c>
      <c r="F52" s="42">
        <f>'Input data fuel purchase'!H59</f>
        <v>0.78159999999999996</v>
      </c>
      <c r="H52" s="41">
        <f>'Input data fuel purchase'!L59</f>
        <v>86700</v>
      </c>
      <c r="J52" s="68">
        <f>SUMPRODUCT(F51:F52,H51:H52)/SUM(H51:H52)</f>
        <v>0.78159999999999996</v>
      </c>
    </row>
    <row r="53" spans="2:10">
      <c r="B53" s="65" t="str">
        <f>'Input data fuel purchase'!B60</f>
        <v>March_1</v>
      </c>
      <c r="F53" s="42">
        <f>'Input data fuel purchase'!H60</f>
        <v>0.78159999999999996</v>
      </c>
      <c r="H53" s="41">
        <f>'Input data fuel purchase'!L60</f>
        <v>58002</v>
      </c>
      <c r="J53" s="69"/>
    </row>
    <row r="54" spans="2:10">
      <c r="B54" s="65" t="str">
        <f>'Input data fuel purchase'!B61</f>
        <v>March_2</v>
      </c>
      <c r="F54" s="42">
        <f>'Input data fuel purchase'!H61</f>
        <v>0.75329999999999997</v>
      </c>
      <c r="H54" s="41">
        <f>'Input data fuel purchase'!L61</f>
        <v>28998</v>
      </c>
      <c r="J54" s="69"/>
    </row>
    <row r="55" spans="2:10">
      <c r="B55" s="65" t="str">
        <f>'Input data fuel purchase'!B62</f>
        <v>March_3</v>
      </c>
      <c r="F55" s="42">
        <f>'Input data fuel purchase'!H62</f>
        <v>0.75329999999999997</v>
      </c>
      <c r="H55" s="41">
        <f>'Input data fuel purchase'!L62</f>
        <v>86900</v>
      </c>
      <c r="J55" s="69"/>
    </row>
    <row r="56" spans="2:10">
      <c r="B56" s="65" t="str">
        <f>'Input data fuel purchase'!B63</f>
        <v>March_4</v>
      </c>
      <c r="F56" s="42">
        <f>'Input data fuel purchase'!H63</f>
        <v>0.75329999999999997</v>
      </c>
      <c r="H56" s="41">
        <f>'Input data fuel purchase'!L63</f>
        <v>42700</v>
      </c>
      <c r="J56" s="68">
        <f>SUMPRODUCT(F53:F56,H53:H56)/SUM(H53:H56)</f>
        <v>0.76087828531855961</v>
      </c>
    </row>
    <row r="57" spans="2:10">
      <c r="B57" s="65" t="str">
        <f>'Input data fuel purchase'!B64</f>
        <v>April_1</v>
      </c>
      <c r="F57" s="42">
        <f>'Input data fuel purchase'!H64</f>
        <v>0.75329999999999997</v>
      </c>
      <c r="H57" s="41">
        <f>'Input data fuel purchase'!L64</f>
        <v>80235</v>
      </c>
      <c r="J57" s="69"/>
    </row>
    <row r="58" spans="2:10">
      <c r="B58" s="65" t="str">
        <f>'Input data fuel purchase'!B65</f>
        <v>April_2</v>
      </c>
      <c r="F58" s="42">
        <f>'Input data fuel purchase'!H65</f>
        <v>0.80420000000000003</v>
      </c>
      <c r="H58" s="41">
        <f>'Input data fuel purchase'!L65</f>
        <v>6165</v>
      </c>
      <c r="J58" s="69"/>
    </row>
    <row r="59" spans="2:10">
      <c r="B59" s="65" t="str">
        <f>'Input data fuel purchase'!B66</f>
        <v>April_3</v>
      </c>
      <c r="F59" s="42">
        <f>'Input data fuel purchase'!H66</f>
        <v>0.80420000000000003</v>
      </c>
      <c r="H59" s="41">
        <f>'Input data fuel purchase'!L66</f>
        <v>87000</v>
      </c>
      <c r="J59" s="68">
        <f>SUMPRODUCT(F57:F59,H57:H59)/SUM(H57:H59)</f>
        <v>0.78064774221453281</v>
      </c>
    </row>
    <row r="60" spans="2:10">
      <c r="B60" s="65" t="str">
        <f>'Input data fuel purchase'!B67</f>
        <v>May_1</v>
      </c>
      <c r="F60" s="42">
        <f>'Input data fuel purchase'!H67</f>
        <v>0.80420000000000003</v>
      </c>
      <c r="H60" s="41">
        <f>'Input data fuel purchase'!L67</f>
        <v>88100</v>
      </c>
      <c r="J60" s="68">
        <f>SUMPRODUCT(F60,H60)/SUM(H60)</f>
        <v>0.80420000000000003</v>
      </c>
    </row>
    <row r="61" spans="2:10">
      <c r="B61" s="65" t="str">
        <f>'Input data fuel purchase'!B68</f>
        <v>June_1</v>
      </c>
      <c r="F61" s="42">
        <f>'Input data fuel purchase'!H68</f>
        <v>0.80420000000000003</v>
      </c>
      <c r="H61" s="41">
        <f>'Input data fuel purchase'!L68</f>
        <v>43300</v>
      </c>
      <c r="J61" s="69"/>
    </row>
    <row r="62" spans="2:10">
      <c r="B62" s="65" t="str">
        <f>'Input data fuel purchase'!B69</f>
        <v>June_2</v>
      </c>
      <c r="F62" s="42">
        <f>'Input data fuel purchase'!H69</f>
        <v>0.80420000000000003</v>
      </c>
      <c r="H62" s="41">
        <f>'Input data fuel purchase'!L69</f>
        <v>12459</v>
      </c>
      <c r="J62" s="97"/>
    </row>
    <row r="64" spans="2:10">
      <c r="B64" s="98" t="s">
        <v>280</v>
      </c>
      <c r="F64" s="42">
        <f>F62</f>
        <v>0.80420000000000003</v>
      </c>
      <c r="J64" s="68">
        <f>F64</f>
        <v>0.80420000000000003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30"/>
  <sheetViews>
    <sheetView showGridLines="0" zoomScale="85" zoomScaleNormal="85" workbookViewId="0">
      <pane xSplit="6" ySplit="9" topLeftCell="G10" activePane="bottomRight" state="frozen"/>
      <selection activeCell="J76" sqref="J76"/>
      <selection pane="topRight" activeCell="J76" sqref="J76"/>
      <selection pane="bottomLeft" activeCell="J76" sqref="J76"/>
      <selection pane="bottomRight"/>
    </sheetView>
  </sheetViews>
  <sheetFormatPr defaultRowHeight="12.75"/>
  <cols>
    <col min="1" max="1" width="4" style="10" customWidth="1"/>
    <col min="2" max="2" width="64.140625" style="10" customWidth="1"/>
    <col min="3" max="5" width="4.5703125" style="10" customWidth="1"/>
    <col min="6" max="6" width="13.7109375" style="10" customWidth="1"/>
    <col min="7" max="7" width="2.7109375" style="10" customWidth="1"/>
    <col min="8" max="8" width="18.42578125" style="10" customWidth="1"/>
    <col min="9" max="9" width="2.7109375" style="10" customWidth="1"/>
    <col min="10" max="24" width="13.7109375" style="10" customWidth="1"/>
    <col min="25" max="16384" width="9.140625" style="10"/>
  </cols>
  <sheetData>
    <row r="2" spans="2:10" s="38" customFormat="1" ht="18">
      <c r="B2" s="38" t="s">
        <v>38</v>
      </c>
    </row>
    <row r="4" spans="2:10">
      <c r="B4" s="19" t="s">
        <v>32</v>
      </c>
      <c r="C4" s="19"/>
      <c r="D4" s="19"/>
    </row>
    <row r="5" spans="2:10">
      <c r="B5" s="9" t="s">
        <v>108</v>
      </c>
      <c r="C5" s="9"/>
      <c r="D5" s="9"/>
      <c r="H5" s="37"/>
    </row>
    <row r="6" spans="2:10">
      <c r="B6" s="9"/>
      <c r="C6" s="9"/>
      <c r="D6" s="9"/>
      <c r="H6" s="37"/>
    </row>
    <row r="8" spans="2:10" s="11" customFormat="1">
      <c r="B8" s="11" t="s">
        <v>33</v>
      </c>
      <c r="F8" s="11" t="s">
        <v>34</v>
      </c>
      <c r="H8" s="11" t="s">
        <v>35</v>
      </c>
      <c r="J8" s="11" t="s">
        <v>36</v>
      </c>
    </row>
    <row r="11" spans="2:10" s="11" customFormat="1">
      <c r="B11" s="11" t="s">
        <v>37</v>
      </c>
    </row>
    <row r="13" spans="2:10">
      <c r="B13" s="19" t="s">
        <v>28</v>
      </c>
    </row>
    <row r="14" spans="2:10">
      <c r="B14" s="10" t="s">
        <v>14</v>
      </c>
      <c r="F14" s="3" t="s">
        <v>1</v>
      </c>
      <c r="H14" s="41">
        <f>'Input data production'!H30</f>
        <v>9464730</v>
      </c>
    </row>
    <row r="15" spans="2:10">
      <c r="B15" s="10" t="s">
        <v>15</v>
      </c>
      <c r="F15" s="3" t="s">
        <v>1</v>
      </c>
      <c r="H15" s="41">
        <f>'Input data production'!H31</f>
        <v>0</v>
      </c>
      <c r="J15" s="10" t="s">
        <v>271</v>
      </c>
    </row>
    <row r="16" spans="2:10">
      <c r="B16" s="10" t="s">
        <v>16</v>
      </c>
      <c r="F16" s="3" t="s">
        <v>1</v>
      </c>
      <c r="H16" s="52">
        <f>H14+H15</f>
        <v>9464730</v>
      </c>
    </row>
    <row r="18" spans="2:10">
      <c r="B18" s="10" t="s">
        <v>17</v>
      </c>
      <c r="F18" s="10" t="s">
        <v>4</v>
      </c>
      <c r="H18" s="42">
        <f>'Input data production'!H34</f>
        <v>0.1352092174075851</v>
      </c>
    </row>
    <row r="19" spans="2:10">
      <c r="B19" s="10" t="s">
        <v>18</v>
      </c>
      <c r="F19" s="10" t="s">
        <v>2</v>
      </c>
      <c r="H19" s="42">
        <f>'Input data production'!H35</f>
        <v>0.2755372320055457</v>
      </c>
    </row>
    <row r="20" spans="2:10">
      <c r="B20" s="10" t="s">
        <v>19</v>
      </c>
      <c r="F20" s="10" t="s">
        <v>3</v>
      </c>
      <c r="H20" s="42">
        <f>'Input data production'!H36</f>
        <v>0.74309999999999998</v>
      </c>
    </row>
    <row r="21" spans="2:10">
      <c r="B21" s="10" t="s">
        <v>20</v>
      </c>
      <c r="F21" s="10" t="s">
        <v>4</v>
      </c>
      <c r="H21" s="53">
        <f>H19*H20*(H14/H16)</f>
        <v>0.20475171710332099</v>
      </c>
    </row>
    <row r="23" spans="2:10">
      <c r="B23" s="19" t="s">
        <v>281</v>
      </c>
    </row>
    <row r="24" spans="2:10">
      <c r="B24" s="10" t="s">
        <v>39</v>
      </c>
      <c r="F24" s="10" t="s">
        <v>3</v>
      </c>
      <c r="H24" s="42">
        <f>'Monthly fuel prices'!J64</f>
        <v>0.80420000000000003</v>
      </c>
      <c r="J24" s="15"/>
    </row>
    <row r="27" spans="2:10" s="11" customFormat="1">
      <c r="B27" s="11" t="s">
        <v>38</v>
      </c>
    </row>
    <row r="29" spans="2:10">
      <c r="B29" s="19" t="s">
        <v>40</v>
      </c>
    </row>
    <row r="30" spans="2:10">
      <c r="B30" s="10" t="s">
        <v>38</v>
      </c>
      <c r="F30" s="10" t="s">
        <v>4</v>
      </c>
      <c r="H30" s="45">
        <f>H18+H24*H19*(H14/H16)</f>
        <v>0.35679625938644499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X75"/>
  <sheetViews>
    <sheetView showGridLines="0" zoomScale="85" zoomScaleNormal="85" workbookViewId="0">
      <pane xSplit="6" ySplit="10" topLeftCell="G11" activePane="bottomRight" state="frozen"/>
      <selection activeCell="J76" sqref="J76"/>
      <selection pane="topRight" activeCell="J76" sqref="J76"/>
      <selection pane="bottomLeft" activeCell="J76" sqref="J76"/>
      <selection pane="bottomRight"/>
    </sheetView>
  </sheetViews>
  <sheetFormatPr defaultRowHeight="12.75"/>
  <cols>
    <col min="1" max="1" width="4" style="10" customWidth="1"/>
    <col min="2" max="2" width="70.7109375" style="10" customWidth="1"/>
    <col min="3" max="5" width="4.5703125" style="10" customWidth="1"/>
    <col min="6" max="6" width="23.42578125" style="10" customWidth="1"/>
    <col min="7" max="7" width="2.7109375" style="10" customWidth="1"/>
    <col min="8" max="8" width="20.42578125" style="10" customWidth="1"/>
    <col min="9" max="9" width="2.7109375" style="10" customWidth="1"/>
    <col min="10" max="22" width="15" style="10" customWidth="1"/>
    <col min="23" max="23" width="3.5703125" style="10" customWidth="1"/>
    <col min="24" max="24" width="15" style="10" customWidth="1"/>
    <col min="25" max="16384" width="9.140625" style="10"/>
  </cols>
  <sheetData>
    <row r="2" spans="2:24" s="38" customFormat="1" ht="18">
      <c r="B2" s="38" t="s">
        <v>97</v>
      </c>
    </row>
    <row r="4" spans="2:24">
      <c r="B4" s="19" t="s">
        <v>32</v>
      </c>
      <c r="C4" s="19"/>
      <c r="D4" s="19"/>
    </row>
    <row r="5" spans="2:24">
      <c r="B5" s="9" t="s">
        <v>109</v>
      </c>
      <c r="C5" s="9"/>
      <c r="D5" s="9"/>
      <c r="H5" s="37"/>
    </row>
    <row r="6" spans="2:24">
      <c r="B6" s="9" t="s">
        <v>96</v>
      </c>
      <c r="C6" s="9"/>
      <c r="D6" s="9"/>
      <c r="H6" s="37"/>
    </row>
    <row r="8" spans="2:24">
      <c r="B8" s="9"/>
    </row>
    <row r="9" spans="2:24" s="11" customFormat="1">
      <c r="B9" s="11" t="s">
        <v>33</v>
      </c>
      <c r="F9" s="11" t="s">
        <v>34</v>
      </c>
      <c r="H9" s="11" t="s">
        <v>35</v>
      </c>
      <c r="J9" s="11" t="s">
        <v>196</v>
      </c>
      <c r="K9" s="11" t="s">
        <v>225</v>
      </c>
      <c r="L9" s="11" t="s">
        <v>226</v>
      </c>
      <c r="M9" s="11" t="s">
        <v>227</v>
      </c>
      <c r="N9" s="11" t="s">
        <v>228</v>
      </c>
      <c r="O9" s="11" t="s">
        <v>229</v>
      </c>
      <c r="P9" s="11" t="s">
        <v>230</v>
      </c>
      <c r="Q9" s="11" t="s">
        <v>231</v>
      </c>
      <c r="R9" s="11" t="s">
        <v>232</v>
      </c>
      <c r="S9" s="11" t="s">
        <v>233</v>
      </c>
      <c r="T9" s="11" t="s">
        <v>234</v>
      </c>
      <c r="U9" s="11" t="s">
        <v>235</v>
      </c>
      <c r="V9" s="11" t="s">
        <v>236</v>
      </c>
      <c r="X9" s="11" t="s">
        <v>36</v>
      </c>
    </row>
    <row r="12" spans="2:24">
      <c r="B12" s="10" t="s">
        <v>46</v>
      </c>
      <c r="F12" s="10" t="s">
        <v>0</v>
      </c>
      <c r="H12" s="55">
        <f>'Input data fuel purchase'!H13</f>
        <v>-1.2999999999999999E-2</v>
      </c>
    </row>
    <row r="15" spans="2:24" s="11" customFormat="1">
      <c r="B15" s="11" t="s">
        <v>41</v>
      </c>
    </row>
    <row r="17" spans="2:8">
      <c r="B17" s="19" t="s">
        <v>13</v>
      </c>
    </row>
    <row r="18" spans="2:8">
      <c r="B18" s="10" t="s">
        <v>202</v>
      </c>
      <c r="F18" s="10" t="s">
        <v>1</v>
      </c>
      <c r="H18" s="48">
        <f>'Input data production'!H13</f>
        <v>9376000</v>
      </c>
    </row>
    <row r="19" spans="2:8">
      <c r="B19" s="10" t="s">
        <v>203</v>
      </c>
      <c r="F19" s="10" t="s">
        <v>1</v>
      </c>
      <c r="H19" s="48">
        <f>'Input data production'!H14</f>
        <v>0</v>
      </c>
    </row>
    <row r="20" spans="2:8">
      <c r="B20" s="10" t="s">
        <v>27</v>
      </c>
      <c r="F20" s="63" t="s">
        <v>1</v>
      </c>
      <c r="H20" s="52">
        <f>H18+H19</f>
        <v>9376000</v>
      </c>
    </row>
    <row r="21" spans="2:8">
      <c r="B21" s="19"/>
    </row>
    <row r="22" spans="2:8">
      <c r="B22" s="10" t="s">
        <v>17</v>
      </c>
      <c r="F22" s="10" t="s">
        <v>4</v>
      </c>
      <c r="H22" s="42">
        <f>'Input data production'!H17</f>
        <v>0.12070879648525522</v>
      </c>
    </row>
    <row r="23" spans="2:8">
      <c r="B23" s="10" t="s">
        <v>18</v>
      </c>
      <c r="F23" s="10" t="s">
        <v>2</v>
      </c>
      <c r="H23" s="42">
        <f>'Input data production'!H18</f>
        <v>0.25714900000000002</v>
      </c>
    </row>
    <row r="25" spans="2:8">
      <c r="B25" s="19" t="s">
        <v>204</v>
      </c>
    </row>
    <row r="26" spans="2:8">
      <c r="B26" s="10" t="s">
        <v>24</v>
      </c>
      <c r="F26" s="10" t="s">
        <v>4</v>
      </c>
      <c r="H26" s="42">
        <f>'Input data production'!H25</f>
        <v>0.29773016808525521</v>
      </c>
    </row>
    <row r="29" spans="2:8">
      <c r="B29" s="19" t="s">
        <v>28</v>
      </c>
    </row>
    <row r="30" spans="2:8">
      <c r="B30" s="10" t="s">
        <v>205</v>
      </c>
      <c r="F30" s="10" t="s">
        <v>1</v>
      </c>
      <c r="H30" s="48">
        <f>'Input data production'!H30</f>
        <v>9464730</v>
      </c>
    </row>
    <row r="31" spans="2:8">
      <c r="B31" s="10" t="s">
        <v>206</v>
      </c>
      <c r="F31" s="10" t="s">
        <v>1</v>
      </c>
      <c r="H31" s="48">
        <f>'Input data production'!H31</f>
        <v>0</v>
      </c>
    </row>
    <row r="32" spans="2:8">
      <c r="B32" s="10" t="s">
        <v>16</v>
      </c>
      <c r="F32" s="63" t="s">
        <v>1</v>
      </c>
      <c r="H32" s="52">
        <f>H30+H31</f>
        <v>9464730</v>
      </c>
    </row>
    <row r="34" spans="2:22">
      <c r="B34" s="10" t="s">
        <v>17</v>
      </c>
      <c r="F34" s="10" t="s">
        <v>4</v>
      </c>
      <c r="H34" s="42">
        <f>'Input data production'!H34</f>
        <v>0.1352092174075851</v>
      </c>
    </row>
    <row r="35" spans="2:22">
      <c r="B35" s="10" t="s">
        <v>18</v>
      </c>
      <c r="F35" s="10" t="s">
        <v>2</v>
      </c>
      <c r="H35" s="42">
        <f>'Input data production'!H35</f>
        <v>0.2755372320055457</v>
      </c>
    </row>
    <row r="36" spans="2:22">
      <c r="O36" s="15"/>
    </row>
    <row r="37" spans="2:22">
      <c r="B37" s="19" t="s">
        <v>207</v>
      </c>
    </row>
    <row r="38" spans="2:22">
      <c r="B38" s="10" t="s">
        <v>30</v>
      </c>
      <c r="F38" s="10" t="s">
        <v>4</v>
      </c>
      <c r="H38" s="42">
        <f>'Input data production'!H42</f>
        <v>0.33996093451090609</v>
      </c>
    </row>
    <row r="39" spans="2:22">
      <c r="B39" s="63"/>
    </row>
    <row r="40" spans="2:22">
      <c r="B40" s="5" t="s">
        <v>208</v>
      </c>
    </row>
    <row r="41" spans="2:22">
      <c r="B41" s="12" t="s">
        <v>209</v>
      </c>
      <c r="F41" s="10" t="s">
        <v>1</v>
      </c>
      <c r="L41" s="41">
        <f>'Input data production'!$H48</f>
        <v>860493</v>
      </c>
      <c r="M41" s="41">
        <f>'Input data production'!$H49</f>
        <v>835018</v>
      </c>
      <c r="N41" s="41">
        <f>'Input data production'!$H50</f>
        <v>685763</v>
      </c>
      <c r="O41" s="41">
        <f>'Input data production'!$H51</f>
        <v>794057</v>
      </c>
      <c r="P41" s="41">
        <f>'Input data production'!$H52</f>
        <v>758473</v>
      </c>
      <c r="Q41" s="41">
        <f>'Input data production'!$H53</f>
        <v>713242</v>
      </c>
      <c r="R41" s="41">
        <f>'Input data production'!H57</f>
        <v>711765</v>
      </c>
      <c r="S41" s="41">
        <f>'Input data production'!H61</f>
        <v>641269</v>
      </c>
      <c r="T41" s="41">
        <f>'Input data production'!H65</f>
        <v>752440</v>
      </c>
      <c r="U41" s="41">
        <f>'Input data production'!H69</f>
        <v>717766</v>
      </c>
      <c r="V41" s="41">
        <f>'Input data production'!H73</f>
        <v>754823</v>
      </c>
    </row>
    <row r="42" spans="2:22">
      <c r="B42" s="63"/>
    </row>
    <row r="44" spans="2:22" s="11" customFormat="1">
      <c r="B44" s="11" t="s">
        <v>210</v>
      </c>
    </row>
    <row r="46" spans="2:22">
      <c r="B46" s="10" t="s">
        <v>17</v>
      </c>
      <c r="F46" s="10" t="s">
        <v>4</v>
      </c>
      <c r="L46" s="70">
        <f>$H$22</f>
        <v>0.12070879648525522</v>
      </c>
      <c r="M46" s="70">
        <f t="shared" ref="M46:Q46" si="0">$H$22</f>
        <v>0.12070879648525522</v>
      </c>
      <c r="N46" s="70">
        <f t="shared" si="0"/>
        <v>0.12070879648525522</v>
      </c>
      <c r="O46" s="70">
        <f t="shared" si="0"/>
        <v>0.12070879648525522</v>
      </c>
      <c r="P46" s="70">
        <f t="shared" si="0"/>
        <v>0.12070879648525522</v>
      </c>
      <c r="Q46" s="70">
        <f t="shared" si="0"/>
        <v>0.12070879648525522</v>
      </c>
      <c r="R46" s="70">
        <f>$H$34</f>
        <v>0.1352092174075851</v>
      </c>
      <c r="S46" s="70">
        <f t="shared" ref="S46:V46" si="1">$H$34</f>
        <v>0.1352092174075851</v>
      </c>
      <c r="T46" s="70">
        <f t="shared" si="1"/>
        <v>0.1352092174075851</v>
      </c>
      <c r="U46" s="70">
        <f t="shared" si="1"/>
        <v>0.1352092174075851</v>
      </c>
      <c r="V46" s="70">
        <f t="shared" si="1"/>
        <v>0.1352092174075851</v>
      </c>
    </row>
    <row r="48" spans="2:22">
      <c r="B48" s="10" t="s">
        <v>211</v>
      </c>
      <c r="F48" s="10" t="s">
        <v>1</v>
      </c>
      <c r="L48" s="71">
        <f>$H$18</f>
        <v>9376000</v>
      </c>
      <c r="M48" s="71">
        <f t="shared" ref="M48:Q48" si="2">$H$18</f>
        <v>9376000</v>
      </c>
      <c r="N48" s="71">
        <f t="shared" si="2"/>
        <v>9376000</v>
      </c>
      <c r="O48" s="71">
        <f t="shared" si="2"/>
        <v>9376000</v>
      </c>
      <c r="P48" s="71">
        <f t="shared" si="2"/>
        <v>9376000</v>
      </c>
      <c r="Q48" s="71">
        <f t="shared" si="2"/>
        <v>9376000</v>
      </c>
      <c r="R48" s="71">
        <f>$H$30</f>
        <v>9464730</v>
      </c>
      <c r="S48" s="71">
        <f t="shared" ref="S48:V48" si="3">$H$30</f>
        <v>9464730</v>
      </c>
      <c r="T48" s="71">
        <f t="shared" si="3"/>
        <v>9464730</v>
      </c>
      <c r="U48" s="71">
        <f t="shared" si="3"/>
        <v>9464730</v>
      </c>
      <c r="V48" s="71">
        <f t="shared" si="3"/>
        <v>9464730</v>
      </c>
    </row>
    <row r="49" spans="1:22">
      <c r="B49" s="10" t="s">
        <v>212</v>
      </c>
      <c r="F49" s="10" t="s">
        <v>1</v>
      </c>
      <c r="L49" s="71">
        <f>$H$20</f>
        <v>9376000</v>
      </c>
      <c r="M49" s="71">
        <f t="shared" ref="M49:Q49" si="4">$H$20</f>
        <v>9376000</v>
      </c>
      <c r="N49" s="71">
        <f t="shared" si="4"/>
        <v>9376000</v>
      </c>
      <c r="O49" s="71">
        <f t="shared" si="4"/>
        <v>9376000</v>
      </c>
      <c r="P49" s="71">
        <f t="shared" si="4"/>
        <v>9376000</v>
      </c>
      <c r="Q49" s="71">
        <f t="shared" si="4"/>
        <v>9376000</v>
      </c>
      <c r="R49" s="71">
        <f>$H$32</f>
        <v>9464730</v>
      </c>
      <c r="S49" s="71">
        <f t="shared" ref="S49:V49" si="5">$H$32</f>
        <v>9464730</v>
      </c>
      <c r="T49" s="71">
        <f t="shared" si="5"/>
        <v>9464730</v>
      </c>
      <c r="U49" s="71">
        <f t="shared" si="5"/>
        <v>9464730</v>
      </c>
      <c r="V49" s="71">
        <f t="shared" si="5"/>
        <v>9464730</v>
      </c>
    </row>
    <row r="50" spans="1:22">
      <c r="B50" s="10" t="s">
        <v>18</v>
      </c>
      <c r="F50" s="10" t="s">
        <v>2</v>
      </c>
      <c r="L50" s="70">
        <f>$H$23</f>
        <v>0.25714900000000002</v>
      </c>
      <c r="M50" s="70">
        <f t="shared" ref="M50:Q50" si="6">$H$23</f>
        <v>0.25714900000000002</v>
      </c>
      <c r="N50" s="70">
        <f t="shared" si="6"/>
        <v>0.25714900000000002</v>
      </c>
      <c r="O50" s="70">
        <f t="shared" si="6"/>
        <v>0.25714900000000002</v>
      </c>
      <c r="P50" s="70">
        <f t="shared" si="6"/>
        <v>0.25714900000000002</v>
      </c>
      <c r="Q50" s="70">
        <f t="shared" si="6"/>
        <v>0.25714900000000002</v>
      </c>
      <c r="R50" s="70">
        <f>$H$35</f>
        <v>0.2755372320055457</v>
      </c>
      <c r="S50" s="70">
        <f t="shared" ref="S50:V50" si="7">$H$35</f>
        <v>0.2755372320055457</v>
      </c>
      <c r="T50" s="70">
        <f t="shared" si="7"/>
        <v>0.2755372320055457</v>
      </c>
      <c r="U50" s="70">
        <f t="shared" si="7"/>
        <v>0.2755372320055457</v>
      </c>
      <c r="V50" s="70">
        <f t="shared" si="7"/>
        <v>0.2755372320055457</v>
      </c>
    </row>
    <row r="52" spans="1:22">
      <c r="B52" s="10" t="s">
        <v>213</v>
      </c>
      <c r="F52" s="10" t="s">
        <v>3</v>
      </c>
      <c r="J52" s="42">
        <f>'Monthly fuel prices'!J19</f>
        <v>0.66718525361305359</v>
      </c>
      <c r="K52" s="42">
        <f>'Monthly fuel prices'!J23</f>
        <v>0.6595531403610948</v>
      </c>
      <c r="L52" s="42">
        <f>'Monthly fuel prices'!J25</f>
        <v>0.60626473988439311</v>
      </c>
      <c r="M52" s="42">
        <f>'Monthly fuel prices'!J29</f>
        <v>0.65190144779582371</v>
      </c>
      <c r="N52" s="42">
        <f>'Monthly fuel prices'!J32</f>
        <v>0.66020000000000012</v>
      </c>
      <c r="O52" s="42">
        <f>'Monthly fuel prices'!J37</f>
        <v>0.71009930830536905</v>
      </c>
      <c r="P52" s="42">
        <f>'Monthly fuel prices'!J41</f>
        <v>0.70807871316306481</v>
      </c>
      <c r="Q52" s="42">
        <f>'Monthly fuel prices'!J43</f>
        <v>0.73531034971098264</v>
      </c>
      <c r="R52" s="42">
        <f>'Monthly fuel prices'!J50</f>
        <v>0.76041867366579174</v>
      </c>
      <c r="S52" s="42">
        <f>'Monthly fuel prices'!J52</f>
        <v>0.78159999999999996</v>
      </c>
      <c r="T52" s="42">
        <f>'Monthly fuel prices'!J56</f>
        <v>0.76087828531855961</v>
      </c>
    </row>
    <row r="53" spans="1:22">
      <c r="B53" s="10" t="s">
        <v>214</v>
      </c>
      <c r="F53" s="10" t="s">
        <v>3</v>
      </c>
      <c r="L53" s="42">
        <f>J52</f>
        <v>0.66718525361305359</v>
      </c>
      <c r="M53" s="42">
        <f t="shared" ref="M53:V53" si="8">K52</f>
        <v>0.6595531403610948</v>
      </c>
      <c r="N53" s="42">
        <f t="shared" si="8"/>
        <v>0.60626473988439311</v>
      </c>
      <c r="O53" s="42">
        <f t="shared" si="8"/>
        <v>0.65190144779582371</v>
      </c>
      <c r="P53" s="42">
        <f t="shared" si="8"/>
        <v>0.66020000000000012</v>
      </c>
      <c r="Q53" s="42">
        <f t="shared" si="8"/>
        <v>0.71009930830536905</v>
      </c>
      <c r="R53" s="42">
        <f t="shared" si="8"/>
        <v>0.70807871316306481</v>
      </c>
      <c r="S53" s="42">
        <f t="shared" si="8"/>
        <v>0.73531034971098264</v>
      </c>
      <c r="T53" s="42">
        <f t="shared" si="8"/>
        <v>0.76041867366579174</v>
      </c>
      <c r="U53" s="42">
        <f t="shared" si="8"/>
        <v>0.78159999999999996</v>
      </c>
      <c r="V53" s="42">
        <f t="shared" si="8"/>
        <v>0.76087828531855961</v>
      </c>
    </row>
    <row r="55" spans="1:22">
      <c r="B55" s="10" t="s">
        <v>215</v>
      </c>
      <c r="F55" s="10" t="s">
        <v>4</v>
      </c>
      <c r="L55" s="72">
        <f>L46+L53*L50*(L48/L49)</f>
        <v>0.29227481726659832</v>
      </c>
      <c r="M55" s="72">
        <f t="shared" ref="M55:V55" si="9">M46+M53*M50*(M48/M49)</f>
        <v>0.29031222697597042</v>
      </c>
      <c r="N55" s="72">
        <f t="shared" si="9"/>
        <v>0.27660916808178704</v>
      </c>
      <c r="O55" s="72">
        <f t="shared" si="9"/>
        <v>0.2883446018845035</v>
      </c>
      <c r="P55" s="72">
        <f t="shared" si="9"/>
        <v>0.29047856628525526</v>
      </c>
      <c r="Q55" s="72">
        <f t="shared" si="9"/>
        <v>0.30331012351667258</v>
      </c>
      <c r="R55" s="72">
        <f t="shared" si="9"/>
        <v>0.33031126607458472</v>
      </c>
      <c r="S55" s="72">
        <f t="shared" si="9"/>
        <v>0.33781459583197904</v>
      </c>
      <c r="T55" s="72">
        <f t="shared" si="9"/>
        <v>0.34473287391478569</v>
      </c>
      <c r="U55" s="72">
        <f t="shared" si="9"/>
        <v>0.35056911794311962</v>
      </c>
      <c r="V55" s="72">
        <f t="shared" si="9"/>
        <v>0.34485951403738685</v>
      </c>
    </row>
    <row r="58" spans="1:22" s="11" customFormat="1">
      <c r="B58" s="11" t="s">
        <v>216</v>
      </c>
    </row>
    <row r="60" spans="1:22">
      <c r="A60" s="12"/>
      <c r="B60" s="10" t="s">
        <v>217</v>
      </c>
      <c r="F60" s="10" t="s">
        <v>4</v>
      </c>
      <c r="L60" s="70">
        <f>$H$26</f>
        <v>0.29773016808525521</v>
      </c>
      <c r="M60" s="70">
        <f t="shared" ref="M60:Q60" si="10">$H$26</f>
        <v>0.29773016808525521</v>
      </c>
      <c r="N60" s="70">
        <f t="shared" si="10"/>
        <v>0.29773016808525521</v>
      </c>
      <c r="O60" s="70">
        <f t="shared" si="10"/>
        <v>0.29773016808525521</v>
      </c>
      <c r="P60" s="70">
        <f t="shared" si="10"/>
        <v>0.29773016808525521</v>
      </c>
      <c r="Q60" s="70">
        <f t="shared" si="10"/>
        <v>0.29773016808525521</v>
      </c>
      <c r="R60" s="70">
        <f>$H$38</f>
        <v>0.33996093451090609</v>
      </c>
      <c r="S60" s="70">
        <f t="shared" ref="S60:V60" si="11">$H$38</f>
        <v>0.33996093451090609</v>
      </c>
      <c r="T60" s="70">
        <f t="shared" si="11"/>
        <v>0.33996093451090609</v>
      </c>
      <c r="U60" s="70">
        <f t="shared" si="11"/>
        <v>0.33996093451090609</v>
      </c>
      <c r="V60" s="70">
        <f t="shared" si="11"/>
        <v>0.33996093451090609</v>
      </c>
    </row>
    <row r="61" spans="1:22">
      <c r="A61" s="12"/>
      <c r="B61" s="10" t="s">
        <v>218</v>
      </c>
      <c r="F61" s="10" t="s">
        <v>4</v>
      </c>
      <c r="L61" s="72">
        <f>L55-L60</f>
        <v>-5.45535081865689E-3</v>
      </c>
      <c r="M61" s="72">
        <f t="shared" ref="M61:V61" si="12">M55-M60</f>
        <v>-7.4179411092847869E-3</v>
      </c>
      <c r="N61" s="72">
        <f t="shared" si="12"/>
        <v>-2.1121000003468171E-2</v>
      </c>
      <c r="O61" s="72">
        <f t="shared" si="12"/>
        <v>-9.3855662007517049E-3</v>
      </c>
      <c r="P61" s="72">
        <f t="shared" si="12"/>
        <v>-7.2516017999999516E-3</v>
      </c>
      <c r="Q61" s="72">
        <f t="shared" si="12"/>
        <v>5.5799554314173716E-3</v>
      </c>
      <c r="R61" s="72">
        <f t="shared" si="12"/>
        <v>-9.6496684363213681E-3</v>
      </c>
      <c r="S61" s="72">
        <f t="shared" si="12"/>
        <v>-2.1463386789270511E-3</v>
      </c>
      <c r="T61" s="72">
        <f t="shared" si="12"/>
        <v>4.7719394038795993E-3</v>
      </c>
      <c r="U61" s="72">
        <f t="shared" si="12"/>
        <v>1.0608183432213536E-2</v>
      </c>
      <c r="V61" s="72">
        <f t="shared" si="12"/>
        <v>4.8985795264807619E-3</v>
      </c>
    </row>
    <row r="62" spans="1:22" s="12" customFormat="1">
      <c r="L62" s="73"/>
      <c r="M62" s="73"/>
      <c r="N62" s="73"/>
      <c r="O62" s="73"/>
      <c r="P62" s="73"/>
      <c r="Q62" s="73"/>
      <c r="R62" s="73"/>
      <c r="S62" s="73"/>
      <c r="T62" s="73"/>
      <c r="U62" s="73"/>
      <c r="V62" s="73"/>
    </row>
    <row r="63" spans="1:22" s="12" customFormat="1">
      <c r="B63" s="12" t="s">
        <v>209</v>
      </c>
      <c r="F63" s="10" t="s">
        <v>1</v>
      </c>
      <c r="L63" s="41">
        <f>L41</f>
        <v>860493</v>
      </c>
      <c r="M63" s="41">
        <f t="shared" ref="M63:V63" si="13">M41</f>
        <v>835018</v>
      </c>
      <c r="N63" s="41">
        <f t="shared" si="13"/>
        <v>685763</v>
      </c>
      <c r="O63" s="41">
        <f t="shared" si="13"/>
        <v>794057</v>
      </c>
      <c r="P63" s="41">
        <f t="shared" si="13"/>
        <v>758473</v>
      </c>
      <c r="Q63" s="41">
        <f t="shared" si="13"/>
        <v>713242</v>
      </c>
      <c r="R63" s="41">
        <f t="shared" si="13"/>
        <v>711765</v>
      </c>
      <c r="S63" s="41">
        <f t="shared" si="13"/>
        <v>641269</v>
      </c>
      <c r="T63" s="41">
        <f t="shared" si="13"/>
        <v>752440</v>
      </c>
      <c r="U63" s="41">
        <f t="shared" si="13"/>
        <v>717766</v>
      </c>
      <c r="V63" s="41">
        <f t="shared" si="13"/>
        <v>754823</v>
      </c>
    </row>
    <row r="64" spans="1:22">
      <c r="A64" s="12"/>
    </row>
    <row r="65" spans="1:24">
      <c r="A65" s="12"/>
      <c r="B65" s="10" t="s">
        <v>219</v>
      </c>
      <c r="F65" s="10" t="s">
        <v>6</v>
      </c>
      <c r="L65" s="74">
        <f>L61*L63</f>
        <v>-4694.2911919985236</v>
      </c>
      <c r="M65" s="74">
        <f t="shared" ref="M65:V65" si="14">M61*M63</f>
        <v>-6194.1143491927642</v>
      </c>
      <c r="N65" s="74">
        <f t="shared" si="14"/>
        <v>-14484.000325378343</v>
      </c>
      <c r="O65" s="74">
        <f t="shared" si="14"/>
        <v>-7452.6745406702967</v>
      </c>
      <c r="P65" s="74">
        <f t="shared" si="14"/>
        <v>-5500.1441720513631</v>
      </c>
      <c r="Q65" s="74">
        <f t="shared" si="14"/>
        <v>3979.8585718149889</v>
      </c>
      <c r="R65" s="74">
        <f t="shared" si="14"/>
        <v>-6868.2962545782784</v>
      </c>
      <c r="S65" s="74">
        <f t="shared" si="14"/>
        <v>-1376.3804582968712</v>
      </c>
      <c r="T65" s="74">
        <f t="shared" si="14"/>
        <v>3590.5980850551655</v>
      </c>
      <c r="U65" s="74">
        <f t="shared" si="14"/>
        <v>7614.1933894061813</v>
      </c>
      <c r="V65" s="74">
        <f t="shared" si="14"/>
        <v>3697.5604939167883</v>
      </c>
    </row>
    <row r="66" spans="1:24">
      <c r="B66" s="10" t="s">
        <v>220</v>
      </c>
      <c r="F66" s="10" t="s">
        <v>42</v>
      </c>
      <c r="H66" s="74">
        <f>SUM(L65:Q65)</f>
        <v>-34345.366007476296</v>
      </c>
    </row>
    <row r="67" spans="1:24">
      <c r="B67" s="10" t="s">
        <v>272</v>
      </c>
      <c r="F67" s="10" t="s">
        <v>43</v>
      </c>
      <c r="H67" s="74">
        <f>SUM(R65:V65)</f>
        <v>6657.6752555029871</v>
      </c>
    </row>
    <row r="69" spans="1:24">
      <c r="B69" s="10" t="s">
        <v>221</v>
      </c>
      <c r="F69" s="10" t="s">
        <v>43</v>
      </c>
      <c r="H69" s="47">
        <f>H66*(1+H12)+H67</f>
        <v>-27241.200993876111</v>
      </c>
    </row>
    <row r="72" spans="1:24" s="11" customFormat="1">
      <c r="B72" s="11" t="s">
        <v>222</v>
      </c>
    </row>
    <row r="74" spans="1:24">
      <c r="B74" s="10" t="s">
        <v>223</v>
      </c>
      <c r="F74" s="10" t="s">
        <v>1</v>
      </c>
      <c r="H74" s="41">
        <f>H32</f>
        <v>9464730</v>
      </c>
    </row>
    <row r="75" spans="1:24">
      <c r="B75" s="10" t="s">
        <v>224</v>
      </c>
      <c r="F75" s="10" t="s">
        <v>1</v>
      </c>
      <c r="H75" s="47">
        <f>H74/2</f>
        <v>4732365</v>
      </c>
      <c r="X75" s="10" t="s">
        <v>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F40"/>
  <sheetViews>
    <sheetView showGridLines="0" zoomScale="90" zoomScaleNormal="90" workbookViewId="0">
      <pane ySplit="3" topLeftCell="A4" activePane="bottomLeft" state="frozen"/>
      <selection activeCell="A4" sqref="A4"/>
      <selection pane="bottomLeft" activeCell="A14" sqref="A14:XFD14"/>
    </sheetView>
  </sheetViews>
  <sheetFormatPr defaultRowHeight="12.75"/>
  <cols>
    <col min="1" max="1" width="2.85546875" style="10" customWidth="1"/>
    <col min="2" max="2" width="28.5703125" style="10" customWidth="1"/>
    <col min="3" max="3" width="20.7109375" style="10" customWidth="1"/>
    <col min="4" max="4" width="56.85546875" style="10" customWidth="1"/>
    <col min="5" max="5" width="29.85546875" style="10" customWidth="1"/>
    <col min="6" max="6" width="24.7109375" style="10" customWidth="1"/>
    <col min="7" max="7" width="37.28515625" style="10" customWidth="1"/>
    <col min="8" max="16384" width="9.140625" style="10"/>
  </cols>
  <sheetData>
    <row r="2" spans="2:4" s="17" customFormat="1" ht="18">
      <c r="B2" s="16" t="s">
        <v>61</v>
      </c>
      <c r="D2" s="18"/>
    </row>
    <row r="4" spans="2:4" s="11" customFormat="1">
      <c r="B4" s="11" t="s">
        <v>62</v>
      </c>
    </row>
    <row r="6" spans="2:4">
      <c r="B6" s="60" t="s">
        <v>63</v>
      </c>
    </row>
    <row r="8" spans="2:4">
      <c r="B8" s="5" t="s">
        <v>64</v>
      </c>
    </row>
    <row r="9" spans="2:4">
      <c r="B9" s="60" t="s">
        <v>65</v>
      </c>
    </row>
    <row r="10" spans="2:4">
      <c r="B10" s="10" t="s">
        <v>66</v>
      </c>
    </row>
    <row r="11" spans="2:4">
      <c r="B11" s="10" t="s">
        <v>99</v>
      </c>
    </row>
    <row r="12" spans="2:4">
      <c r="B12" s="10" t="s">
        <v>67</v>
      </c>
    </row>
    <row r="14" spans="2:4">
      <c r="B14" s="6"/>
      <c r="C14" s="6"/>
      <c r="D14" s="6"/>
    </row>
    <row r="15" spans="2:4" s="11" customFormat="1">
      <c r="B15" s="11" t="s">
        <v>68</v>
      </c>
    </row>
    <row r="16" spans="2:4">
      <c r="C16" s="12"/>
    </row>
    <row r="17" spans="2:6">
      <c r="B17" s="19" t="s">
        <v>69</v>
      </c>
      <c r="C17" s="12"/>
      <c r="D17" s="19" t="s">
        <v>70</v>
      </c>
      <c r="F17" s="20"/>
    </row>
    <row r="18" spans="2:6">
      <c r="C18" s="12"/>
    </row>
    <row r="19" spans="2:6">
      <c r="B19" s="21">
        <v>123</v>
      </c>
      <c r="C19" s="12"/>
      <c r="D19" s="9" t="s">
        <v>71</v>
      </c>
    </row>
    <row r="20" spans="2:6">
      <c r="B20" s="22">
        <f>B19</f>
        <v>123</v>
      </c>
      <c r="C20" s="12"/>
      <c r="D20" s="10" t="s">
        <v>72</v>
      </c>
    </row>
    <row r="21" spans="2:6">
      <c r="B21" s="23">
        <f>B20+B19</f>
        <v>246</v>
      </c>
      <c r="C21" s="12"/>
      <c r="D21" s="10" t="s">
        <v>73</v>
      </c>
    </row>
    <row r="22" spans="2:6">
      <c r="B22" s="24">
        <f>B20+B21</f>
        <v>369</v>
      </c>
      <c r="C22" s="12"/>
      <c r="D22" s="9" t="s">
        <v>74</v>
      </c>
      <c r="E22" s="20"/>
      <c r="F22" s="15"/>
    </row>
    <row r="23" spans="2:6">
      <c r="B23" s="25"/>
      <c r="C23" s="12"/>
      <c r="D23" s="9" t="s">
        <v>75</v>
      </c>
      <c r="E23" s="20"/>
    </row>
    <row r="24" spans="2:6">
      <c r="B24" s="12"/>
      <c r="C24" s="12"/>
    </row>
    <row r="25" spans="2:6">
      <c r="B25" s="26" t="s">
        <v>76</v>
      </c>
      <c r="C25" s="12"/>
    </row>
    <row r="26" spans="2:6">
      <c r="B26" s="27">
        <f>B22+16</f>
        <v>385</v>
      </c>
      <c r="C26" s="12"/>
      <c r="D26" s="10" t="s">
        <v>77</v>
      </c>
    </row>
    <row r="27" spans="2:6">
      <c r="B27" s="28">
        <f>B20*PI()</f>
        <v>386.41589639154455</v>
      </c>
      <c r="C27" s="29"/>
      <c r="D27" s="10" t="s">
        <v>78</v>
      </c>
    </row>
    <row r="28" spans="2:6">
      <c r="B28" s="29"/>
      <c r="C28" s="29"/>
    </row>
    <row r="30" spans="2:6">
      <c r="B30" s="19" t="s">
        <v>79</v>
      </c>
    </row>
    <row r="31" spans="2:6">
      <c r="B31" s="19"/>
    </row>
    <row r="32" spans="2:6">
      <c r="B32" s="30"/>
    </row>
    <row r="33" spans="2:4">
      <c r="B33" s="31" t="s">
        <v>9</v>
      </c>
      <c r="C33" s="12"/>
      <c r="D33" s="9" t="s">
        <v>80</v>
      </c>
    </row>
    <row r="34" spans="2:4">
      <c r="B34" s="32" t="s">
        <v>10</v>
      </c>
      <c r="C34" s="12"/>
      <c r="D34" s="9" t="s">
        <v>81</v>
      </c>
    </row>
    <row r="35" spans="2:4">
      <c r="B35" s="33" t="s">
        <v>11</v>
      </c>
      <c r="C35" s="12"/>
      <c r="D35" s="9" t="s">
        <v>82</v>
      </c>
    </row>
    <row r="36" spans="2:4">
      <c r="B36" s="28" t="s">
        <v>11</v>
      </c>
      <c r="C36" s="12"/>
      <c r="D36" s="9" t="s">
        <v>83</v>
      </c>
    </row>
    <row r="37" spans="2:4">
      <c r="C37" s="12"/>
      <c r="D37" s="9"/>
    </row>
    <row r="38" spans="2:4">
      <c r="B38" s="30"/>
      <c r="C38" s="12"/>
      <c r="D38" s="9"/>
    </row>
    <row r="39" spans="2:4">
      <c r="B39" s="34" t="s">
        <v>12</v>
      </c>
      <c r="C39" s="12"/>
      <c r="D39" s="9" t="s">
        <v>84</v>
      </c>
    </row>
    <row r="40" spans="2:4">
      <c r="B40" s="35" t="s">
        <v>5</v>
      </c>
      <c r="D40" s="9" t="s">
        <v>85</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heetViews>
  <sheetFormatPr defaultRowHeight="15"/>
  <cols>
    <col min="1" max="16384" width="9.140625" style="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J22"/>
  <sheetViews>
    <sheetView showGridLines="0" zoomScale="85" zoomScaleNormal="85" workbookViewId="0">
      <pane xSplit="6" ySplit="8" topLeftCell="G9" activePane="bottomRight" state="frozen"/>
      <selection activeCell="J76" sqref="J76"/>
      <selection pane="topRight" activeCell="J76" sqref="J76"/>
      <selection pane="bottomLeft" activeCell="J76" sqref="J76"/>
      <selection pane="bottomRight"/>
    </sheetView>
  </sheetViews>
  <sheetFormatPr defaultRowHeight="12.75"/>
  <cols>
    <col min="1" max="1" width="4" style="10" customWidth="1"/>
    <col min="2" max="2" width="65.28515625" style="10" customWidth="1"/>
    <col min="3" max="5" width="4.5703125" style="10" customWidth="1"/>
    <col min="6" max="6" width="13.7109375" style="10" customWidth="1"/>
    <col min="7" max="7" width="2.7109375" style="10" customWidth="1"/>
    <col min="8" max="8" width="18.42578125" style="10" customWidth="1"/>
    <col min="9" max="9" width="2.7109375" style="10" customWidth="1"/>
    <col min="10" max="24" width="13.7109375" style="10" customWidth="1"/>
    <col min="25" max="16384" width="9.140625" style="10"/>
  </cols>
  <sheetData>
    <row r="2" spans="1:10" s="38" customFormat="1" ht="18">
      <c r="B2" s="38" t="s">
        <v>100</v>
      </c>
    </row>
    <row r="4" spans="1:10">
      <c r="B4" s="19" t="s">
        <v>86</v>
      </c>
      <c r="C4" s="19"/>
      <c r="D4" s="19"/>
    </row>
    <row r="5" spans="1:10">
      <c r="B5" s="9" t="s">
        <v>101</v>
      </c>
      <c r="C5" s="9"/>
      <c r="D5" s="9"/>
      <c r="H5" s="37"/>
    </row>
    <row r="7" spans="1:10" s="11" customFormat="1">
      <c r="B7" s="11" t="s">
        <v>33</v>
      </c>
      <c r="F7" s="11" t="s">
        <v>34</v>
      </c>
      <c r="H7" s="11" t="s">
        <v>35</v>
      </c>
      <c r="J7" s="11" t="s">
        <v>53</v>
      </c>
    </row>
    <row r="10" spans="1:10" s="11" customFormat="1">
      <c r="B10" s="11" t="s">
        <v>87</v>
      </c>
    </row>
    <row r="12" spans="1:10">
      <c r="B12" s="10" t="s">
        <v>38</v>
      </c>
      <c r="F12" s="10" t="s">
        <v>4</v>
      </c>
      <c r="H12" s="46">
        <f>'New estimation production price'!H30</f>
        <v>0.35679625938644499</v>
      </c>
      <c r="J12" s="10" t="s">
        <v>54</v>
      </c>
    </row>
    <row r="14" spans="1:10">
      <c r="A14" s="12"/>
      <c r="B14" s="19" t="s">
        <v>90</v>
      </c>
    </row>
    <row r="15" spans="1:10">
      <c r="A15" s="12"/>
      <c r="B15" s="10" t="s">
        <v>88</v>
      </c>
      <c r="F15" s="10" t="s">
        <v>6</v>
      </c>
      <c r="H15" s="48">
        <f>'Corr fuel price difference '!H69</f>
        <v>-27241.200993876111</v>
      </c>
    </row>
    <row r="16" spans="1:10">
      <c r="A16" s="12"/>
      <c r="B16" s="10" t="s">
        <v>89</v>
      </c>
      <c r="F16" s="10" t="s">
        <v>1</v>
      </c>
      <c r="H16" s="41">
        <f>'Corr fuel price difference '!H75</f>
        <v>4732365</v>
      </c>
      <c r="J16" s="15"/>
    </row>
    <row r="17" spans="1:8">
      <c r="A17" s="12"/>
      <c r="B17" s="10" t="s">
        <v>274</v>
      </c>
      <c r="F17" s="10" t="s">
        <v>4</v>
      </c>
      <c r="H17" s="44">
        <f>H15/H16</f>
        <v>-5.7563609302909036E-3</v>
      </c>
    </row>
    <row r="18" spans="1:8">
      <c r="A18" s="12"/>
    </row>
    <row r="19" spans="1:8">
      <c r="B19" s="19" t="s">
        <v>87</v>
      </c>
    </row>
    <row r="20" spans="1:8">
      <c r="B20" s="60" t="s">
        <v>91</v>
      </c>
      <c r="F20" s="10" t="s">
        <v>4</v>
      </c>
      <c r="H20" s="46">
        <f>H12+H17</f>
        <v>0.35103989845615408</v>
      </c>
    </row>
    <row r="21" spans="1:8">
      <c r="B21" s="10" t="s">
        <v>22</v>
      </c>
      <c r="F21" s="10" t="s">
        <v>0</v>
      </c>
      <c r="H21" s="43">
        <f>'Input data production'!H39</f>
        <v>6.0144714937807577E-2</v>
      </c>
    </row>
    <row r="22" spans="1:8">
      <c r="B22" s="10" t="s">
        <v>92</v>
      </c>
      <c r="F22" s="10" t="s">
        <v>4</v>
      </c>
      <c r="H22" s="45">
        <f>H20/(1-H21)</f>
        <v>0.37350420222718111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H30"/>
  <sheetViews>
    <sheetView showGridLines="0" zoomScale="85" zoomScaleNormal="85" workbookViewId="0"/>
  </sheetViews>
  <sheetFormatPr defaultRowHeight="12.75"/>
  <cols>
    <col min="1" max="1" width="9.140625" style="63"/>
    <col min="2" max="2" width="4.28515625" style="63" customWidth="1"/>
    <col min="3" max="3" width="63.5703125" style="63" customWidth="1"/>
    <col min="4" max="4" width="5.28515625" style="63" customWidth="1"/>
    <col min="5" max="5" width="10.7109375" style="63" customWidth="1"/>
    <col min="6" max="6" width="5.140625" style="63" customWidth="1"/>
    <col min="7" max="7" width="12.140625" style="63" customWidth="1"/>
    <col min="8" max="8" width="4.85546875" style="63" customWidth="1"/>
    <col min="9" max="16384" width="9.140625" style="63"/>
  </cols>
  <sheetData>
    <row r="2" spans="2:8" s="38" customFormat="1" ht="18">
      <c r="B2" s="38" t="s">
        <v>258</v>
      </c>
    </row>
    <row r="7" spans="2:8">
      <c r="B7" s="76"/>
      <c r="C7" s="77"/>
      <c r="D7" s="77"/>
      <c r="E7" s="77"/>
      <c r="F7" s="77"/>
      <c r="G7" s="77"/>
      <c r="H7" s="78"/>
    </row>
    <row r="8" spans="2:8">
      <c r="B8" s="79"/>
      <c r="C8" s="80"/>
      <c r="D8" s="80"/>
      <c r="E8" s="80"/>
      <c r="F8" s="80"/>
      <c r="G8" s="80"/>
      <c r="H8" s="81"/>
    </row>
    <row r="9" spans="2:8" s="11" customFormat="1">
      <c r="B9" s="91"/>
      <c r="C9" s="92" t="s">
        <v>270</v>
      </c>
      <c r="D9" s="92"/>
      <c r="E9" s="92"/>
      <c r="F9" s="92"/>
      <c r="G9" s="92"/>
      <c r="H9" s="93"/>
    </row>
    <row r="10" spans="2:8">
      <c r="B10" s="79"/>
      <c r="C10" s="80"/>
      <c r="D10" s="80"/>
      <c r="E10" s="80"/>
      <c r="F10" s="80"/>
      <c r="G10" s="80"/>
      <c r="H10" s="81"/>
    </row>
    <row r="11" spans="2:8">
      <c r="B11" s="79"/>
      <c r="C11" s="82" t="s">
        <v>260</v>
      </c>
      <c r="D11" s="80"/>
      <c r="E11" s="80"/>
      <c r="F11" s="80"/>
      <c r="G11" s="80"/>
      <c r="H11" s="81"/>
    </row>
    <row r="12" spans="2:8">
      <c r="B12" s="79"/>
      <c r="C12" s="80" t="s">
        <v>45</v>
      </c>
      <c r="D12" s="80"/>
      <c r="E12" s="80" t="s">
        <v>0</v>
      </c>
      <c r="F12" s="80"/>
      <c r="G12" s="83">
        <f>'Input data fuel purchase'!H13</f>
        <v>-1.2999999999999999E-2</v>
      </c>
      <c r="H12" s="81"/>
    </row>
    <row r="13" spans="2:8">
      <c r="B13" s="79"/>
      <c r="C13" s="80"/>
      <c r="D13" s="80"/>
      <c r="E13" s="80"/>
      <c r="F13" s="80"/>
      <c r="G13" s="80"/>
      <c r="H13" s="81"/>
    </row>
    <row r="14" spans="2:8">
      <c r="B14" s="79"/>
      <c r="C14" s="82" t="s">
        <v>265</v>
      </c>
      <c r="D14" s="80"/>
      <c r="E14" s="80"/>
      <c r="F14" s="80"/>
      <c r="G14" s="80"/>
      <c r="H14" s="81"/>
    </row>
    <row r="15" spans="2:8">
      <c r="B15" s="79"/>
      <c r="C15" s="94" t="s">
        <v>273</v>
      </c>
      <c r="D15" s="80"/>
      <c r="E15" s="80" t="s">
        <v>264</v>
      </c>
      <c r="F15" s="80"/>
      <c r="G15" s="95">
        <f>'New estimation production price'!H24</f>
        <v>0.80420000000000003</v>
      </c>
      <c r="H15" s="81"/>
    </row>
    <row r="16" spans="2:8">
      <c r="B16" s="79"/>
      <c r="C16" s="80" t="s">
        <v>266</v>
      </c>
      <c r="D16" s="80"/>
      <c r="E16" s="80" t="s">
        <v>4</v>
      </c>
      <c r="F16" s="80"/>
      <c r="G16" s="95">
        <f>'New estimation production price'!H30</f>
        <v>0.35679625938644499</v>
      </c>
      <c r="H16" s="81"/>
    </row>
    <row r="17" spans="2:8">
      <c r="B17" s="79"/>
      <c r="C17" s="80"/>
      <c r="D17" s="80"/>
      <c r="E17" s="80"/>
      <c r="F17" s="80"/>
      <c r="G17" s="80"/>
      <c r="H17" s="81"/>
    </row>
    <row r="18" spans="2:8">
      <c r="B18" s="79"/>
      <c r="C18" s="82" t="s">
        <v>259</v>
      </c>
      <c r="D18" s="80"/>
      <c r="E18" s="80"/>
      <c r="F18" s="80"/>
      <c r="G18" s="80"/>
      <c r="H18" s="81"/>
    </row>
    <row r="19" spans="2:8">
      <c r="B19" s="79"/>
      <c r="C19" s="80" t="s">
        <v>262</v>
      </c>
      <c r="D19" s="80"/>
      <c r="E19" s="80" t="s">
        <v>6</v>
      </c>
      <c r="F19" s="80"/>
      <c r="G19" s="84">
        <f>'Corr fuel price difference '!H66</f>
        <v>-34345.366007476296</v>
      </c>
      <c r="H19" s="81"/>
    </row>
    <row r="20" spans="2:8">
      <c r="B20" s="79"/>
      <c r="C20" s="80" t="s">
        <v>263</v>
      </c>
      <c r="D20" s="80"/>
      <c r="E20" s="80" t="s">
        <v>6</v>
      </c>
      <c r="F20" s="80"/>
      <c r="G20" s="84">
        <f>'Corr fuel price difference '!H67</f>
        <v>6657.6752555029871</v>
      </c>
      <c r="H20" s="81"/>
    </row>
    <row r="21" spans="2:8">
      <c r="B21" s="79"/>
      <c r="C21" s="80" t="s">
        <v>261</v>
      </c>
      <c r="D21" s="80"/>
      <c r="E21" s="80" t="s">
        <v>6</v>
      </c>
      <c r="F21" s="80"/>
      <c r="G21" s="84">
        <f>'User tariff SEC jul-dec 2018'!H15</f>
        <v>-27241.200993876111</v>
      </c>
      <c r="H21" s="81"/>
    </row>
    <row r="22" spans="2:8">
      <c r="B22" s="79"/>
      <c r="C22" s="80" t="s">
        <v>268</v>
      </c>
      <c r="D22" s="80"/>
      <c r="E22" s="80" t="s">
        <v>1</v>
      </c>
      <c r="F22" s="80"/>
      <c r="G22" s="84">
        <f>'User tariff SEC jul-dec 2018'!H16</f>
        <v>4732365</v>
      </c>
      <c r="H22" s="81"/>
    </row>
    <row r="23" spans="2:8">
      <c r="B23" s="79"/>
      <c r="C23" s="10" t="s">
        <v>274</v>
      </c>
      <c r="D23" s="80"/>
      <c r="E23" s="80" t="s">
        <v>4</v>
      </c>
      <c r="F23" s="80"/>
      <c r="G23" s="95">
        <f>G21/G22</f>
        <v>-5.7563609302909036E-3</v>
      </c>
      <c r="H23" s="81"/>
    </row>
    <row r="24" spans="2:8">
      <c r="B24" s="79"/>
      <c r="C24" s="80"/>
      <c r="D24" s="80"/>
      <c r="E24" s="80"/>
      <c r="F24" s="80"/>
      <c r="G24" s="80"/>
      <c r="H24" s="81"/>
    </row>
    <row r="25" spans="2:8">
      <c r="B25" s="79"/>
      <c r="C25" s="82" t="s">
        <v>267</v>
      </c>
      <c r="D25" s="80"/>
      <c r="E25" s="80"/>
      <c r="F25" s="80"/>
      <c r="G25" s="80"/>
      <c r="H25" s="81"/>
    </row>
    <row r="26" spans="2:8">
      <c r="B26" s="79"/>
      <c r="C26" s="85" t="s">
        <v>91</v>
      </c>
      <c r="D26" s="80"/>
      <c r="E26" s="80" t="s">
        <v>4</v>
      </c>
      <c r="F26" s="80"/>
      <c r="G26" s="95">
        <f>'User tariff SEC jul-dec 2018'!H20</f>
        <v>0.35103989845615408</v>
      </c>
      <c r="H26" s="81"/>
    </row>
    <row r="27" spans="2:8">
      <c r="B27" s="79"/>
      <c r="C27" s="86" t="s">
        <v>22</v>
      </c>
      <c r="D27" s="80"/>
      <c r="E27" s="80" t="s">
        <v>0</v>
      </c>
      <c r="F27" s="80"/>
      <c r="G27" s="87">
        <f>'User tariff SEC jul-dec 2018'!H21</f>
        <v>6.0144714937807577E-2</v>
      </c>
      <c r="H27" s="81"/>
    </row>
    <row r="28" spans="2:8">
      <c r="B28" s="79"/>
      <c r="C28" s="86" t="s">
        <v>269</v>
      </c>
      <c r="D28" s="80"/>
      <c r="E28" s="80" t="s">
        <v>4</v>
      </c>
      <c r="F28" s="80"/>
      <c r="G28" s="95">
        <f>'User tariff SEC jul-dec 2018'!H22</f>
        <v>0.37350420222718111</v>
      </c>
      <c r="H28" s="81"/>
    </row>
    <row r="29" spans="2:8">
      <c r="B29" s="88"/>
      <c r="C29" s="89"/>
      <c r="D29" s="89"/>
      <c r="E29" s="89"/>
      <c r="F29" s="89"/>
      <c r="G29" s="89"/>
      <c r="H29" s="90"/>
    </row>
    <row r="30" spans="2:8">
      <c r="C30" s="80"/>
      <c r="D30" s="80"/>
      <c r="E30" s="80"/>
      <c r="F30" s="80"/>
      <c r="G30" s="80"/>
      <c r="H30" s="8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heetViews>
  <sheetFormatPr defaultRowHeight="15"/>
  <cols>
    <col min="1" max="16384" width="9.140625" style="1"/>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M73"/>
  <sheetViews>
    <sheetView showGridLines="0" zoomScale="85" zoomScaleNormal="85" workbookViewId="0">
      <pane xSplit="6" ySplit="8" topLeftCell="G9" activePane="bottomRight" state="frozen"/>
      <selection activeCell="Q51" sqref="Q51"/>
      <selection pane="topRight" activeCell="Q51" sqref="Q51"/>
      <selection pane="bottomLeft" activeCell="Q51" sqref="Q51"/>
      <selection pane="bottomRight"/>
    </sheetView>
  </sheetViews>
  <sheetFormatPr defaultRowHeight="12.75"/>
  <cols>
    <col min="1" max="1" width="4" style="10" customWidth="1"/>
    <col min="2" max="2" width="50.42578125" style="10" customWidth="1"/>
    <col min="3" max="5" width="4.5703125" style="10" customWidth="1"/>
    <col min="6" max="6" width="22.85546875" style="10" customWidth="1"/>
    <col min="7" max="7" width="2.7109375" style="10" customWidth="1"/>
    <col min="8" max="8" width="20.5703125" style="10" customWidth="1"/>
    <col min="9" max="10" width="2.7109375" style="10" customWidth="1"/>
    <col min="11" max="11" width="70.85546875" style="10" customWidth="1"/>
    <col min="12" max="12" width="2.7109375" style="10" customWidth="1"/>
    <col min="13" max="13" width="46" style="10" customWidth="1"/>
    <col min="14" max="14" width="2.7109375" style="10" customWidth="1"/>
    <col min="15" max="29" width="13.7109375" style="10" customWidth="1"/>
    <col min="30" max="16384" width="9.140625" style="10"/>
  </cols>
  <sheetData>
    <row r="2" spans="2:13" s="38" customFormat="1" ht="18">
      <c r="B2" s="2" t="s">
        <v>93</v>
      </c>
    </row>
    <row r="4" spans="2:13">
      <c r="B4" s="19" t="s">
        <v>94</v>
      </c>
      <c r="C4" s="19"/>
      <c r="D4" s="19"/>
    </row>
    <row r="5" spans="2:13">
      <c r="B5" s="10" t="s">
        <v>166</v>
      </c>
      <c r="C5" s="9"/>
      <c r="D5" s="9"/>
      <c r="H5" s="37"/>
    </row>
    <row r="7" spans="2:13" s="11" customFormat="1">
      <c r="B7" s="11" t="s">
        <v>33</v>
      </c>
      <c r="F7" s="11" t="s">
        <v>34</v>
      </c>
      <c r="H7" s="11" t="s">
        <v>35</v>
      </c>
      <c r="K7" s="11" t="s">
        <v>52</v>
      </c>
      <c r="M7" s="11" t="s">
        <v>53</v>
      </c>
    </row>
    <row r="10" spans="2:13" s="11" customFormat="1">
      <c r="B10" s="11" t="s">
        <v>102</v>
      </c>
    </row>
    <row r="12" spans="2:13">
      <c r="B12" s="19" t="s">
        <v>13</v>
      </c>
    </row>
    <row r="13" spans="2:13">
      <c r="B13" s="10" t="s">
        <v>25</v>
      </c>
      <c r="F13" s="3" t="s">
        <v>1</v>
      </c>
      <c r="H13" s="51">
        <v>9376000</v>
      </c>
      <c r="K13" s="10" t="s">
        <v>103</v>
      </c>
    </row>
    <row r="14" spans="2:13">
      <c r="B14" s="10" t="s">
        <v>26</v>
      </c>
      <c r="F14" s="3" t="s">
        <v>1</v>
      </c>
      <c r="H14" s="51">
        <v>0</v>
      </c>
      <c r="K14" s="10" t="s">
        <v>103</v>
      </c>
    </row>
    <row r="15" spans="2:13">
      <c r="B15" s="10" t="s">
        <v>27</v>
      </c>
      <c r="F15" s="3" t="s">
        <v>1</v>
      </c>
      <c r="H15" s="52">
        <f>H13+H14</f>
        <v>9376000</v>
      </c>
    </row>
    <row r="17" spans="2:13">
      <c r="B17" s="10" t="s">
        <v>17</v>
      </c>
      <c r="F17" s="10" t="s">
        <v>4</v>
      </c>
      <c r="H17" s="50">
        <v>0.12070879648525522</v>
      </c>
      <c r="K17" s="10" t="s">
        <v>104</v>
      </c>
      <c r="M17" s="15"/>
    </row>
    <row r="18" spans="2:13">
      <c r="B18" s="10" t="s">
        <v>18</v>
      </c>
      <c r="F18" s="10" t="s">
        <v>2</v>
      </c>
      <c r="H18" s="50">
        <v>0.25714900000000002</v>
      </c>
      <c r="K18" s="10" t="s">
        <v>103</v>
      </c>
    </row>
    <row r="19" spans="2:13">
      <c r="B19" s="10" t="s">
        <v>19</v>
      </c>
      <c r="F19" s="10" t="s">
        <v>3</v>
      </c>
      <c r="H19" s="50">
        <v>0.68840000000000001</v>
      </c>
      <c r="K19" s="10" t="s">
        <v>104</v>
      </c>
    </row>
    <row r="20" spans="2:13">
      <c r="B20" s="10" t="s">
        <v>20</v>
      </c>
      <c r="F20" s="10" t="s">
        <v>4</v>
      </c>
      <c r="H20" s="53">
        <f>H18*H19*(H13/H15)</f>
        <v>0.1770213716</v>
      </c>
    </row>
    <row r="22" spans="2:13">
      <c r="B22" s="10" t="s">
        <v>165</v>
      </c>
      <c r="F22" s="10" t="s">
        <v>0</v>
      </c>
      <c r="H22" s="75">
        <v>7.1800000000000003E-2</v>
      </c>
      <c r="K22" s="10" t="s">
        <v>104</v>
      </c>
    </row>
    <row r="24" spans="2:13">
      <c r="B24" s="19" t="s">
        <v>23</v>
      </c>
    </row>
    <row r="25" spans="2:13">
      <c r="B25" s="10" t="s">
        <v>24</v>
      </c>
      <c r="F25" s="10" t="s">
        <v>4</v>
      </c>
      <c r="H25" s="50">
        <v>0.29773016808525521</v>
      </c>
      <c r="K25" s="10" t="s">
        <v>104</v>
      </c>
    </row>
    <row r="26" spans="2:13">
      <c r="B26" s="10" t="s">
        <v>31</v>
      </c>
      <c r="F26" s="10" t="s">
        <v>4</v>
      </c>
      <c r="H26" s="50">
        <v>0.32076079302440769</v>
      </c>
      <c r="K26" s="10" t="s">
        <v>104</v>
      </c>
    </row>
    <row r="29" spans="2:13">
      <c r="B29" s="19" t="s">
        <v>28</v>
      </c>
    </row>
    <row r="30" spans="2:13">
      <c r="B30" s="10" t="s">
        <v>14</v>
      </c>
      <c r="F30" s="3" t="s">
        <v>1</v>
      </c>
      <c r="H30" s="51">
        <v>9464730</v>
      </c>
      <c r="K30" s="10" t="s">
        <v>110</v>
      </c>
    </row>
    <row r="31" spans="2:13">
      <c r="B31" s="10" t="s">
        <v>15</v>
      </c>
      <c r="F31" s="3" t="s">
        <v>1</v>
      </c>
      <c r="H31" s="51">
        <v>0</v>
      </c>
      <c r="K31" s="10" t="s">
        <v>110</v>
      </c>
      <c r="M31" s="15"/>
    </row>
    <row r="32" spans="2:13">
      <c r="B32" s="10" t="s">
        <v>16</v>
      </c>
      <c r="F32" s="3" t="s">
        <v>1</v>
      </c>
      <c r="H32" s="52">
        <f>H30+H31</f>
        <v>9464730</v>
      </c>
    </row>
    <row r="34" spans="2:11">
      <c r="B34" s="10" t="s">
        <v>17</v>
      </c>
      <c r="F34" s="10" t="s">
        <v>4</v>
      </c>
      <c r="H34" s="50">
        <v>0.1352092174075851</v>
      </c>
      <c r="K34" s="10" t="s">
        <v>110</v>
      </c>
    </row>
    <row r="35" spans="2:11">
      <c r="B35" s="10" t="s">
        <v>18</v>
      </c>
      <c r="F35" s="10" t="s">
        <v>2</v>
      </c>
      <c r="H35" s="50">
        <v>0.2755372320055457</v>
      </c>
      <c r="K35" s="10" t="s">
        <v>110</v>
      </c>
    </row>
    <row r="36" spans="2:11">
      <c r="B36" s="10" t="s">
        <v>19</v>
      </c>
      <c r="F36" s="10" t="s">
        <v>3</v>
      </c>
      <c r="H36" s="50">
        <v>0.74309999999999998</v>
      </c>
      <c r="K36" s="10" t="s">
        <v>110</v>
      </c>
    </row>
    <row r="37" spans="2:11">
      <c r="B37" s="10" t="s">
        <v>20</v>
      </c>
      <c r="F37" s="10" t="s">
        <v>4</v>
      </c>
      <c r="H37" s="53">
        <f>H35*H36*(H30/H32)</f>
        <v>0.20475171710332099</v>
      </c>
    </row>
    <row r="39" spans="2:11">
      <c r="B39" s="10" t="s">
        <v>22</v>
      </c>
      <c r="F39" s="10" t="s">
        <v>0</v>
      </c>
      <c r="H39" s="75">
        <v>6.0144714937807577E-2</v>
      </c>
      <c r="K39" s="10" t="s">
        <v>110</v>
      </c>
    </row>
    <row r="41" spans="2:11">
      <c r="B41" s="19" t="s">
        <v>29</v>
      </c>
    </row>
    <row r="42" spans="2:11">
      <c r="B42" s="10" t="s">
        <v>30</v>
      </c>
      <c r="F42" s="10" t="s">
        <v>4</v>
      </c>
      <c r="H42" s="50">
        <v>0.33996093451090609</v>
      </c>
      <c r="K42" s="10" t="s">
        <v>110</v>
      </c>
    </row>
    <row r="43" spans="2:11">
      <c r="B43" s="10" t="s">
        <v>21</v>
      </c>
      <c r="F43" s="10" t="s">
        <v>4</v>
      </c>
      <c r="H43" s="50">
        <v>0.361716255591849</v>
      </c>
      <c r="K43" s="10" t="s">
        <v>110</v>
      </c>
    </row>
    <row r="46" spans="2:11" s="11" customFormat="1">
      <c r="B46" s="11" t="s">
        <v>167</v>
      </c>
    </row>
    <row r="47" spans="2:11">
      <c r="B47" s="49"/>
    </row>
    <row r="48" spans="2:11">
      <c r="B48" s="60" t="s">
        <v>168</v>
      </c>
      <c r="F48" s="3" t="s">
        <v>1</v>
      </c>
      <c r="H48" s="51">
        <v>860493</v>
      </c>
      <c r="K48" s="10" t="s">
        <v>174</v>
      </c>
    </row>
    <row r="49" spans="2:11">
      <c r="B49" s="60" t="s">
        <v>169</v>
      </c>
      <c r="F49" s="3" t="s">
        <v>1</v>
      </c>
      <c r="H49" s="51">
        <v>835018</v>
      </c>
      <c r="K49" s="10" t="s">
        <v>174</v>
      </c>
    </row>
    <row r="50" spans="2:11">
      <c r="B50" s="60" t="s">
        <v>170</v>
      </c>
      <c r="F50" s="3" t="s">
        <v>1</v>
      </c>
      <c r="H50" s="51">
        <v>685763</v>
      </c>
      <c r="K50" s="10" t="s">
        <v>174</v>
      </c>
    </row>
    <row r="51" spans="2:11">
      <c r="B51" s="60" t="s">
        <v>171</v>
      </c>
      <c r="F51" s="3" t="s">
        <v>1</v>
      </c>
      <c r="H51" s="51">
        <v>794057</v>
      </c>
      <c r="K51" s="10" t="s">
        <v>174</v>
      </c>
    </row>
    <row r="52" spans="2:11">
      <c r="B52" s="60" t="s">
        <v>172</v>
      </c>
      <c r="F52" s="3" t="s">
        <v>1</v>
      </c>
      <c r="H52" s="51">
        <v>758473</v>
      </c>
      <c r="K52" s="10" t="s">
        <v>174</v>
      </c>
    </row>
    <row r="53" spans="2:11">
      <c r="B53" s="60" t="s">
        <v>173</v>
      </c>
      <c r="F53" s="3" t="s">
        <v>1</v>
      </c>
      <c r="H53" s="51">
        <v>713242</v>
      </c>
      <c r="K53" s="10" t="s">
        <v>174</v>
      </c>
    </row>
    <row r="55" spans="2:11">
      <c r="B55" s="60" t="s">
        <v>175</v>
      </c>
      <c r="F55" s="3" t="s">
        <v>1</v>
      </c>
      <c r="H55" s="51">
        <v>703745</v>
      </c>
      <c r="K55" s="10" t="s">
        <v>174</v>
      </c>
    </row>
    <row r="56" spans="2:11">
      <c r="B56" s="60" t="s">
        <v>176</v>
      </c>
      <c r="F56" s="3" t="s">
        <v>1</v>
      </c>
      <c r="H56" s="51">
        <v>8020</v>
      </c>
      <c r="K56" s="10" t="s">
        <v>174</v>
      </c>
    </row>
    <row r="57" spans="2:11">
      <c r="B57" s="63" t="s">
        <v>237</v>
      </c>
      <c r="F57" s="3" t="s">
        <v>1</v>
      </c>
      <c r="H57" s="52">
        <f>H55+H56</f>
        <v>711765</v>
      </c>
    </row>
    <row r="58" spans="2:11">
      <c r="B58" s="60"/>
      <c r="F58" s="3"/>
    </row>
    <row r="59" spans="2:11">
      <c r="B59" s="60" t="s">
        <v>177</v>
      </c>
      <c r="F59" s="3" t="s">
        <v>1</v>
      </c>
      <c r="H59" s="51">
        <v>570380</v>
      </c>
      <c r="K59" s="10" t="s">
        <v>174</v>
      </c>
    </row>
    <row r="60" spans="2:11">
      <c r="B60" s="60" t="s">
        <v>178</v>
      </c>
      <c r="F60" s="3" t="s">
        <v>1</v>
      </c>
      <c r="H60" s="51">
        <v>70889</v>
      </c>
      <c r="K60" s="10" t="s">
        <v>174</v>
      </c>
    </row>
    <row r="61" spans="2:11">
      <c r="B61" s="63" t="s">
        <v>238</v>
      </c>
      <c r="F61" s="3" t="s">
        <v>1</v>
      </c>
      <c r="H61" s="52">
        <f>H59+H60</f>
        <v>641269</v>
      </c>
    </row>
    <row r="62" spans="2:11">
      <c r="B62" s="60"/>
      <c r="F62" s="3"/>
    </row>
    <row r="63" spans="2:11">
      <c r="B63" s="60" t="s">
        <v>179</v>
      </c>
      <c r="F63" s="3" t="s">
        <v>1</v>
      </c>
      <c r="H63" s="51">
        <v>591241</v>
      </c>
      <c r="K63" s="10" t="s">
        <v>174</v>
      </c>
    </row>
    <row r="64" spans="2:11">
      <c r="B64" s="60" t="s">
        <v>180</v>
      </c>
      <c r="F64" s="3" t="s">
        <v>1</v>
      </c>
      <c r="H64" s="51">
        <v>161199</v>
      </c>
      <c r="K64" s="10" t="s">
        <v>174</v>
      </c>
    </row>
    <row r="65" spans="2:11">
      <c r="B65" s="63" t="s">
        <v>239</v>
      </c>
      <c r="F65" s="3" t="s">
        <v>1</v>
      </c>
      <c r="H65" s="52">
        <f>H63+H64</f>
        <v>752440</v>
      </c>
    </row>
    <row r="66" spans="2:11">
      <c r="B66" s="60"/>
      <c r="F66" s="3"/>
    </row>
    <row r="67" spans="2:11">
      <c r="B67" s="60" t="s">
        <v>181</v>
      </c>
      <c r="F67" s="3" t="s">
        <v>1</v>
      </c>
      <c r="H67" s="51">
        <v>564345</v>
      </c>
      <c r="K67" s="10" t="s">
        <v>174</v>
      </c>
    </row>
    <row r="68" spans="2:11">
      <c r="B68" s="60" t="s">
        <v>182</v>
      </c>
      <c r="F68" s="3" t="s">
        <v>1</v>
      </c>
      <c r="H68" s="51">
        <v>153421</v>
      </c>
      <c r="K68" s="10" t="s">
        <v>174</v>
      </c>
    </row>
    <row r="69" spans="2:11">
      <c r="B69" s="63" t="s">
        <v>240</v>
      </c>
      <c r="F69" s="3" t="s">
        <v>1</v>
      </c>
      <c r="H69" s="52">
        <f>H67+H68</f>
        <v>717766</v>
      </c>
    </row>
    <row r="70" spans="2:11">
      <c r="B70" s="60"/>
      <c r="F70" s="3"/>
    </row>
    <row r="71" spans="2:11">
      <c r="B71" s="60" t="s">
        <v>183</v>
      </c>
      <c r="F71" s="3" t="s">
        <v>1</v>
      </c>
      <c r="H71" s="51">
        <v>599351</v>
      </c>
      <c r="K71" s="10" t="s">
        <v>242</v>
      </c>
    </row>
    <row r="72" spans="2:11">
      <c r="B72" s="60" t="s">
        <v>184</v>
      </c>
      <c r="F72" s="3" t="s">
        <v>1</v>
      </c>
      <c r="H72" s="51">
        <v>155472</v>
      </c>
      <c r="K72" s="10" t="s">
        <v>242</v>
      </c>
    </row>
    <row r="73" spans="2:11">
      <c r="B73" s="63" t="s">
        <v>241</v>
      </c>
      <c r="F73" s="3" t="s">
        <v>1</v>
      </c>
      <c r="H73" s="52">
        <f>H71+H72</f>
        <v>754823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N70"/>
  <sheetViews>
    <sheetView showGridLines="0" zoomScale="85" zoomScaleNormal="85" workbookViewId="0">
      <pane xSplit="6" ySplit="9" topLeftCell="G43" activePane="bottomRight" state="frozen"/>
      <selection activeCell="Q51" sqref="Q51"/>
      <selection pane="topRight" activeCell="Q51" sqref="Q51"/>
      <selection pane="bottomLeft" activeCell="Q51" sqref="Q51"/>
      <selection pane="bottomRight" activeCell="B96" sqref="B96"/>
    </sheetView>
  </sheetViews>
  <sheetFormatPr defaultRowHeight="12.75"/>
  <cols>
    <col min="1" max="1" width="4" style="10" customWidth="1"/>
    <col min="2" max="2" width="41.42578125" style="10" customWidth="1"/>
    <col min="3" max="5" width="3.5703125" style="10" customWidth="1"/>
    <col min="6" max="6" width="16.85546875" style="10" customWidth="1"/>
    <col min="7" max="7" width="3.5703125" style="10" customWidth="1"/>
    <col min="8" max="8" width="16.85546875" style="10" customWidth="1"/>
    <col min="9" max="9" width="3.5703125" style="10" customWidth="1"/>
    <col min="10" max="10" width="16.85546875" style="10" customWidth="1"/>
    <col min="11" max="11" width="3.5703125" style="10" customWidth="1"/>
    <col min="12" max="12" width="19.28515625" style="10" customWidth="1"/>
    <col min="13" max="13" width="3.5703125" style="10" customWidth="1"/>
    <col min="14" max="14" width="43.28515625" style="10" customWidth="1"/>
    <col min="15" max="15" width="2.7109375" style="10" customWidth="1"/>
    <col min="16" max="16" width="13.7109375" style="10" customWidth="1"/>
    <col min="17" max="17" width="2.7109375" style="10" customWidth="1"/>
    <col min="18" max="32" width="13.7109375" style="10" customWidth="1"/>
    <col min="33" max="16384" width="9.140625" style="10"/>
  </cols>
  <sheetData>
    <row r="2" spans="2:14" s="38" customFormat="1" ht="18">
      <c r="B2" s="2" t="s">
        <v>44</v>
      </c>
    </row>
    <row r="4" spans="2:14">
      <c r="B4" s="19" t="s">
        <v>94</v>
      </c>
      <c r="C4" s="19"/>
      <c r="D4" s="19"/>
    </row>
    <row r="5" spans="2:14">
      <c r="B5" s="9" t="s">
        <v>95</v>
      </c>
      <c r="C5" s="9"/>
      <c r="D5" s="9"/>
      <c r="H5" s="37"/>
    </row>
    <row r="6" spans="2:14">
      <c r="C6" s="9"/>
      <c r="D6" s="9"/>
      <c r="H6" s="37"/>
    </row>
    <row r="8" spans="2:14" s="11" customFormat="1">
      <c r="B8" s="11" t="s">
        <v>33</v>
      </c>
      <c r="F8" s="11" t="s">
        <v>34</v>
      </c>
      <c r="H8" s="11" t="s">
        <v>35</v>
      </c>
      <c r="J8" s="11" t="s">
        <v>34</v>
      </c>
      <c r="L8" s="11" t="s">
        <v>35</v>
      </c>
      <c r="N8" s="11" t="s">
        <v>52</v>
      </c>
    </row>
    <row r="11" spans="2:14" s="11" customFormat="1">
      <c r="B11" s="11" t="s">
        <v>45</v>
      </c>
    </row>
    <row r="13" spans="2:14">
      <c r="B13" s="10" t="s">
        <v>46</v>
      </c>
      <c r="F13" s="10" t="s">
        <v>0</v>
      </c>
      <c r="H13" s="54">
        <v>-1.2999999999999999E-2</v>
      </c>
      <c r="N13" s="10" t="s">
        <v>105</v>
      </c>
    </row>
    <row r="15" spans="2:14">
      <c r="H15" s="9"/>
    </row>
    <row r="16" spans="2:14" s="11" customFormat="1">
      <c r="B16" s="11" t="s">
        <v>106</v>
      </c>
      <c r="H16" s="40"/>
    </row>
    <row r="17" spans="2:14">
      <c r="H17" s="9"/>
    </row>
    <row r="18" spans="2:14">
      <c r="B18" s="5" t="s">
        <v>48</v>
      </c>
      <c r="D18" s="30"/>
      <c r="H18" s="19" t="s">
        <v>39</v>
      </c>
      <c r="L18" s="19" t="s">
        <v>50</v>
      </c>
      <c r="N18" s="19" t="s">
        <v>51</v>
      </c>
    </row>
    <row r="19" spans="2:14">
      <c r="B19" s="5"/>
      <c r="D19" s="30"/>
      <c r="H19" s="19"/>
      <c r="L19" s="19"/>
      <c r="N19" s="19"/>
    </row>
    <row r="20" spans="2:14">
      <c r="B20" s="63" t="s">
        <v>243</v>
      </c>
      <c r="D20" s="30"/>
      <c r="F20" s="36" t="s">
        <v>3</v>
      </c>
      <c r="H20" s="56">
        <v>0.66869999999999996</v>
      </c>
      <c r="J20" s="10" t="s">
        <v>49</v>
      </c>
      <c r="L20" s="57">
        <v>43000</v>
      </c>
      <c r="N20" s="9" t="s">
        <v>245</v>
      </c>
    </row>
    <row r="21" spans="2:14">
      <c r="B21" s="63" t="s">
        <v>244</v>
      </c>
      <c r="D21" s="30"/>
      <c r="F21" s="36" t="s">
        <v>3</v>
      </c>
      <c r="H21" s="56">
        <v>0.66869999999999996</v>
      </c>
      <c r="J21" s="10" t="s">
        <v>49</v>
      </c>
      <c r="L21" s="57">
        <v>43500</v>
      </c>
      <c r="N21" s="9" t="s">
        <v>246</v>
      </c>
    </row>
    <row r="22" spans="2:14">
      <c r="B22" s="63" t="s">
        <v>248</v>
      </c>
      <c r="D22" s="30"/>
      <c r="F22" s="36" t="s">
        <v>3</v>
      </c>
      <c r="H22" s="56">
        <v>0.66869999999999996</v>
      </c>
      <c r="J22" s="10" t="s">
        <v>49</v>
      </c>
      <c r="L22" s="57">
        <v>15961</v>
      </c>
      <c r="N22" s="9" t="s">
        <v>247</v>
      </c>
    </row>
    <row r="23" spans="2:14">
      <c r="B23" s="63" t="s">
        <v>249</v>
      </c>
      <c r="D23" s="30"/>
      <c r="F23" s="36" t="s">
        <v>3</v>
      </c>
      <c r="H23" s="56">
        <v>0.66579999999999995</v>
      </c>
      <c r="J23" s="10" t="s">
        <v>49</v>
      </c>
      <c r="L23" s="57">
        <v>112039</v>
      </c>
      <c r="N23" s="9" t="s">
        <v>247</v>
      </c>
    </row>
    <row r="24" spans="2:14">
      <c r="B24" s="61" t="s">
        <v>250</v>
      </c>
      <c r="D24" s="30"/>
      <c r="F24" s="36" t="s">
        <v>3</v>
      </c>
      <c r="H24" s="56">
        <v>0.66579999999999995</v>
      </c>
      <c r="J24" s="10" t="s">
        <v>49</v>
      </c>
      <c r="L24" s="57">
        <v>85500</v>
      </c>
      <c r="N24" s="9" t="s">
        <v>251</v>
      </c>
    </row>
    <row r="25" spans="2:14">
      <c r="B25" s="61" t="s">
        <v>253</v>
      </c>
      <c r="D25" s="30"/>
      <c r="F25" s="36" t="s">
        <v>3</v>
      </c>
      <c r="H25" s="56">
        <v>0.66579999999999995</v>
      </c>
      <c r="J25" s="10" t="s">
        <v>49</v>
      </c>
      <c r="L25" s="57">
        <v>16000</v>
      </c>
      <c r="N25" s="9" t="s">
        <v>252</v>
      </c>
    </row>
    <row r="26" spans="2:14">
      <c r="B26" s="61" t="s">
        <v>254</v>
      </c>
      <c r="D26" s="30"/>
      <c r="F26" s="36" t="s">
        <v>3</v>
      </c>
      <c r="H26" s="56">
        <v>0.66579999999999995</v>
      </c>
      <c r="J26" s="10" t="s">
        <v>49</v>
      </c>
      <c r="L26" s="57">
        <v>39642</v>
      </c>
      <c r="N26" s="9" t="s">
        <v>255</v>
      </c>
    </row>
    <row r="27" spans="2:14">
      <c r="B27" s="61" t="s">
        <v>256</v>
      </c>
      <c r="D27" s="30"/>
      <c r="F27" s="36" t="s">
        <v>3</v>
      </c>
      <c r="H27" s="56">
        <v>0.63070000000000004</v>
      </c>
      <c r="J27" s="10" t="s">
        <v>49</v>
      </c>
      <c r="L27" s="57">
        <v>30558</v>
      </c>
      <c r="N27" s="9" t="s">
        <v>255</v>
      </c>
    </row>
    <row r="28" spans="2:14">
      <c r="B28" s="61" t="s">
        <v>113</v>
      </c>
      <c r="D28" s="30"/>
      <c r="F28" s="36" t="s">
        <v>3</v>
      </c>
      <c r="H28" s="56">
        <v>0.60370000000000001</v>
      </c>
      <c r="J28" s="10" t="s">
        <v>49</v>
      </c>
      <c r="L28" s="57">
        <v>43000</v>
      </c>
      <c r="N28" s="9" t="s">
        <v>111</v>
      </c>
    </row>
    <row r="29" spans="2:14">
      <c r="B29" s="61" t="s">
        <v>114</v>
      </c>
      <c r="D29" s="30"/>
      <c r="F29" s="36" t="s">
        <v>3</v>
      </c>
      <c r="H29" s="56">
        <v>0.60880000000000001</v>
      </c>
      <c r="J29" s="10" t="s">
        <v>49</v>
      </c>
      <c r="L29" s="57">
        <v>43500</v>
      </c>
      <c r="N29" s="9" t="s">
        <v>115</v>
      </c>
    </row>
    <row r="30" spans="2:14">
      <c r="B30" s="62" t="s">
        <v>122</v>
      </c>
      <c r="D30" s="30"/>
      <c r="F30" s="36" t="s">
        <v>3</v>
      </c>
      <c r="H30" s="56">
        <v>0.66020000000000001</v>
      </c>
      <c r="J30" s="10" t="s">
        <v>49</v>
      </c>
      <c r="L30" s="57">
        <v>43000</v>
      </c>
      <c r="N30" s="9" t="s">
        <v>112</v>
      </c>
    </row>
    <row r="31" spans="2:14">
      <c r="B31" s="62" t="s">
        <v>123</v>
      </c>
      <c r="D31" s="30"/>
      <c r="F31" s="36" t="s">
        <v>3</v>
      </c>
      <c r="H31" s="56">
        <v>0.60370000000000001</v>
      </c>
      <c r="J31" s="10" t="s">
        <v>49</v>
      </c>
      <c r="L31" s="57">
        <v>31652</v>
      </c>
      <c r="N31" s="9" t="s">
        <v>124</v>
      </c>
    </row>
    <row r="32" spans="2:14">
      <c r="B32" s="62" t="s">
        <v>125</v>
      </c>
      <c r="D32" s="30"/>
      <c r="F32" s="36" t="s">
        <v>3</v>
      </c>
      <c r="H32" s="56">
        <v>0.66020000000000001</v>
      </c>
      <c r="J32" s="10" t="s">
        <v>49</v>
      </c>
      <c r="L32" s="57">
        <v>10348</v>
      </c>
      <c r="N32" s="9" t="s">
        <v>124</v>
      </c>
    </row>
    <row r="33" spans="2:14">
      <c r="B33" s="62" t="s">
        <v>126</v>
      </c>
      <c r="D33" s="30"/>
      <c r="F33" s="36" t="s">
        <v>3</v>
      </c>
      <c r="H33" s="56">
        <v>0.66020000000000001</v>
      </c>
      <c r="J33" s="10" t="s">
        <v>49</v>
      </c>
      <c r="L33" s="57">
        <v>130500</v>
      </c>
      <c r="N33" s="9" t="s">
        <v>127</v>
      </c>
    </row>
    <row r="34" spans="2:14">
      <c r="B34" s="61" t="s">
        <v>117</v>
      </c>
      <c r="D34" s="30"/>
      <c r="F34" s="36" t="s">
        <v>3</v>
      </c>
      <c r="H34" s="56">
        <v>0.66020000000000001</v>
      </c>
      <c r="J34" s="10" t="s">
        <v>49</v>
      </c>
      <c r="L34" s="57">
        <v>173250</v>
      </c>
      <c r="N34" s="9" t="s">
        <v>121</v>
      </c>
    </row>
    <row r="35" spans="2:14">
      <c r="B35" s="61" t="s">
        <v>118</v>
      </c>
      <c r="D35" s="30"/>
      <c r="F35" s="36" t="s">
        <v>3</v>
      </c>
      <c r="H35" s="56">
        <v>0.66020000000000001</v>
      </c>
      <c r="J35" s="10" t="s">
        <v>49</v>
      </c>
      <c r="L35" s="57">
        <v>43100</v>
      </c>
      <c r="N35" s="9" t="s">
        <v>116</v>
      </c>
    </row>
    <row r="36" spans="2:14">
      <c r="B36" s="10" t="s">
        <v>120</v>
      </c>
      <c r="D36" s="30"/>
      <c r="F36" s="36" t="s">
        <v>3</v>
      </c>
      <c r="H36" s="56">
        <v>0.66020000000000001</v>
      </c>
      <c r="J36" s="10" t="s">
        <v>49</v>
      </c>
      <c r="L36" s="57">
        <v>28000</v>
      </c>
      <c r="N36" s="9" t="s">
        <v>119</v>
      </c>
    </row>
    <row r="37" spans="2:14">
      <c r="B37" s="61" t="s">
        <v>189</v>
      </c>
      <c r="D37" s="30"/>
      <c r="F37" s="36" t="s">
        <v>3</v>
      </c>
      <c r="H37" s="56">
        <v>0.66020000000000001</v>
      </c>
      <c r="J37" s="10" t="s">
        <v>49</v>
      </c>
      <c r="L37" s="57">
        <v>37793</v>
      </c>
      <c r="N37" s="9" t="s">
        <v>130</v>
      </c>
    </row>
    <row r="38" spans="2:14">
      <c r="B38" s="61" t="s">
        <v>190</v>
      </c>
      <c r="D38" s="30"/>
      <c r="F38" s="36" t="s">
        <v>3</v>
      </c>
      <c r="H38" s="56">
        <v>0.71950000000000003</v>
      </c>
      <c r="J38" s="10" t="s">
        <v>49</v>
      </c>
      <c r="L38" s="57">
        <v>11407</v>
      </c>
      <c r="N38" s="9" t="s">
        <v>130</v>
      </c>
    </row>
    <row r="39" spans="2:14">
      <c r="B39" s="61" t="s">
        <v>191</v>
      </c>
      <c r="D39" s="30"/>
      <c r="F39" s="36" t="s">
        <v>3</v>
      </c>
      <c r="H39" s="56">
        <v>0.71950000000000003</v>
      </c>
      <c r="J39" s="10" t="s">
        <v>49</v>
      </c>
      <c r="L39" s="57">
        <v>60500</v>
      </c>
      <c r="N39" s="9" t="s">
        <v>131</v>
      </c>
    </row>
    <row r="40" spans="2:14">
      <c r="B40" s="61" t="s">
        <v>192</v>
      </c>
      <c r="D40" s="30"/>
      <c r="F40" s="36" t="s">
        <v>3</v>
      </c>
      <c r="H40" s="56">
        <v>0.71950000000000003</v>
      </c>
      <c r="J40" s="10" t="s">
        <v>49</v>
      </c>
      <c r="L40" s="57">
        <v>43000</v>
      </c>
      <c r="N40" s="9" t="s">
        <v>132</v>
      </c>
    </row>
    <row r="41" spans="2:14">
      <c r="B41" s="61" t="s">
        <v>193</v>
      </c>
      <c r="D41" s="30"/>
      <c r="F41" s="36" t="s">
        <v>3</v>
      </c>
      <c r="H41" s="56">
        <v>0.71950000000000003</v>
      </c>
      <c r="J41" s="10" t="s">
        <v>49</v>
      </c>
      <c r="L41" s="57">
        <v>85700</v>
      </c>
      <c r="N41" s="9" t="s">
        <v>133</v>
      </c>
    </row>
    <row r="42" spans="2:14">
      <c r="B42" s="61" t="s">
        <v>128</v>
      </c>
      <c r="D42" s="30"/>
      <c r="F42" s="36" t="s">
        <v>3</v>
      </c>
      <c r="H42" s="56">
        <v>0.71950000000000003</v>
      </c>
      <c r="J42" s="10" t="s">
        <v>49</v>
      </c>
      <c r="L42" s="57">
        <v>38760</v>
      </c>
      <c r="N42" s="9" t="s">
        <v>134</v>
      </c>
    </row>
    <row r="43" spans="2:14">
      <c r="B43" s="61" t="s">
        <v>129</v>
      </c>
      <c r="D43" s="30"/>
      <c r="F43" s="36" t="s">
        <v>3</v>
      </c>
      <c r="H43" s="56">
        <v>0.66839999999999999</v>
      </c>
      <c r="J43" s="10" t="s">
        <v>49</v>
      </c>
      <c r="L43" s="57">
        <v>48740</v>
      </c>
      <c r="N43" s="9" t="s">
        <v>134</v>
      </c>
    </row>
    <row r="44" spans="2:14">
      <c r="B44" s="61" t="s">
        <v>135</v>
      </c>
      <c r="D44" s="30"/>
      <c r="F44" s="36" t="s">
        <v>3</v>
      </c>
      <c r="H44" s="56">
        <v>0.74309999999999998</v>
      </c>
      <c r="J44" s="10" t="s">
        <v>49</v>
      </c>
      <c r="L44" s="57">
        <v>29700</v>
      </c>
      <c r="N44" s="9" t="s">
        <v>136</v>
      </c>
    </row>
    <row r="45" spans="2:14">
      <c r="B45" s="61" t="s">
        <v>137</v>
      </c>
      <c r="D45" s="30"/>
      <c r="F45" s="36" t="s">
        <v>3</v>
      </c>
      <c r="H45" s="56">
        <v>0.71330000000000005</v>
      </c>
      <c r="J45" s="10" t="s">
        <v>49</v>
      </c>
      <c r="L45" s="57">
        <v>86400</v>
      </c>
      <c r="N45" s="9" t="s">
        <v>138</v>
      </c>
    </row>
    <row r="46" spans="2:14">
      <c r="B46" s="61" t="s">
        <v>139</v>
      </c>
      <c r="D46" s="30"/>
      <c r="F46" s="36" t="s">
        <v>3</v>
      </c>
      <c r="H46" s="56">
        <v>0.68840000000000001</v>
      </c>
      <c r="J46" s="10" t="s">
        <v>49</v>
      </c>
      <c r="L46" s="57">
        <v>29363</v>
      </c>
      <c r="N46" s="9" t="s">
        <v>141</v>
      </c>
    </row>
    <row r="47" spans="2:14">
      <c r="B47" s="61" t="s">
        <v>140</v>
      </c>
      <c r="D47" s="30"/>
      <c r="F47" s="36" t="s">
        <v>3</v>
      </c>
      <c r="H47" s="56">
        <v>0.74490000000000001</v>
      </c>
      <c r="J47" s="10" t="s">
        <v>49</v>
      </c>
      <c r="L47" s="57">
        <v>143637</v>
      </c>
      <c r="N47" s="9" t="s">
        <v>141</v>
      </c>
    </row>
    <row r="48" spans="2:14">
      <c r="B48" s="61"/>
      <c r="D48" s="30"/>
      <c r="F48" s="36"/>
      <c r="K48" s="9"/>
      <c r="L48" s="9"/>
      <c r="M48" s="9"/>
      <c r="N48" s="9"/>
    </row>
    <row r="49" spans="2:14">
      <c r="B49" s="39"/>
      <c r="F49" s="36"/>
      <c r="G49" s="36"/>
      <c r="H49" s="36"/>
      <c r="I49" s="36"/>
      <c r="J49" s="36"/>
      <c r="K49" s="36"/>
      <c r="L49" s="36"/>
      <c r="M49" s="36"/>
      <c r="N49" s="4"/>
    </row>
    <row r="50" spans="2:14" s="11" customFormat="1">
      <c r="B50" s="11" t="s">
        <v>107</v>
      </c>
      <c r="H50" s="40"/>
    </row>
    <row r="51" spans="2:14">
      <c r="H51" s="9"/>
    </row>
    <row r="52" spans="2:14">
      <c r="B52" s="5" t="s">
        <v>48</v>
      </c>
      <c r="D52" s="30"/>
      <c r="H52" s="19" t="s">
        <v>39</v>
      </c>
      <c r="L52" s="19" t="s">
        <v>50</v>
      </c>
      <c r="N52" s="19" t="s">
        <v>51</v>
      </c>
    </row>
    <row r="53" spans="2:14">
      <c r="B53" s="5"/>
      <c r="D53" s="30"/>
      <c r="H53" s="19"/>
      <c r="L53" s="19"/>
      <c r="N53" s="19"/>
    </row>
    <row r="54" spans="2:14" ht="14.25" customHeight="1">
      <c r="B54" s="10" t="s">
        <v>142</v>
      </c>
      <c r="D54" s="30"/>
      <c r="F54" s="36" t="s">
        <v>3</v>
      </c>
      <c r="H54" s="56">
        <v>0.74490000000000001</v>
      </c>
      <c r="J54" s="10" t="s">
        <v>49</v>
      </c>
      <c r="L54" s="58">
        <v>43200</v>
      </c>
      <c r="N54" s="9" t="s">
        <v>143</v>
      </c>
    </row>
    <row r="55" spans="2:14" ht="14.25" customHeight="1">
      <c r="B55" s="10" t="s">
        <v>146</v>
      </c>
      <c r="D55" s="30"/>
      <c r="F55" s="36" t="s">
        <v>3</v>
      </c>
      <c r="H55" s="56">
        <v>0.74490000000000001</v>
      </c>
      <c r="J55" s="10" t="s">
        <v>49</v>
      </c>
      <c r="L55" s="58">
        <v>55752</v>
      </c>
      <c r="N55" s="9" t="s">
        <v>150</v>
      </c>
    </row>
    <row r="56" spans="2:14" ht="14.25" customHeight="1">
      <c r="B56" s="10" t="s">
        <v>148</v>
      </c>
      <c r="D56" s="30"/>
      <c r="F56" s="36" t="s">
        <v>3</v>
      </c>
      <c r="H56" s="56">
        <v>0.78159999999999996</v>
      </c>
      <c r="J56" s="10" t="s">
        <v>49</v>
      </c>
      <c r="L56" s="58">
        <v>29998</v>
      </c>
      <c r="N56" s="9" t="s">
        <v>150</v>
      </c>
    </row>
    <row r="57" spans="2:14">
      <c r="B57" s="10" t="s">
        <v>149</v>
      </c>
      <c r="D57" s="30"/>
      <c r="F57" s="36" t="s">
        <v>3</v>
      </c>
      <c r="H57" s="56">
        <v>0.78159999999999996</v>
      </c>
      <c r="J57" s="10" t="s">
        <v>49</v>
      </c>
      <c r="L57" s="58">
        <v>42500</v>
      </c>
      <c r="N57" s="9" t="s">
        <v>147</v>
      </c>
    </row>
    <row r="58" spans="2:14">
      <c r="B58" s="10" t="s">
        <v>144</v>
      </c>
      <c r="F58" s="36" t="s">
        <v>3</v>
      </c>
      <c r="H58" s="59">
        <v>0.78159999999999996</v>
      </c>
      <c r="J58" s="10" t="s">
        <v>49</v>
      </c>
      <c r="L58" s="58">
        <v>43000</v>
      </c>
      <c r="N58" s="9" t="s">
        <v>152</v>
      </c>
    </row>
    <row r="59" spans="2:14">
      <c r="B59" s="10" t="s">
        <v>145</v>
      </c>
      <c r="F59" s="36" t="s">
        <v>3</v>
      </c>
      <c r="H59" s="59">
        <v>0.78159999999999996</v>
      </c>
      <c r="J59" s="10" t="s">
        <v>49</v>
      </c>
      <c r="L59" s="58">
        <v>86700</v>
      </c>
      <c r="N59" s="9" t="s">
        <v>153</v>
      </c>
    </row>
    <row r="60" spans="2:14">
      <c r="B60" s="10" t="s">
        <v>156</v>
      </c>
      <c r="F60" s="36" t="s">
        <v>3</v>
      </c>
      <c r="H60" s="59">
        <v>0.78159999999999996</v>
      </c>
      <c r="J60" s="10" t="s">
        <v>49</v>
      </c>
      <c r="L60" s="58">
        <v>58002</v>
      </c>
      <c r="N60" s="9" t="s">
        <v>151</v>
      </c>
    </row>
    <row r="61" spans="2:14">
      <c r="B61" s="10" t="s">
        <v>157</v>
      </c>
      <c r="F61" s="36" t="s">
        <v>3</v>
      </c>
      <c r="H61" s="59">
        <v>0.75329999999999997</v>
      </c>
      <c r="J61" s="10" t="s">
        <v>49</v>
      </c>
      <c r="L61" s="58">
        <v>28998</v>
      </c>
      <c r="N61" s="9" t="s">
        <v>151</v>
      </c>
    </row>
    <row r="62" spans="2:14">
      <c r="B62" s="10" t="s">
        <v>159</v>
      </c>
      <c r="F62" s="36" t="s">
        <v>3</v>
      </c>
      <c r="H62" s="59">
        <v>0.75329999999999997</v>
      </c>
      <c r="J62" s="10" t="s">
        <v>49</v>
      </c>
      <c r="L62" s="58">
        <v>86900</v>
      </c>
      <c r="N62" s="9" t="s">
        <v>154</v>
      </c>
    </row>
    <row r="63" spans="2:14">
      <c r="B63" s="10" t="s">
        <v>160</v>
      </c>
      <c r="F63" s="36" t="s">
        <v>3</v>
      </c>
      <c r="H63" s="59">
        <v>0.75329999999999997</v>
      </c>
      <c r="J63" s="10" t="s">
        <v>49</v>
      </c>
      <c r="L63" s="58">
        <v>42700</v>
      </c>
      <c r="N63" s="9" t="s">
        <v>155</v>
      </c>
    </row>
    <row r="64" spans="2:14">
      <c r="B64" s="10" t="s">
        <v>158</v>
      </c>
      <c r="F64" s="36" t="s">
        <v>3</v>
      </c>
      <c r="H64" s="59">
        <v>0.75329999999999997</v>
      </c>
      <c r="J64" s="10" t="s">
        <v>49</v>
      </c>
      <c r="L64" s="58">
        <v>80235</v>
      </c>
      <c r="N64" s="9" t="s">
        <v>161</v>
      </c>
    </row>
    <row r="65" spans="2:14">
      <c r="B65" s="10" t="s">
        <v>162</v>
      </c>
      <c r="F65" s="36" t="s">
        <v>3</v>
      </c>
      <c r="H65" s="59">
        <v>0.80420000000000003</v>
      </c>
      <c r="J65" s="10" t="s">
        <v>49</v>
      </c>
      <c r="L65" s="58">
        <v>6165</v>
      </c>
      <c r="N65" s="9" t="s">
        <v>161</v>
      </c>
    </row>
    <row r="66" spans="2:14">
      <c r="B66" s="10" t="s">
        <v>163</v>
      </c>
      <c r="D66" s="30"/>
      <c r="F66" s="36" t="s">
        <v>3</v>
      </c>
      <c r="H66" s="59">
        <v>0.80420000000000003</v>
      </c>
      <c r="J66" s="10" t="s">
        <v>49</v>
      </c>
      <c r="L66" s="58">
        <v>87000</v>
      </c>
      <c r="N66" s="9" t="s">
        <v>164</v>
      </c>
    </row>
    <row r="67" spans="2:14">
      <c r="B67" s="10" t="s">
        <v>243</v>
      </c>
      <c r="F67" s="36" t="s">
        <v>3</v>
      </c>
      <c r="H67" s="59">
        <v>0.80420000000000003</v>
      </c>
      <c r="J67" s="10" t="s">
        <v>49</v>
      </c>
      <c r="L67" s="58">
        <v>88100</v>
      </c>
      <c r="N67" s="9" t="s">
        <v>257</v>
      </c>
    </row>
    <row r="68" spans="2:14">
      <c r="B68" s="10" t="s">
        <v>250</v>
      </c>
      <c r="F68" s="36" t="s">
        <v>3</v>
      </c>
      <c r="H68" s="59">
        <v>0.80420000000000003</v>
      </c>
      <c r="J68" s="10" t="s">
        <v>49</v>
      </c>
      <c r="L68" s="58">
        <v>43300</v>
      </c>
      <c r="N68" s="9" t="s">
        <v>277</v>
      </c>
    </row>
    <row r="69" spans="2:14">
      <c r="B69" s="10" t="s">
        <v>253</v>
      </c>
      <c r="F69" s="36" t="s">
        <v>3</v>
      </c>
      <c r="H69" s="59">
        <v>0.80420000000000003</v>
      </c>
      <c r="J69" s="10" t="s">
        <v>49</v>
      </c>
      <c r="L69" s="58">
        <v>12459</v>
      </c>
      <c r="N69" s="9" t="s">
        <v>278</v>
      </c>
    </row>
    <row r="70" spans="2:14">
      <c r="B70" s="10" t="s">
        <v>253</v>
      </c>
      <c r="D70" s="30"/>
      <c r="E70" s="30"/>
      <c r="F70" s="36" t="s">
        <v>3</v>
      </c>
      <c r="G70" s="30"/>
      <c r="H70" s="59">
        <v>0.83520000000000005</v>
      </c>
      <c r="I70" s="30"/>
      <c r="J70" s="10" t="s">
        <v>49</v>
      </c>
      <c r="K70" s="30"/>
      <c r="L70" s="58">
        <v>32741</v>
      </c>
      <c r="M70" s="30"/>
      <c r="N70" s="9" t="s">
        <v>278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heetViews>
  <sheetFormatPr defaultRowHeight="15"/>
  <cols>
    <col min="1" max="16384" width="9.140625" style="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Front Page</vt:lpstr>
      <vt:lpstr>Explanatory Notes</vt:lpstr>
      <vt:lpstr>Result -&gt;</vt:lpstr>
      <vt:lpstr>User tariff SEC jul-dec 2018</vt:lpstr>
      <vt:lpstr>Appendix 1 </vt:lpstr>
      <vt:lpstr>Input-&gt;</vt:lpstr>
      <vt:lpstr>Input data production</vt:lpstr>
      <vt:lpstr>Input data fuel purchase</vt:lpstr>
      <vt:lpstr>Calculations--&gt;</vt:lpstr>
      <vt:lpstr>Monthly fuel prices</vt:lpstr>
      <vt:lpstr>New estimation production price</vt:lpstr>
      <vt:lpstr>Corr fuel price difference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Rekenmodel bij aanpassing variabel tarief 1 juli 2018 Saba</dc:title>
  <dc:creator>Autoriteit Consument &amp; Markt (ACM)</dc:creator>
  <cp:keywords>caribisch nederland; elektriciteit; tarieven</cp:keywords>
  <cp:lastModifiedBy/>
  <dcterms:created xsi:type="dcterms:W3CDTF">2006-09-16T00:00:00Z</dcterms:created>
  <dcterms:modified xsi:type="dcterms:W3CDTF">2018-06-19T06:50:34Z</dcterms:modified>
</cp:coreProperties>
</file>